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520" activeTab="3"/>
  </bookViews>
  <sheets>
    <sheet name="2013加订酒店" sheetId="1" r:id="rId1"/>
    <sheet name="2014加订酒店价格" sheetId="4" r:id="rId2"/>
    <sheet name="2013 217升级价格" sheetId="2" r:id="rId3"/>
    <sheet name="2014 217升级价格" sheetId="5" r:id="rId4"/>
    <sheet name="2013 235升级酒店价格" sheetId="3" r:id="rId5"/>
    <sheet name="2014  235 升级价格" sheetId="6" r:id="rId6"/>
  </sheets>
  <calcPr calcId="145621"/>
</workbook>
</file>

<file path=xl/calcChain.xml><?xml version="1.0" encoding="utf-8"?>
<calcChain xmlns="http://schemas.openxmlformats.org/spreadsheetml/2006/main">
  <c r="O28" i="5" l="1"/>
  <c r="N28" i="5"/>
  <c r="M28" i="5"/>
  <c r="L28" i="5"/>
  <c r="N26" i="5"/>
  <c r="E4" i="5"/>
  <c r="E22" i="5"/>
  <c r="I21" i="5"/>
  <c r="H21" i="5"/>
  <c r="E20" i="5"/>
  <c r="I18" i="5"/>
  <c r="H18" i="5"/>
  <c r="G18" i="5"/>
  <c r="E17" i="5"/>
  <c r="I16" i="5"/>
  <c r="I15" i="5"/>
  <c r="I19" i="5" s="1"/>
  <c r="H15" i="5"/>
  <c r="H16" i="5" s="1"/>
  <c r="G15" i="5"/>
  <c r="G20" i="5" s="1"/>
  <c r="F15" i="5"/>
  <c r="F18" i="5" s="1"/>
  <c r="E15" i="5"/>
  <c r="E23" i="5" s="1"/>
  <c r="K23" i="5"/>
  <c r="K22" i="5"/>
  <c r="N21" i="5"/>
  <c r="M21" i="5"/>
  <c r="K21" i="5"/>
  <c r="K20" i="5"/>
  <c r="K19" i="5"/>
  <c r="N18" i="5"/>
  <c r="M18" i="5"/>
  <c r="L18" i="5"/>
  <c r="K18" i="5"/>
  <c r="K17" i="5"/>
  <c r="N16" i="5"/>
  <c r="K16" i="5"/>
  <c r="N15" i="5"/>
  <c r="N19" i="5" s="1"/>
  <c r="M15" i="5"/>
  <c r="M16" i="5" s="1"/>
  <c r="L15" i="5"/>
  <c r="L21" i="5" s="1"/>
  <c r="O4" i="5"/>
  <c r="G4" i="5"/>
  <c r="E9" i="5"/>
  <c r="I4" i="5"/>
  <c r="I10" i="5" s="1"/>
  <c r="H4" i="5"/>
  <c r="H7" i="5" s="1"/>
  <c r="G12" i="5"/>
  <c r="F4" i="5"/>
  <c r="F9" i="5" s="1"/>
  <c r="E6" i="5"/>
  <c r="N4" i="5"/>
  <c r="N10" i="5" s="1"/>
  <c r="M4" i="5"/>
  <c r="M10" i="5" s="1"/>
  <c r="L4" i="5"/>
  <c r="K12" i="5"/>
  <c r="K11" i="5"/>
  <c r="K10" i="5"/>
  <c r="K9" i="5"/>
  <c r="K8" i="5"/>
  <c r="N7" i="5"/>
  <c r="M7" i="5"/>
  <c r="L7" i="5"/>
  <c r="K7" i="5"/>
  <c r="K6" i="5"/>
  <c r="K5" i="5"/>
  <c r="N8" i="5"/>
  <c r="M5" i="5"/>
  <c r="L10" i="5"/>
  <c r="L5" i="2"/>
  <c r="M5" i="2"/>
  <c r="O12" i="4"/>
  <c r="F5" i="4"/>
  <c r="G5" i="4"/>
  <c r="H5" i="4"/>
  <c r="I5" i="4"/>
  <c r="J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J4" i="4"/>
  <c r="I4" i="4"/>
  <c r="H4" i="4"/>
  <c r="G4" i="4"/>
  <c r="F4" i="4"/>
  <c r="O27" i="4"/>
  <c r="P27" i="4" s="1"/>
  <c r="N27" i="4"/>
  <c r="M27" i="4"/>
  <c r="J27" i="4"/>
  <c r="O26" i="4"/>
  <c r="P26" i="4" s="1"/>
  <c r="N26" i="4"/>
  <c r="M26" i="4"/>
  <c r="J26" i="4"/>
  <c r="I5" i="5" l="1"/>
  <c r="F20" i="5"/>
  <c r="H23" i="5"/>
  <c r="G17" i="5"/>
  <c r="E19" i="5"/>
  <c r="H20" i="5"/>
  <c r="F22" i="5"/>
  <c r="I23" i="5"/>
  <c r="E16" i="5"/>
  <c r="H17" i="5"/>
  <c r="F19" i="5"/>
  <c r="I20" i="5"/>
  <c r="G22" i="5"/>
  <c r="F16" i="5"/>
  <c r="I17" i="5"/>
  <c r="G19" i="5"/>
  <c r="E21" i="5"/>
  <c r="H22" i="5"/>
  <c r="G16" i="5"/>
  <c r="E18" i="5"/>
  <c r="H19" i="5"/>
  <c r="F21" i="5"/>
  <c r="I22" i="5"/>
  <c r="F23" i="5"/>
  <c r="G23" i="5"/>
  <c r="F17" i="5"/>
  <c r="G21" i="5"/>
  <c r="L23" i="5"/>
  <c r="L20" i="5"/>
  <c r="M23" i="5"/>
  <c r="L17" i="5"/>
  <c r="M20" i="5"/>
  <c r="N23" i="5"/>
  <c r="O15" i="5"/>
  <c r="M17" i="5"/>
  <c r="N20" i="5"/>
  <c r="L22" i="5"/>
  <c r="N17" i="5"/>
  <c r="L19" i="5"/>
  <c r="M22" i="5"/>
  <c r="L16" i="5"/>
  <c r="M19" i="5"/>
  <c r="N22" i="5"/>
  <c r="F6" i="5"/>
  <c r="I7" i="5"/>
  <c r="G9" i="5"/>
  <c r="E11" i="5"/>
  <c r="H12" i="5"/>
  <c r="G11" i="5"/>
  <c r="H10" i="5"/>
  <c r="G6" i="5"/>
  <c r="E8" i="5"/>
  <c r="H9" i="5"/>
  <c r="F11" i="5"/>
  <c r="I12" i="5"/>
  <c r="E5" i="5"/>
  <c r="H6" i="5"/>
  <c r="F8" i="5"/>
  <c r="I9" i="5"/>
  <c r="F5" i="5"/>
  <c r="I6" i="5"/>
  <c r="G8" i="5"/>
  <c r="E10" i="5"/>
  <c r="H11" i="5"/>
  <c r="G5" i="5"/>
  <c r="E7" i="5"/>
  <c r="H8" i="5"/>
  <c r="F10" i="5"/>
  <c r="I11" i="5"/>
  <c r="G7" i="5"/>
  <c r="F12" i="5"/>
  <c r="H5" i="5"/>
  <c r="F7" i="5"/>
  <c r="I8" i="5"/>
  <c r="G10" i="5"/>
  <c r="E12" i="5"/>
  <c r="N5" i="5"/>
  <c r="L9" i="5"/>
  <c r="L12" i="5"/>
  <c r="M12" i="5"/>
  <c r="L6" i="5"/>
  <c r="M9" i="5"/>
  <c r="N12" i="5"/>
  <c r="M6" i="5"/>
  <c r="N9" i="5"/>
  <c r="L11" i="5"/>
  <c r="N6" i="5"/>
  <c r="L8" i="5"/>
  <c r="M11" i="5"/>
  <c r="L5" i="5"/>
  <c r="M8" i="5"/>
  <c r="N11" i="5"/>
  <c r="N38" i="4"/>
  <c r="H38" i="4" s="1"/>
  <c r="M38" i="4"/>
  <c r="G38" i="4"/>
  <c r="F38" i="4"/>
  <c r="N37" i="4"/>
  <c r="P37" i="4" s="1"/>
  <c r="J37" i="4" s="1"/>
  <c r="M37" i="4"/>
  <c r="G37" i="4" s="1"/>
  <c r="H37" i="4"/>
  <c r="F37" i="4"/>
  <c r="N36" i="4"/>
  <c r="P36" i="4" s="1"/>
  <c r="J36" i="4" s="1"/>
  <c r="M36" i="4"/>
  <c r="H36" i="4"/>
  <c r="G36" i="4"/>
  <c r="F36" i="4"/>
  <c r="P35" i="4"/>
  <c r="N35" i="4"/>
  <c r="M35" i="4"/>
  <c r="O47" i="4"/>
  <c r="I47" i="4" s="1"/>
  <c r="N47" i="4"/>
  <c r="H47" i="4" s="1"/>
  <c r="M47" i="4"/>
  <c r="G47" i="4" s="1"/>
  <c r="F47" i="4"/>
  <c r="O46" i="4"/>
  <c r="I46" i="4" s="1"/>
  <c r="N46" i="4"/>
  <c r="H46" i="4" s="1"/>
  <c r="M46" i="4"/>
  <c r="G46" i="4" s="1"/>
  <c r="F46" i="4"/>
  <c r="O45" i="4"/>
  <c r="I45" i="4" s="1"/>
  <c r="N45" i="4"/>
  <c r="H45" i="4" s="1"/>
  <c r="M45" i="4"/>
  <c r="G45" i="4"/>
  <c r="F45" i="4"/>
  <c r="P44" i="4"/>
  <c r="J44" i="4" s="1"/>
  <c r="O44" i="4"/>
  <c r="I44" i="4" s="1"/>
  <c r="N44" i="4"/>
  <c r="M44" i="4"/>
  <c r="H44" i="4"/>
  <c r="G44" i="4"/>
  <c r="F44" i="4"/>
  <c r="P4" i="4"/>
  <c r="O22" i="5" l="1"/>
  <c r="O17" i="5"/>
  <c r="O20" i="5"/>
  <c r="O23" i="5"/>
  <c r="O18" i="5"/>
  <c r="O21" i="5"/>
  <c r="O16" i="5"/>
  <c r="O19" i="5"/>
  <c r="O10" i="5"/>
  <c r="O11" i="5"/>
  <c r="O6" i="5"/>
  <c r="O9" i="5"/>
  <c r="O12" i="5"/>
  <c r="O7" i="5"/>
  <c r="O5" i="5"/>
  <c r="O8" i="5"/>
  <c r="P38" i="4"/>
  <c r="J38" i="4" s="1"/>
  <c r="P45" i="4"/>
  <c r="J45" i="4" s="1"/>
  <c r="P46" i="4"/>
  <c r="J46" i="4" s="1"/>
  <c r="P47" i="4"/>
  <c r="J47" i="4" s="1"/>
  <c r="O26" i="5" l="1"/>
  <c r="M26" i="5"/>
  <c r="L26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O18" i="4"/>
  <c r="N18" i="4"/>
  <c r="M18" i="4"/>
  <c r="O17" i="4"/>
  <c r="N17" i="4"/>
  <c r="M17" i="4"/>
  <c r="O13" i="4"/>
  <c r="N13" i="4"/>
  <c r="M13" i="4"/>
  <c r="O5" i="4"/>
  <c r="N5" i="4"/>
  <c r="M5" i="4"/>
  <c r="O16" i="4"/>
  <c r="N16" i="4"/>
  <c r="M16" i="4"/>
  <c r="N12" i="4"/>
  <c r="M12" i="4"/>
  <c r="O14" i="4"/>
  <c r="N14" i="4"/>
  <c r="M14" i="4"/>
  <c r="L14" i="4"/>
  <c r="O7" i="4"/>
  <c r="N7" i="4"/>
  <c r="M7" i="4"/>
  <c r="O6" i="4"/>
  <c r="N6" i="4"/>
  <c r="M6" i="4"/>
  <c r="O15" i="4"/>
  <c r="N15" i="4"/>
  <c r="M15" i="4"/>
  <c r="O11" i="4"/>
  <c r="N11" i="4"/>
  <c r="M11" i="4"/>
  <c r="O4" i="4"/>
  <c r="N4" i="4"/>
  <c r="M4" i="4"/>
  <c r="O9" i="4"/>
  <c r="N9" i="4"/>
  <c r="M9" i="4"/>
  <c r="O10" i="4"/>
  <c r="N10" i="4"/>
  <c r="M10" i="4"/>
  <c r="O8" i="4"/>
  <c r="N8" i="4"/>
  <c r="M8" i="4"/>
  <c r="P88" i="1" l="1"/>
  <c r="P90" i="1"/>
  <c r="P91" i="1"/>
  <c r="P86" i="1"/>
  <c r="P84" i="1"/>
  <c r="P82" i="1"/>
  <c r="P74" i="1"/>
  <c r="P71" i="1"/>
  <c r="P68" i="1"/>
  <c r="P65" i="1"/>
  <c r="P63" i="1"/>
  <c r="P61" i="1"/>
  <c r="P59" i="1"/>
  <c r="P57" i="1"/>
  <c r="P55" i="1"/>
  <c r="P54" i="1"/>
  <c r="P52" i="1"/>
  <c r="P50" i="1"/>
  <c r="N127" i="2" l="1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16" i="2"/>
  <c r="M116" i="2"/>
  <c r="L116" i="2"/>
  <c r="N94" i="2"/>
  <c r="M94" i="2"/>
  <c r="L94" i="2"/>
  <c r="O86" i="1"/>
  <c r="N86" i="1"/>
  <c r="M86" i="1"/>
  <c r="O84" i="1"/>
  <c r="N84" i="1"/>
  <c r="M84" i="1"/>
  <c r="O68" i="1"/>
  <c r="N68" i="1"/>
  <c r="M68" i="1"/>
  <c r="O52" i="1"/>
  <c r="N52" i="1"/>
  <c r="M52" i="1"/>
  <c r="O82" i="1"/>
  <c r="N82" i="1"/>
  <c r="M82" i="1"/>
  <c r="P66" i="1"/>
  <c r="O65" i="1"/>
  <c r="N65" i="1"/>
  <c r="M65" i="1"/>
  <c r="M71" i="1"/>
  <c r="O55" i="1"/>
  <c r="N55" i="1"/>
  <c r="M55" i="1"/>
  <c r="O54" i="1"/>
  <c r="N54" i="1"/>
  <c r="M54" i="1"/>
  <c r="O74" i="1"/>
  <c r="N74" i="1"/>
  <c r="M74" i="1"/>
  <c r="O63" i="1"/>
  <c r="N63" i="1"/>
  <c r="M63" i="1"/>
  <c r="O50" i="1"/>
  <c r="N50" i="1"/>
  <c r="M50" i="1"/>
  <c r="O59" i="1"/>
  <c r="N59" i="1"/>
  <c r="M59" i="1"/>
  <c r="O61" i="1"/>
  <c r="N61" i="1"/>
  <c r="M61" i="1"/>
  <c r="O57" i="1"/>
  <c r="N57" i="1"/>
  <c r="M57" i="1"/>
  <c r="N39" i="1" l="1"/>
  <c r="H39" i="1" s="1"/>
  <c r="N38" i="1"/>
  <c r="H38" i="1" s="1"/>
  <c r="M40" i="1"/>
  <c r="G40" i="1" s="1"/>
  <c r="M39" i="1"/>
  <c r="M38" i="1"/>
  <c r="G38" i="1" s="1"/>
  <c r="F40" i="1"/>
  <c r="G39" i="1"/>
  <c r="F39" i="1"/>
  <c r="F38" i="1"/>
  <c r="I157" i="1" l="1"/>
  <c r="G157" i="1"/>
  <c r="H157" i="1"/>
  <c r="O157" i="1"/>
  <c r="N157" i="1"/>
  <c r="M157" i="1"/>
  <c r="L157" i="1"/>
  <c r="J157" i="1"/>
  <c r="F157" i="1"/>
  <c r="P38" i="1" l="1"/>
  <c r="J38" i="1" s="1"/>
  <c r="P39" i="1"/>
  <c r="J39" i="1" s="1"/>
  <c r="P40" i="1"/>
  <c r="J40" i="1" s="1"/>
  <c r="O38" i="1"/>
  <c r="I38" i="1" s="1"/>
  <c r="O39" i="1"/>
  <c r="I39" i="1" s="1"/>
  <c r="O40" i="1"/>
  <c r="I40" i="1" s="1"/>
  <c r="N40" i="1"/>
  <c r="H40" i="1" s="1"/>
  <c r="H45" i="1" l="1"/>
  <c r="G45" i="1"/>
  <c r="F45" i="1"/>
  <c r="F44" i="1"/>
  <c r="F43" i="1"/>
  <c r="N45" i="1"/>
  <c r="N44" i="1"/>
  <c r="H44" i="1" s="1"/>
  <c r="N43" i="1"/>
  <c r="P43" i="1" s="1"/>
  <c r="J43" i="1" s="1"/>
  <c r="N42" i="1"/>
  <c r="P42" i="1" s="1"/>
  <c r="M45" i="1"/>
  <c r="M44" i="1"/>
  <c r="G44" i="1" s="1"/>
  <c r="M43" i="1"/>
  <c r="G43" i="1" s="1"/>
  <c r="P45" i="1"/>
  <c r="J45" i="1" s="1"/>
  <c r="P44" i="1"/>
  <c r="J44" i="1" s="1"/>
  <c r="M42" i="1"/>
  <c r="H43" i="1" l="1"/>
  <c r="O149" i="1"/>
  <c r="O148" i="1"/>
  <c r="N149" i="1"/>
  <c r="N148" i="1"/>
  <c r="F147" i="1"/>
  <c r="O147" i="1"/>
  <c r="I147" i="1" s="1"/>
  <c r="O146" i="1"/>
  <c r="I146" i="1" s="1"/>
  <c r="N147" i="1"/>
  <c r="H147" i="1" s="1"/>
  <c r="N146" i="1"/>
  <c r="H146" i="1" s="1"/>
  <c r="O51" i="1" l="1"/>
  <c r="N51" i="1"/>
  <c r="O102" i="1" l="1"/>
  <c r="O103" i="1"/>
  <c r="J103" i="1" l="1"/>
  <c r="J102" i="1"/>
  <c r="P103" i="1"/>
  <c r="N103" i="1"/>
  <c r="M103" i="1"/>
  <c r="P102" i="1"/>
  <c r="N102" i="1"/>
  <c r="M102" i="1"/>
  <c r="P136" i="1" l="1"/>
  <c r="O136" i="1"/>
  <c r="N136" i="1"/>
  <c r="M136" i="1"/>
  <c r="L136" i="1"/>
  <c r="W20" i="3" l="1"/>
  <c r="W16" i="3"/>
  <c r="Z13" i="3"/>
  <c r="Z20" i="3" s="1"/>
  <c r="W13" i="3"/>
  <c r="W18" i="3" s="1"/>
  <c r="Q13" i="3"/>
  <c r="Q20" i="3" s="1"/>
  <c r="Q17" i="3" l="1"/>
  <c r="Z17" i="3"/>
  <c r="Q21" i="3"/>
  <c r="Z21" i="3"/>
  <c r="AA13" i="3"/>
  <c r="W15" i="3"/>
  <c r="W19" i="3"/>
  <c r="Q14" i="3"/>
  <c r="Z14" i="3"/>
  <c r="Q18" i="3"/>
  <c r="Z18" i="3"/>
  <c r="T13" i="3"/>
  <c r="W17" i="3"/>
  <c r="Z16" i="3"/>
  <c r="Q15" i="3"/>
  <c r="Z15" i="3"/>
  <c r="Q19" i="3"/>
  <c r="Z19" i="3"/>
  <c r="W21" i="3"/>
  <c r="X13" i="3"/>
  <c r="Q16" i="3"/>
  <c r="Y13" i="3"/>
  <c r="W14" i="3"/>
  <c r="X17" i="3" l="1"/>
  <c r="X20" i="3"/>
  <c r="X16" i="3"/>
  <c r="X21" i="3"/>
  <c r="X19" i="3"/>
  <c r="X15" i="3"/>
  <c r="R13" i="3"/>
  <c r="X18" i="3"/>
  <c r="X14" i="3"/>
  <c r="T19" i="3"/>
  <c r="T15" i="3"/>
  <c r="T18" i="3"/>
  <c r="T14" i="3"/>
  <c r="T17" i="3"/>
  <c r="T21" i="3"/>
  <c r="T20" i="3"/>
  <c r="T16" i="3"/>
  <c r="Y21" i="3"/>
  <c r="Y17" i="3"/>
  <c r="Y20" i="3"/>
  <c r="Y16" i="3"/>
  <c r="Y19" i="3"/>
  <c r="Y15" i="3"/>
  <c r="S13" i="3"/>
  <c r="Y18" i="3"/>
  <c r="Y14" i="3"/>
  <c r="AA20" i="3"/>
  <c r="AA16" i="3"/>
  <c r="U13" i="3"/>
  <c r="AA18" i="3"/>
  <c r="AA19" i="3"/>
  <c r="AA15" i="3"/>
  <c r="AA14" i="3"/>
  <c r="AA21" i="3"/>
  <c r="AA17" i="3"/>
  <c r="S15" i="3" l="1"/>
  <c r="S18" i="3"/>
  <c r="S14" i="3"/>
  <c r="S19" i="3"/>
  <c r="S21" i="3"/>
  <c r="S17" i="3"/>
  <c r="S20" i="3"/>
  <c r="S16" i="3"/>
  <c r="R20" i="3"/>
  <c r="R16" i="3"/>
  <c r="R19" i="3"/>
  <c r="R15" i="3"/>
  <c r="R18" i="3"/>
  <c r="R14" i="3"/>
  <c r="R21" i="3"/>
  <c r="R17" i="3"/>
  <c r="U18" i="3"/>
  <c r="U21" i="3"/>
  <c r="U17" i="3"/>
  <c r="U14" i="3"/>
  <c r="U20" i="3"/>
  <c r="U16" i="3"/>
  <c r="U19" i="3"/>
  <c r="U15" i="3"/>
  <c r="J154" i="1" l="1"/>
  <c r="J153" i="1"/>
  <c r="J152" i="1"/>
  <c r="O154" i="1"/>
  <c r="N154" i="1"/>
  <c r="P154" i="1" s="1"/>
  <c r="M154" i="1"/>
  <c r="O153" i="1"/>
  <c r="N153" i="1"/>
  <c r="P153" i="1" s="1"/>
  <c r="M153" i="1"/>
  <c r="O152" i="1"/>
  <c r="N152" i="1"/>
  <c r="P152" i="1" s="1"/>
  <c r="M152" i="1"/>
  <c r="F14" i="1" l="1"/>
  <c r="O14" i="1"/>
  <c r="P14" i="1" s="1"/>
  <c r="J14" i="1" s="1"/>
  <c r="N14" i="1"/>
  <c r="H14" i="1" s="1"/>
  <c r="M14" i="1"/>
  <c r="G14" i="1" s="1"/>
  <c r="F8" i="1"/>
  <c r="O8" i="1"/>
  <c r="P8" i="1" s="1"/>
  <c r="J8" i="1" s="1"/>
  <c r="N8" i="1"/>
  <c r="H8" i="1" s="1"/>
  <c r="M8" i="1"/>
  <c r="G8" i="1" s="1"/>
  <c r="F7" i="1"/>
  <c r="O7" i="1"/>
  <c r="P7" i="1" s="1"/>
  <c r="J7" i="1" s="1"/>
  <c r="N7" i="1"/>
  <c r="H7" i="1" s="1"/>
  <c r="M7" i="1"/>
  <c r="G7" i="1" s="1"/>
  <c r="F6" i="1"/>
  <c r="O6" i="1"/>
  <c r="P6" i="1" s="1"/>
  <c r="J6" i="1" s="1"/>
  <c r="N6" i="1"/>
  <c r="H6" i="1" s="1"/>
  <c r="M6" i="1"/>
  <c r="G6" i="1" s="1"/>
  <c r="I7" i="1" l="1"/>
  <c r="I14" i="1"/>
  <c r="I6" i="1"/>
  <c r="I8" i="1"/>
  <c r="F36" i="1"/>
  <c r="F37" i="1"/>
  <c r="F35" i="1"/>
  <c r="P36" i="1"/>
  <c r="J36" i="1" s="1"/>
  <c r="O36" i="1"/>
  <c r="I36" i="1" s="1"/>
  <c r="O37" i="1"/>
  <c r="I37" i="1" s="1"/>
  <c r="O35" i="1"/>
  <c r="I35" i="1" s="1"/>
  <c r="N36" i="1"/>
  <c r="H36" i="1" s="1"/>
  <c r="N37" i="1"/>
  <c r="P37" i="1" s="1"/>
  <c r="J37" i="1" s="1"/>
  <c r="N35" i="1"/>
  <c r="H35" i="1" s="1"/>
  <c r="M36" i="1"/>
  <c r="G36" i="1" s="1"/>
  <c r="M37" i="1"/>
  <c r="G37" i="1" s="1"/>
  <c r="M35" i="1"/>
  <c r="G35" i="1" s="1"/>
  <c r="H37" i="1" l="1"/>
  <c r="P35" i="1"/>
  <c r="J35" i="1" s="1"/>
  <c r="P147" i="1"/>
  <c r="J147" i="1" s="1"/>
  <c r="M147" i="1"/>
  <c r="G147" i="1" s="1"/>
  <c r="F148" i="1" l="1"/>
  <c r="F149" i="1"/>
  <c r="F146" i="1"/>
  <c r="P149" i="1"/>
  <c r="J149" i="1" s="1"/>
  <c r="I149" i="1"/>
  <c r="P148" i="1"/>
  <c r="J148" i="1" s="1"/>
  <c r="P146" i="1"/>
  <c r="J146" i="1" s="1"/>
  <c r="H149" i="1"/>
  <c r="H148" i="1"/>
  <c r="M148" i="1"/>
  <c r="G148" i="1" s="1"/>
  <c r="M149" i="1"/>
  <c r="G149" i="1" s="1"/>
  <c r="M146" i="1"/>
  <c r="G146" i="1" s="1"/>
  <c r="I148" i="1" l="1"/>
  <c r="J26" i="1"/>
  <c r="P26" i="1"/>
  <c r="Z33" i="3" l="1"/>
  <c r="Y33" i="3"/>
  <c r="X33" i="3"/>
  <c r="W33" i="3"/>
  <c r="U40" i="3" l="1"/>
  <c r="U39" i="3"/>
  <c r="S39" i="3"/>
  <c r="R39" i="3"/>
  <c r="U37" i="3"/>
  <c r="T37" i="3"/>
  <c r="S36" i="3"/>
  <c r="R36" i="3"/>
  <c r="Q36" i="3"/>
  <c r="U34" i="3"/>
  <c r="T34" i="3"/>
  <c r="S34" i="3"/>
  <c r="U33" i="3"/>
  <c r="U36" i="3" s="1"/>
  <c r="T33" i="3"/>
  <c r="T41" i="3" s="1"/>
  <c r="S33" i="3"/>
  <c r="S38" i="3" s="1"/>
  <c r="R33" i="3"/>
  <c r="R34" i="3" s="1"/>
  <c r="Q33" i="3"/>
  <c r="Q40" i="3" s="1"/>
  <c r="W41" i="3"/>
  <c r="P133" i="1"/>
  <c r="O133" i="1"/>
  <c r="N133" i="1"/>
  <c r="M133" i="1"/>
  <c r="L133" i="1"/>
  <c r="Q41" i="3" l="1"/>
  <c r="Q38" i="3"/>
  <c r="T39" i="3"/>
  <c r="R41" i="3"/>
  <c r="Q35" i="3"/>
  <c r="T36" i="3"/>
  <c r="R38" i="3"/>
  <c r="S41" i="3"/>
  <c r="R35" i="3"/>
  <c r="S35" i="3"/>
  <c r="Q37" i="3"/>
  <c r="T38" i="3"/>
  <c r="R40" i="3"/>
  <c r="U41" i="3"/>
  <c r="Q34" i="3"/>
  <c r="T35" i="3"/>
  <c r="R37" i="3"/>
  <c r="U38" i="3"/>
  <c r="S40" i="3"/>
  <c r="U35" i="3"/>
  <c r="S37" i="3"/>
  <c r="Q39" i="3"/>
  <c r="T40" i="3"/>
  <c r="X36" i="3"/>
  <c r="W37" i="3"/>
  <c r="W38" i="3"/>
  <c r="W34" i="3"/>
  <c r="W39" i="3"/>
  <c r="W35" i="3"/>
  <c r="W36" i="3"/>
  <c r="W40" i="3"/>
  <c r="X41" i="3"/>
  <c r="X38" i="3"/>
  <c r="X35" i="3"/>
  <c r="Z41" i="3"/>
  <c r="AA33" i="3"/>
  <c r="Y35" i="3"/>
  <c r="Z38" i="3"/>
  <c r="X40" i="3"/>
  <c r="Z35" i="3"/>
  <c r="X37" i="3"/>
  <c r="Y40" i="3"/>
  <c r="X34" i="3"/>
  <c r="Y37" i="3"/>
  <c r="Z40" i="3"/>
  <c r="Z37" i="3"/>
  <c r="X39" i="3"/>
  <c r="O32" i="1"/>
  <c r="N32" i="1"/>
  <c r="M32" i="1"/>
  <c r="Y39" i="3" l="1"/>
  <c r="Y36" i="3"/>
  <c r="Y41" i="3"/>
  <c r="Y38" i="3"/>
  <c r="Y34" i="3"/>
  <c r="Z34" i="3"/>
  <c r="Z39" i="3"/>
  <c r="Z36" i="3"/>
  <c r="AA37" i="3"/>
  <c r="AA40" i="3"/>
  <c r="AA35" i="3"/>
  <c r="AA38" i="3"/>
  <c r="AA41" i="3"/>
  <c r="AA36" i="3"/>
  <c r="AA39" i="3"/>
  <c r="AA34" i="3"/>
  <c r="J19" i="1"/>
  <c r="J143" i="1" l="1"/>
  <c r="O143" i="1"/>
  <c r="P143" i="1" s="1"/>
  <c r="N143" i="1"/>
  <c r="M143" i="1"/>
  <c r="L119" i="1" l="1"/>
  <c r="M119" i="1" s="1"/>
  <c r="G119" i="1" s="1"/>
  <c r="N119" i="1"/>
  <c r="H119" i="1" s="1"/>
  <c r="L120" i="1"/>
  <c r="F120" i="1" s="1"/>
  <c r="N120" i="1"/>
  <c r="H120" i="1" s="1"/>
  <c r="O120" i="1"/>
  <c r="I120" i="1" s="1"/>
  <c r="O119" i="1"/>
  <c r="I119" i="1" s="1"/>
  <c r="M120" i="1" l="1"/>
  <c r="G120" i="1" s="1"/>
  <c r="F119" i="1"/>
  <c r="P119" i="1"/>
  <c r="J119" i="1" s="1"/>
  <c r="P120" i="1"/>
  <c r="O70" i="1"/>
  <c r="N70" i="1"/>
  <c r="M70" i="1"/>
  <c r="O17" i="1" l="1"/>
  <c r="I17" i="1" s="1"/>
  <c r="N17" i="1"/>
  <c r="H17" i="1" s="1"/>
  <c r="M17" i="1"/>
  <c r="G17" i="1" s="1"/>
  <c r="P17" i="1" l="1"/>
  <c r="J17" i="1" s="1"/>
  <c r="K115" i="2"/>
  <c r="N114" i="2"/>
  <c r="M114" i="2"/>
  <c r="L114" i="2"/>
  <c r="K114" i="2"/>
  <c r="N113" i="2"/>
  <c r="M113" i="2"/>
  <c r="L113" i="2"/>
  <c r="K113" i="2"/>
  <c r="O112" i="2"/>
  <c r="N112" i="2"/>
  <c r="M112" i="2"/>
  <c r="K112" i="2"/>
  <c r="E112" i="2"/>
  <c r="K111" i="2"/>
  <c r="H111" i="2"/>
  <c r="N110" i="2"/>
  <c r="M110" i="2"/>
  <c r="L110" i="2"/>
  <c r="K110" i="2"/>
  <c r="N109" i="2"/>
  <c r="M109" i="2"/>
  <c r="L109" i="2"/>
  <c r="K109" i="2"/>
  <c r="O108" i="2"/>
  <c r="N108" i="2"/>
  <c r="M108" i="2"/>
  <c r="K108" i="2"/>
  <c r="E108" i="2"/>
  <c r="O107" i="2"/>
  <c r="O115" i="2" s="1"/>
  <c r="N107" i="2"/>
  <c r="N115" i="2" s="1"/>
  <c r="M107" i="2"/>
  <c r="M115" i="2" s="1"/>
  <c r="L107" i="2"/>
  <c r="L112" i="2" s="1"/>
  <c r="H107" i="2"/>
  <c r="H114" i="2" s="1"/>
  <c r="G107" i="2"/>
  <c r="G115" i="2" s="1"/>
  <c r="F107" i="2"/>
  <c r="F115" i="2" s="1"/>
  <c r="E107" i="2"/>
  <c r="E115" i="2" s="1"/>
  <c r="J80" i="1"/>
  <c r="J81" i="1"/>
  <c r="O81" i="1"/>
  <c r="P81" i="1" s="1"/>
  <c r="N81" i="1"/>
  <c r="M81" i="1"/>
  <c r="O80" i="1"/>
  <c r="P80" i="1" s="1"/>
  <c r="N80" i="1"/>
  <c r="M80" i="1"/>
  <c r="H115" i="2" l="1"/>
  <c r="E109" i="2"/>
  <c r="G112" i="2"/>
  <c r="F113" i="2"/>
  <c r="G111" i="2"/>
  <c r="F108" i="2"/>
  <c r="F112" i="2"/>
  <c r="F109" i="2"/>
  <c r="G108" i="2"/>
  <c r="E113" i="2"/>
  <c r="I107" i="2"/>
  <c r="H108" i="2"/>
  <c r="O109" i="2"/>
  <c r="H112" i="2"/>
  <c r="O113" i="2"/>
  <c r="G109" i="2"/>
  <c r="E110" i="2"/>
  <c r="L111" i="2"/>
  <c r="G113" i="2"/>
  <c r="E114" i="2"/>
  <c r="L115" i="2"/>
  <c r="H109" i="2"/>
  <c r="F110" i="2"/>
  <c r="O110" i="2"/>
  <c r="M111" i="2"/>
  <c r="H113" i="2"/>
  <c r="F114" i="2"/>
  <c r="O114" i="2"/>
  <c r="L108" i="2"/>
  <c r="G110" i="2"/>
  <c r="E111" i="2"/>
  <c r="N111" i="2"/>
  <c r="G114" i="2"/>
  <c r="H110" i="2"/>
  <c r="F111" i="2"/>
  <c r="O111" i="2"/>
  <c r="K33" i="2"/>
  <c r="K32" i="2"/>
  <c r="E32" i="2"/>
  <c r="K31" i="2"/>
  <c r="K30" i="2"/>
  <c r="K29" i="2"/>
  <c r="E29" i="2"/>
  <c r="K28" i="2"/>
  <c r="K27" i="2"/>
  <c r="K26" i="2"/>
  <c r="E26" i="2"/>
  <c r="N25" i="2"/>
  <c r="O25" i="2" s="1"/>
  <c r="M25" i="2"/>
  <c r="M30" i="2" s="1"/>
  <c r="L25" i="2"/>
  <c r="L30" i="2" s="1"/>
  <c r="G25" i="2"/>
  <c r="G32" i="2" s="1"/>
  <c r="E25" i="2"/>
  <c r="E27" i="2" s="1"/>
  <c r="K23" i="2"/>
  <c r="K22" i="2"/>
  <c r="K21" i="2"/>
  <c r="K20" i="2"/>
  <c r="K19" i="2"/>
  <c r="K18" i="2"/>
  <c r="K17" i="2"/>
  <c r="K16" i="2"/>
  <c r="N15" i="2"/>
  <c r="N23" i="2" s="1"/>
  <c r="M15" i="2"/>
  <c r="M23" i="2" s="1"/>
  <c r="L15" i="2"/>
  <c r="L20" i="2" s="1"/>
  <c r="E15" i="2"/>
  <c r="E23" i="2" s="1"/>
  <c r="K13" i="2"/>
  <c r="K12" i="2"/>
  <c r="K11" i="2"/>
  <c r="K10" i="2"/>
  <c r="K9" i="2"/>
  <c r="K8" i="2"/>
  <c r="K7" i="2"/>
  <c r="K6" i="2"/>
  <c r="N5" i="2"/>
  <c r="N13" i="2" s="1"/>
  <c r="M13" i="2"/>
  <c r="L6" i="2"/>
  <c r="E5" i="2"/>
  <c r="E13" i="2" s="1"/>
  <c r="H97" i="2"/>
  <c r="M97" i="2"/>
  <c r="G97" i="2" s="1"/>
  <c r="L97" i="2"/>
  <c r="F97" i="2" s="1"/>
  <c r="E97" i="2"/>
  <c r="E105" i="2" s="1"/>
  <c r="K105" i="2"/>
  <c r="K104" i="2"/>
  <c r="K103" i="2"/>
  <c r="K102" i="2"/>
  <c r="K101" i="2"/>
  <c r="K100" i="2"/>
  <c r="K99" i="2"/>
  <c r="K98" i="2"/>
  <c r="N97" i="2"/>
  <c r="N103" i="2" s="1"/>
  <c r="N85" i="2"/>
  <c r="N92" i="2" s="1"/>
  <c r="M85" i="2"/>
  <c r="M89" i="2" s="1"/>
  <c r="F85" i="2"/>
  <c r="H85" i="2"/>
  <c r="E85" i="2"/>
  <c r="E91" i="2" s="1"/>
  <c r="K93" i="2"/>
  <c r="K92" i="2"/>
  <c r="K91" i="2"/>
  <c r="K90" i="2"/>
  <c r="K89" i="2"/>
  <c r="N88" i="2"/>
  <c r="K88" i="2"/>
  <c r="K87" i="2"/>
  <c r="K86" i="2"/>
  <c r="L85" i="2"/>
  <c r="L86" i="2" s="1"/>
  <c r="I110" i="2" l="1"/>
  <c r="I113" i="2"/>
  <c r="I109" i="2"/>
  <c r="I112" i="2"/>
  <c r="I108" i="2"/>
  <c r="I115" i="2"/>
  <c r="I111" i="2"/>
  <c r="I114" i="2"/>
  <c r="E12" i="2"/>
  <c r="H25" i="2"/>
  <c r="H32" i="2" s="1"/>
  <c r="N30" i="2"/>
  <c r="E28" i="2"/>
  <c r="E31" i="2"/>
  <c r="E8" i="2"/>
  <c r="N32" i="2"/>
  <c r="N28" i="2"/>
  <c r="N26" i="2"/>
  <c r="E30" i="2"/>
  <c r="E33" i="2"/>
  <c r="G29" i="2"/>
  <c r="G33" i="2"/>
  <c r="M22" i="2"/>
  <c r="L31" i="2"/>
  <c r="N93" i="2"/>
  <c r="L101" i="2"/>
  <c r="M101" i="2"/>
  <c r="M12" i="2"/>
  <c r="O15" i="2"/>
  <c r="O16" i="2" s="1"/>
  <c r="M8" i="2"/>
  <c r="N12" i="2"/>
  <c r="H30" i="2"/>
  <c r="N8" i="2"/>
  <c r="M16" i="2"/>
  <c r="M20" i="2"/>
  <c r="F25" i="2"/>
  <c r="F33" i="2" s="1"/>
  <c r="M28" i="2"/>
  <c r="M32" i="2"/>
  <c r="M18" i="2"/>
  <c r="L27" i="2"/>
  <c r="N18" i="2"/>
  <c r="N22" i="2"/>
  <c r="M27" i="2"/>
  <c r="M31" i="2"/>
  <c r="O33" i="2"/>
  <c r="O29" i="2"/>
  <c r="O32" i="2"/>
  <c r="O28" i="2"/>
  <c r="O31" i="2"/>
  <c r="I25" i="2"/>
  <c r="O27" i="2"/>
  <c r="O30" i="2"/>
  <c r="O26" i="2"/>
  <c r="G26" i="2"/>
  <c r="N27" i="2"/>
  <c r="L28" i="2"/>
  <c r="G30" i="2"/>
  <c r="N31" i="2"/>
  <c r="L32" i="2"/>
  <c r="G27" i="2"/>
  <c r="G31" i="2"/>
  <c r="F31" i="2"/>
  <c r="G28" i="2"/>
  <c r="N29" i="2"/>
  <c r="N33" i="2"/>
  <c r="L29" i="2"/>
  <c r="L33" i="2"/>
  <c r="F28" i="2"/>
  <c r="M29" i="2"/>
  <c r="M33" i="2"/>
  <c r="L26" i="2"/>
  <c r="M26" i="2"/>
  <c r="H28" i="2"/>
  <c r="O19" i="2"/>
  <c r="O23" i="2"/>
  <c r="F15" i="2"/>
  <c r="E16" i="2"/>
  <c r="N16" i="2"/>
  <c r="L17" i="2"/>
  <c r="E20" i="2"/>
  <c r="N20" i="2"/>
  <c r="L21" i="2"/>
  <c r="G15" i="2"/>
  <c r="M17" i="2"/>
  <c r="M21" i="2"/>
  <c r="H15" i="2"/>
  <c r="E17" i="2"/>
  <c r="N17" i="2"/>
  <c r="L18" i="2"/>
  <c r="E21" i="2"/>
  <c r="N21" i="2"/>
  <c r="L22" i="2"/>
  <c r="E18" i="2"/>
  <c r="L19" i="2"/>
  <c r="E22" i="2"/>
  <c r="L23" i="2"/>
  <c r="M19" i="2"/>
  <c r="L16" i="2"/>
  <c r="E19" i="2"/>
  <c r="N19" i="2"/>
  <c r="L9" i="2"/>
  <c r="L13" i="2"/>
  <c r="M9" i="2"/>
  <c r="O5" i="2"/>
  <c r="M6" i="2"/>
  <c r="M10" i="2"/>
  <c r="F5" i="2"/>
  <c r="E6" i="2"/>
  <c r="N6" i="2"/>
  <c r="L7" i="2"/>
  <c r="E10" i="2"/>
  <c r="N10" i="2"/>
  <c r="L11" i="2"/>
  <c r="G5" i="2"/>
  <c r="M7" i="2"/>
  <c r="M11" i="2"/>
  <c r="H5" i="2"/>
  <c r="E7" i="2"/>
  <c r="N7" i="2"/>
  <c r="L8" i="2"/>
  <c r="E11" i="2"/>
  <c r="N11" i="2"/>
  <c r="L12" i="2"/>
  <c r="E9" i="2"/>
  <c r="N9" i="2"/>
  <c r="L10" i="2"/>
  <c r="E104" i="2"/>
  <c r="E103" i="2"/>
  <c r="E101" i="2"/>
  <c r="E100" i="2"/>
  <c r="M100" i="2"/>
  <c r="M104" i="2"/>
  <c r="N100" i="2"/>
  <c r="N104" i="2"/>
  <c r="L105" i="2"/>
  <c r="L98" i="2"/>
  <c r="N101" i="2"/>
  <c r="L102" i="2"/>
  <c r="N105" i="2"/>
  <c r="O97" i="2"/>
  <c r="I97" i="2" s="1"/>
  <c r="M98" i="2"/>
  <c r="M102" i="2"/>
  <c r="E98" i="2"/>
  <c r="N98" i="2"/>
  <c r="L99" i="2"/>
  <c r="E102" i="2"/>
  <c r="N102" i="2"/>
  <c r="L103" i="2"/>
  <c r="M99" i="2"/>
  <c r="M103" i="2"/>
  <c r="E99" i="2"/>
  <c r="N99" i="2"/>
  <c r="L100" i="2"/>
  <c r="L104" i="2"/>
  <c r="M105" i="2"/>
  <c r="M88" i="2"/>
  <c r="G85" i="2"/>
  <c r="M92" i="2"/>
  <c r="E88" i="2"/>
  <c r="E92" i="2"/>
  <c r="E89" i="2"/>
  <c r="E93" i="2"/>
  <c r="L89" i="2"/>
  <c r="L93" i="2"/>
  <c r="L90" i="2"/>
  <c r="O85" i="2"/>
  <c r="I85" i="2" s="1"/>
  <c r="M86" i="2"/>
  <c r="M90" i="2"/>
  <c r="E86" i="2"/>
  <c r="N86" i="2"/>
  <c r="L87" i="2"/>
  <c r="E90" i="2"/>
  <c r="N90" i="2"/>
  <c r="L91" i="2"/>
  <c r="M87" i="2"/>
  <c r="M91" i="2"/>
  <c r="E87" i="2"/>
  <c r="N87" i="2"/>
  <c r="L88" i="2"/>
  <c r="N91" i="2"/>
  <c r="L92" i="2"/>
  <c r="M93" i="2"/>
  <c r="N89" i="2"/>
  <c r="E3" i="3"/>
  <c r="H31" i="2" l="1"/>
  <c r="H26" i="2"/>
  <c r="H33" i="2"/>
  <c r="H29" i="2"/>
  <c r="H27" i="2"/>
  <c r="F29" i="2"/>
  <c r="F32" i="2"/>
  <c r="O20" i="2"/>
  <c r="F30" i="2"/>
  <c r="O18" i="2"/>
  <c r="F26" i="2"/>
  <c r="F27" i="2"/>
  <c r="O22" i="2"/>
  <c r="O21" i="2"/>
  <c r="O17" i="2"/>
  <c r="I15" i="2"/>
  <c r="I26" i="2"/>
  <c r="I31" i="2"/>
  <c r="I27" i="2"/>
  <c r="I30" i="2"/>
  <c r="I28" i="2"/>
  <c r="I32" i="2"/>
  <c r="I33" i="2"/>
  <c r="I29" i="2"/>
  <c r="H22" i="2"/>
  <c r="H21" i="2"/>
  <c r="H17" i="2"/>
  <c r="H20" i="2"/>
  <c r="H23" i="2"/>
  <c r="H19" i="2"/>
  <c r="H18" i="2"/>
  <c r="H16" i="2"/>
  <c r="G22" i="2"/>
  <c r="G18" i="2"/>
  <c r="G21" i="2"/>
  <c r="G17" i="2"/>
  <c r="G20" i="2"/>
  <c r="G16" i="2"/>
  <c r="G23" i="2"/>
  <c r="G19" i="2"/>
  <c r="F21" i="2"/>
  <c r="F17" i="2"/>
  <c r="F22" i="2"/>
  <c r="F18" i="2"/>
  <c r="F20" i="2"/>
  <c r="F16" i="2"/>
  <c r="F23" i="2"/>
  <c r="F19" i="2"/>
  <c r="F12" i="2"/>
  <c r="F8" i="2"/>
  <c r="F7" i="2"/>
  <c r="F10" i="2"/>
  <c r="F6" i="2"/>
  <c r="F13" i="2"/>
  <c r="F9" i="2"/>
  <c r="F11" i="2"/>
  <c r="G7" i="2"/>
  <c r="G12" i="2"/>
  <c r="G8" i="2"/>
  <c r="G10" i="2"/>
  <c r="G6" i="2"/>
  <c r="G13" i="2"/>
  <c r="G9" i="2"/>
  <c r="G11" i="2"/>
  <c r="I5" i="2"/>
  <c r="O11" i="2"/>
  <c r="O12" i="2"/>
  <c r="O8" i="2"/>
  <c r="O10" i="2"/>
  <c r="O6" i="2"/>
  <c r="O13" i="2"/>
  <c r="O9" i="2"/>
  <c r="O7" i="2"/>
  <c r="H11" i="2"/>
  <c r="H13" i="2"/>
  <c r="H9" i="2"/>
  <c r="H12" i="2"/>
  <c r="H8" i="2"/>
  <c r="H7" i="2"/>
  <c r="H10" i="2"/>
  <c r="H6" i="2"/>
  <c r="H99" i="2"/>
  <c r="H98" i="2"/>
  <c r="H105" i="2"/>
  <c r="H101" i="2"/>
  <c r="H104" i="2"/>
  <c r="H100" i="2"/>
  <c r="H103" i="2"/>
  <c r="H102" i="2"/>
  <c r="F104" i="2"/>
  <c r="F103" i="2"/>
  <c r="F102" i="2"/>
  <c r="F98" i="2"/>
  <c r="F105" i="2"/>
  <c r="F101" i="2"/>
  <c r="F100" i="2"/>
  <c r="F99" i="2"/>
  <c r="G100" i="2"/>
  <c r="G102" i="2"/>
  <c r="G98" i="2"/>
  <c r="G105" i="2"/>
  <c r="G101" i="2"/>
  <c r="G104" i="2"/>
  <c r="G103" i="2"/>
  <c r="G99" i="2"/>
  <c r="O103" i="2"/>
  <c r="O104" i="2"/>
  <c r="O99" i="2"/>
  <c r="O102" i="2"/>
  <c r="O98" i="2"/>
  <c r="O105" i="2"/>
  <c r="O101" i="2"/>
  <c r="O100" i="2"/>
  <c r="O87" i="2"/>
  <c r="O92" i="2"/>
  <c r="O91" i="2"/>
  <c r="O90" i="2"/>
  <c r="O86" i="2"/>
  <c r="O93" i="2"/>
  <c r="O89" i="2"/>
  <c r="O88" i="2"/>
  <c r="H91" i="2"/>
  <c r="H86" i="2"/>
  <c r="H93" i="2"/>
  <c r="H89" i="2"/>
  <c r="H92" i="2"/>
  <c r="H88" i="2"/>
  <c r="H87" i="2"/>
  <c r="H90" i="2"/>
  <c r="F88" i="2"/>
  <c r="F92" i="2"/>
  <c r="F90" i="2"/>
  <c r="F86" i="2"/>
  <c r="F93" i="2"/>
  <c r="F89" i="2"/>
  <c r="F91" i="2"/>
  <c r="F87" i="2"/>
  <c r="G88" i="2"/>
  <c r="G87" i="2"/>
  <c r="G90" i="2"/>
  <c r="G86" i="2"/>
  <c r="G93" i="2"/>
  <c r="G89" i="2"/>
  <c r="G92" i="2"/>
  <c r="G91" i="2"/>
  <c r="N107" i="1"/>
  <c r="I21" i="2" l="1"/>
  <c r="I22" i="2"/>
  <c r="I17" i="2"/>
  <c r="I19" i="2"/>
  <c r="I18" i="2"/>
  <c r="I16" i="2"/>
  <c r="I23" i="2"/>
  <c r="I20" i="2"/>
  <c r="I11" i="2"/>
  <c r="I7" i="2"/>
  <c r="I10" i="2"/>
  <c r="I6" i="2"/>
  <c r="I13" i="2"/>
  <c r="I9" i="2"/>
  <c r="I12" i="2"/>
  <c r="I8" i="2"/>
  <c r="I98" i="2"/>
  <c r="I105" i="2"/>
  <c r="I101" i="2"/>
  <c r="I104" i="2"/>
  <c r="I100" i="2"/>
  <c r="I103" i="2"/>
  <c r="I99" i="2"/>
  <c r="I102" i="2"/>
  <c r="I93" i="2"/>
  <c r="I89" i="2"/>
  <c r="I92" i="2"/>
  <c r="I88" i="2"/>
  <c r="I91" i="2"/>
  <c r="I87" i="2"/>
  <c r="I90" i="2"/>
  <c r="I86" i="2"/>
  <c r="E63" i="3"/>
  <c r="G53" i="3"/>
  <c r="H53" i="3"/>
  <c r="I53" i="3"/>
  <c r="E75" i="2"/>
  <c r="E65" i="2"/>
  <c r="E55" i="2"/>
  <c r="F43" i="3" l="1"/>
  <c r="G43" i="3"/>
  <c r="H43" i="3"/>
  <c r="I43" i="3"/>
  <c r="E43" i="3"/>
  <c r="F33" i="3"/>
  <c r="G33" i="3"/>
  <c r="H33" i="3"/>
  <c r="I33" i="3"/>
  <c r="E33" i="3"/>
  <c r="F23" i="3"/>
  <c r="G23" i="3"/>
  <c r="H23" i="3"/>
  <c r="I23" i="3"/>
  <c r="E23" i="3"/>
  <c r="F13" i="3"/>
  <c r="G13" i="3"/>
  <c r="H13" i="3"/>
  <c r="I13" i="3"/>
  <c r="E13" i="3"/>
  <c r="F3" i="3"/>
  <c r="G3" i="3"/>
  <c r="G4" i="3" s="1"/>
  <c r="H3" i="3"/>
  <c r="I3" i="3"/>
  <c r="E56" i="2"/>
  <c r="E45" i="2"/>
  <c r="E35" i="2"/>
  <c r="E36" i="2" s="1"/>
  <c r="K71" i="3" l="1"/>
  <c r="M70" i="3"/>
  <c r="K70" i="3"/>
  <c r="K69" i="3"/>
  <c r="K68" i="3"/>
  <c r="K67" i="3"/>
  <c r="M66" i="3"/>
  <c r="K66" i="3"/>
  <c r="K65" i="3"/>
  <c r="K64" i="3"/>
  <c r="N63" i="3"/>
  <c r="N69" i="3" s="1"/>
  <c r="M63" i="3"/>
  <c r="M69" i="3" s="1"/>
  <c r="L63" i="3"/>
  <c r="L70" i="3" s="1"/>
  <c r="E69" i="3"/>
  <c r="K61" i="3"/>
  <c r="N60" i="3"/>
  <c r="M60" i="3"/>
  <c r="K60" i="3"/>
  <c r="K59" i="3"/>
  <c r="K58" i="3"/>
  <c r="K57" i="3"/>
  <c r="K56" i="3"/>
  <c r="K55" i="3"/>
  <c r="K54" i="3"/>
  <c r="N53" i="3"/>
  <c r="O53" i="3" s="1"/>
  <c r="M53" i="3"/>
  <c r="M58" i="3" s="1"/>
  <c r="L53" i="3"/>
  <c r="L58" i="3" s="1"/>
  <c r="E61" i="3"/>
  <c r="K51" i="3"/>
  <c r="M50" i="3"/>
  <c r="K50" i="3"/>
  <c r="K49" i="3"/>
  <c r="N48" i="3"/>
  <c r="L48" i="3"/>
  <c r="K48" i="3"/>
  <c r="K47" i="3"/>
  <c r="K46" i="3"/>
  <c r="E46" i="3"/>
  <c r="K45" i="3"/>
  <c r="K44" i="3"/>
  <c r="E44" i="3"/>
  <c r="N43" i="3"/>
  <c r="O43" i="3" s="1"/>
  <c r="M43" i="3"/>
  <c r="M51" i="3" s="1"/>
  <c r="L43" i="3"/>
  <c r="L51" i="3" s="1"/>
  <c r="E49" i="3"/>
  <c r="K41" i="3"/>
  <c r="H41" i="3"/>
  <c r="K40" i="3"/>
  <c r="N39" i="3"/>
  <c r="M39" i="3"/>
  <c r="K39" i="3"/>
  <c r="M38" i="3"/>
  <c r="K38" i="3"/>
  <c r="K37" i="3"/>
  <c r="K36" i="3"/>
  <c r="N35" i="3"/>
  <c r="L35" i="3"/>
  <c r="K35" i="3"/>
  <c r="N34" i="3"/>
  <c r="M34" i="3"/>
  <c r="K34" i="3"/>
  <c r="F34" i="3"/>
  <c r="N33" i="3"/>
  <c r="N41" i="3" s="1"/>
  <c r="M33" i="3"/>
  <c r="M41" i="3" s="1"/>
  <c r="L33" i="3"/>
  <c r="L38" i="3" s="1"/>
  <c r="H39" i="3"/>
  <c r="G41" i="3"/>
  <c r="F39" i="3"/>
  <c r="E38" i="3"/>
  <c r="K31" i="3"/>
  <c r="E31" i="3"/>
  <c r="K30" i="3"/>
  <c r="K29" i="3"/>
  <c r="E29" i="3"/>
  <c r="N28" i="3"/>
  <c r="K28" i="3"/>
  <c r="K27" i="3"/>
  <c r="E27" i="3"/>
  <c r="M26" i="3"/>
  <c r="K26" i="3"/>
  <c r="K25" i="3"/>
  <c r="E25" i="3"/>
  <c r="K24" i="3"/>
  <c r="E24" i="3"/>
  <c r="N23" i="3"/>
  <c r="O23" i="3" s="1"/>
  <c r="M23" i="3"/>
  <c r="M28" i="3" s="1"/>
  <c r="L23" i="3"/>
  <c r="L31" i="3" s="1"/>
  <c r="E30" i="3"/>
  <c r="K21" i="3"/>
  <c r="M20" i="3"/>
  <c r="K20" i="3"/>
  <c r="K19" i="3"/>
  <c r="K18" i="3"/>
  <c r="K17" i="3"/>
  <c r="K16" i="3"/>
  <c r="K15" i="3"/>
  <c r="K14" i="3"/>
  <c r="N13" i="3"/>
  <c r="N18" i="3" s="1"/>
  <c r="M13" i="3"/>
  <c r="M21" i="3" s="1"/>
  <c r="L13" i="3"/>
  <c r="L20" i="3" s="1"/>
  <c r="E19" i="3"/>
  <c r="K11" i="3"/>
  <c r="I11" i="3"/>
  <c r="O10" i="3"/>
  <c r="N10" i="3"/>
  <c r="K10" i="3"/>
  <c r="I10" i="3"/>
  <c r="E10" i="3"/>
  <c r="O9" i="3"/>
  <c r="N9" i="3"/>
  <c r="K9" i="3"/>
  <c r="E9" i="3"/>
  <c r="N8" i="3"/>
  <c r="K8" i="3"/>
  <c r="I8" i="3"/>
  <c r="E8" i="3"/>
  <c r="K7" i="3"/>
  <c r="I7" i="3"/>
  <c r="O6" i="3"/>
  <c r="N6" i="3"/>
  <c r="L6" i="3"/>
  <c r="K6" i="3"/>
  <c r="I6" i="3"/>
  <c r="E6" i="3"/>
  <c r="O5" i="3"/>
  <c r="N5" i="3"/>
  <c r="K5" i="3"/>
  <c r="E5" i="3"/>
  <c r="N4" i="3"/>
  <c r="K4" i="3"/>
  <c r="I4" i="3"/>
  <c r="E4" i="3"/>
  <c r="O3" i="3"/>
  <c r="O8" i="3" s="1"/>
  <c r="N3" i="3"/>
  <c r="N11" i="3" s="1"/>
  <c r="M3" i="3"/>
  <c r="M10" i="3" s="1"/>
  <c r="L3" i="3"/>
  <c r="L10" i="3" s="1"/>
  <c r="I9" i="3"/>
  <c r="H8" i="3"/>
  <c r="E11" i="3"/>
  <c r="E66" i="3" l="1"/>
  <c r="E70" i="3"/>
  <c r="N66" i="3"/>
  <c r="N70" i="3"/>
  <c r="E67" i="3"/>
  <c r="E71" i="3"/>
  <c r="M56" i="3"/>
  <c r="N56" i="3"/>
  <c r="E60" i="3"/>
  <c r="E56" i="3"/>
  <c r="L49" i="3"/>
  <c r="L45" i="3"/>
  <c r="M49" i="3"/>
  <c r="M45" i="3"/>
  <c r="E48" i="3"/>
  <c r="E50" i="3"/>
  <c r="L44" i="3"/>
  <c r="M48" i="3"/>
  <c r="F51" i="3"/>
  <c r="M44" i="3"/>
  <c r="M46" i="3"/>
  <c r="E51" i="3"/>
  <c r="G44" i="3"/>
  <c r="N44" i="3"/>
  <c r="E47" i="3"/>
  <c r="L67" i="3"/>
  <c r="L71" i="3"/>
  <c r="M67" i="3"/>
  <c r="M71" i="3"/>
  <c r="L64" i="3"/>
  <c r="N67" i="3"/>
  <c r="L68" i="3"/>
  <c r="N71" i="3"/>
  <c r="O63" i="3"/>
  <c r="M64" i="3"/>
  <c r="M68" i="3"/>
  <c r="E64" i="3"/>
  <c r="N64" i="3"/>
  <c r="L65" i="3"/>
  <c r="E68" i="3"/>
  <c r="N68" i="3"/>
  <c r="L69" i="3"/>
  <c r="M65" i="3"/>
  <c r="E65" i="3"/>
  <c r="N65" i="3"/>
  <c r="L66" i="3"/>
  <c r="F38" i="3"/>
  <c r="H36" i="3"/>
  <c r="F40" i="3"/>
  <c r="H40" i="3"/>
  <c r="L36" i="3"/>
  <c r="N38" i="3"/>
  <c r="N36" i="3"/>
  <c r="L40" i="3"/>
  <c r="F36" i="3"/>
  <c r="F37" i="3"/>
  <c r="N40" i="3"/>
  <c r="O33" i="3"/>
  <c r="O35" i="3" s="1"/>
  <c r="M35" i="3"/>
  <c r="H37" i="3"/>
  <c r="L39" i="3"/>
  <c r="F41" i="3"/>
  <c r="L30" i="3"/>
  <c r="F28" i="3"/>
  <c r="N29" i="3"/>
  <c r="L24" i="3"/>
  <c r="H31" i="3"/>
  <c r="N24" i="3"/>
  <c r="L26" i="3"/>
  <c r="L28" i="3"/>
  <c r="M25" i="3"/>
  <c r="M30" i="3"/>
  <c r="L25" i="3"/>
  <c r="L29" i="3"/>
  <c r="N25" i="3"/>
  <c r="E28" i="3"/>
  <c r="M29" i="3"/>
  <c r="M15" i="3"/>
  <c r="N15" i="3"/>
  <c r="O13" i="3"/>
  <c r="O20" i="3" s="1"/>
  <c r="M18" i="3"/>
  <c r="M14" i="3"/>
  <c r="N16" i="3"/>
  <c r="M19" i="3"/>
  <c r="G18" i="3"/>
  <c r="N20" i="3"/>
  <c r="M16" i="3"/>
  <c r="N19" i="3"/>
  <c r="O61" i="3"/>
  <c r="O57" i="3"/>
  <c r="O55" i="3"/>
  <c r="O60" i="3"/>
  <c r="O56" i="3"/>
  <c r="O59" i="3"/>
  <c r="O58" i="3"/>
  <c r="O54" i="3"/>
  <c r="M55" i="3"/>
  <c r="M59" i="3"/>
  <c r="L57" i="3"/>
  <c r="L61" i="3"/>
  <c r="E54" i="3"/>
  <c r="N54" i="3"/>
  <c r="L55" i="3"/>
  <c r="E58" i="3"/>
  <c r="N58" i="3"/>
  <c r="L59" i="3"/>
  <c r="E55" i="3"/>
  <c r="N55" i="3"/>
  <c r="L56" i="3"/>
  <c r="E59" i="3"/>
  <c r="N59" i="3"/>
  <c r="L60" i="3"/>
  <c r="M57" i="3"/>
  <c r="M61" i="3"/>
  <c r="L54" i="3"/>
  <c r="E57" i="3"/>
  <c r="N57" i="3"/>
  <c r="N61" i="3"/>
  <c r="M54" i="3"/>
  <c r="O51" i="3"/>
  <c r="O47" i="3"/>
  <c r="O50" i="3"/>
  <c r="O46" i="3"/>
  <c r="O49" i="3"/>
  <c r="O45" i="3"/>
  <c r="O48" i="3"/>
  <c r="O44" i="3"/>
  <c r="O28" i="3"/>
  <c r="O24" i="3"/>
  <c r="O31" i="3"/>
  <c r="O27" i="3"/>
  <c r="O30" i="3"/>
  <c r="O26" i="3"/>
  <c r="O29" i="3"/>
  <c r="O25" i="3"/>
  <c r="H5" i="3"/>
  <c r="L17" i="3"/>
  <c r="G19" i="3"/>
  <c r="F25" i="3"/>
  <c r="H28" i="3"/>
  <c r="G34" i="3"/>
  <c r="E35" i="3"/>
  <c r="G38" i="3"/>
  <c r="E39" i="3"/>
  <c r="F44" i="3"/>
  <c r="F48" i="3"/>
  <c r="L4" i="3"/>
  <c r="I5" i="3"/>
  <c r="E7" i="3"/>
  <c r="N7" i="3"/>
  <c r="L8" i="3"/>
  <c r="H15" i="3"/>
  <c r="O16" i="3"/>
  <c r="M17" i="3"/>
  <c r="G25" i="3"/>
  <c r="E26" i="3"/>
  <c r="N26" i="3"/>
  <c r="L27" i="3"/>
  <c r="N30" i="3"/>
  <c r="H34" i="3"/>
  <c r="F35" i="3"/>
  <c r="M36" i="3"/>
  <c r="H38" i="3"/>
  <c r="O39" i="3"/>
  <c r="M40" i="3"/>
  <c r="E45" i="3"/>
  <c r="N45" i="3"/>
  <c r="L46" i="3"/>
  <c r="N49" i="3"/>
  <c r="L50" i="3"/>
  <c r="L7" i="3"/>
  <c r="M7" i="3"/>
  <c r="H9" i="3"/>
  <c r="M11" i="3"/>
  <c r="E16" i="3"/>
  <c r="E20" i="3"/>
  <c r="L21" i="3"/>
  <c r="H24" i="3"/>
  <c r="F29" i="3"/>
  <c r="M4" i="3"/>
  <c r="H6" i="3"/>
  <c r="O7" i="3"/>
  <c r="M8" i="3"/>
  <c r="H10" i="3"/>
  <c r="O11" i="3"/>
  <c r="L14" i="3"/>
  <c r="E17" i="3"/>
  <c r="N17" i="3"/>
  <c r="L18" i="3"/>
  <c r="E21" i="3"/>
  <c r="N21" i="3"/>
  <c r="H25" i="3"/>
  <c r="F26" i="3"/>
  <c r="M27" i="3"/>
  <c r="H29" i="3"/>
  <c r="F30" i="3"/>
  <c r="M31" i="3"/>
  <c r="G35" i="3"/>
  <c r="E36" i="3"/>
  <c r="L37" i="3"/>
  <c r="G39" i="3"/>
  <c r="E40" i="3"/>
  <c r="L41" i="3"/>
  <c r="F45" i="3"/>
  <c r="F49" i="3"/>
  <c r="L11" i="3"/>
  <c r="L5" i="3"/>
  <c r="L9" i="3"/>
  <c r="N27" i="3"/>
  <c r="N31" i="3"/>
  <c r="H35" i="3"/>
  <c r="O36" i="3"/>
  <c r="M37" i="3"/>
  <c r="O40" i="3"/>
  <c r="N46" i="3"/>
  <c r="L47" i="3"/>
  <c r="N50" i="3"/>
  <c r="O4" i="3"/>
  <c r="M5" i="3"/>
  <c r="H7" i="3"/>
  <c r="M9" i="3"/>
  <c r="H11" i="3"/>
  <c r="E14" i="3"/>
  <c r="N14" i="3"/>
  <c r="L15" i="3"/>
  <c r="E18" i="3"/>
  <c r="L19" i="3"/>
  <c r="M24" i="3"/>
  <c r="H26" i="3"/>
  <c r="F27" i="3"/>
  <c r="H30" i="3"/>
  <c r="F31" i="3"/>
  <c r="L34" i="3"/>
  <c r="G36" i="3"/>
  <c r="E37" i="3"/>
  <c r="N37" i="3"/>
  <c r="G40" i="3"/>
  <c r="E41" i="3"/>
  <c r="F46" i="3"/>
  <c r="M47" i="3"/>
  <c r="F50" i="3"/>
  <c r="N51" i="3"/>
  <c r="O37" i="3"/>
  <c r="N47" i="3"/>
  <c r="H4" i="3"/>
  <c r="M6" i="3"/>
  <c r="E15" i="3"/>
  <c r="L16" i="3"/>
  <c r="F24" i="3"/>
  <c r="H27" i="3"/>
  <c r="E34" i="3"/>
  <c r="G37" i="3"/>
  <c r="F47" i="3"/>
  <c r="E83" i="2"/>
  <c r="E82" i="2"/>
  <c r="E81" i="2"/>
  <c r="E80" i="2"/>
  <c r="E79" i="2"/>
  <c r="E78" i="2"/>
  <c r="E77" i="2"/>
  <c r="E76" i="2"/>
  <c r="K83" i="2"/>
  <c r="K82" i="2"/>
  <c r="K81" i="2"/>
  <c r="K80" i="2"/>
  <c r="K79" i="2"/>
  <c r="K78" i="2"/>
  <c r="K77" i="2"/>
  <c r="K76" i="2"/>
  <c r="N75" i="2"/>
  <c r="N82" i="2" s="1"/>
  <c r="M75" i="2"/>
  <c r="G75" i="2" s="1"/>
  <c r="G81" i="2" s="1"/>
  <c r="L75" i="2"/>
  <c r="F75" i="2" s="1"/>
  <c r="F78" i="2" s="1"/>
  <c r="E73" i="2"/>
  <c r="E72" i="2"/>
  <c r="E71" i="2"/>
  <c r="E70" i="2"/>
  <c r="E69" i="2"/>
  <c r="E68" i="2"/>
  <c r="E67" i="2"/>
  <c r="E66" i="2"/>
  <c r="K73" i="2"/>
  <c r="K72" i="2"/>
  <c r="K71" i="2"/>
  <c r="K70" i="2"/>
  <c r="M69" i="2"/>
  <c r="K69" i="2"/>
  <c r="K68" i="2"/>
  <c r="K67" i="2"/>
  <c r="M66" i="2"/>
  <c r="K66" i="2"/>
  <c r="N65" i="2"/>
  <c r="M65" i="2"/>
  <c r="G65" i="2" s="1"/>
  <c r="G70" i="2" s="1"/>
  <c r="L65" i="2"/>
  <c r="F65" i="2" s="1"/>
  <c r="F67" i="2" s="1"/>
  <c r="E63" i="2"/>
  <c r="E62" i="2"/>
  <c r="E61" i="2"/>
  <c r="E60" i="2"/>
  <c r="E59" i="2"/>
  <c r="E58" i="2"/>
  <c r="E57" i="2"/>
  <c r="K63" i="2"/>
  <c r="K62" i="2"/>
  <c r="K61" i="2"/>
  <c r="K60" i="2"/>
  <c r="K59" i="2"/>
  <c r="K58" i="2"/>
  <c r="K57" i="2"/>
  <c r="K56" i="2"/>
  <c r="N55" i="2"/>
  <c r="N63" i="2" s="1"/>
  <c r="M55" i="2"/>
  <c r="G55" i="2" s="1"/>
  <c r="G59" i="2" s="1"/>
  <c r="L55" i="2"/>
  <c r="F55" i="2" s="1"/>
  <c r="F56" i="2" s="1"/>
  <c r="K53" i="2"/>
  <c r="K52" i="2"/>
  <c r="K51" i="2"/>
  <c r="K50" i="2"/>
  <c r="K49" i="2"/>
  <c r="K48" i="2"/>
  <c r="K47" i="2"/>
  <c r="K46" i="2"/>
  <c r="E53" i="2"/>
  <c r="E52" i="2"/>
  <c r="E51" i="2"/>
  <c r="E50" i="2"/>
  <c r="E49" i="2"/>
  <c r="E48" i="2"/>
  <c r="E47" i="2"/>
  <c r="E46" i="2"/>
  <c r="N45" i="2"/>
  <c r="N50" i="2" s="1"/>
  <c r="M45" i="2"/>
  <c r="G45" i="2" s="1"/>
  <c r="G46" i="2" s="1"/>
  <c r="L45" i="2"/>
  <c r="F45" i="2" s="1"/>
  <c r="F48" i="2" s="1"/>
  <c r="K43" i="2"/>
  <c r="K42" i="2"/>
  <c r="K41" i="2"/>
  <c r="K40" i="2"/>
  <c r="K39" i="2"/>
  <c r="K38" i="2"/>
  <c r="K37" i="2"/>
  <c r="K36" i="2"/>
  <c r="E43" i="2"/>
  <c r="E42" i="2"/>
  <c r="E41" i="2"/>
  <c r="E40" i="2"/>
  <c r="E39" i="2"/>
  <c r="E38" i="2"/>
  <c r="E37" i="2"/>
  <c r="G63" i="2" l="1"/>
  <c r="M58" i="2"/>
  <c r="N58" i="2"/>
  <c r="G77" i="2"/>
  <c r="G60" i="2"/>
  <c r="M77" i="2"/>
  <c r="G82" i="2"/>
  <c r="M78" i="2"/>
  <c r="L82" i="2"/>
  <c r="F72" i="2"/>
  <c r="F68" i="2"/>
  <c r="L71" i="2"/>
  <c r="F69" i="2"/>
  <c r="F71" i="2"/>
  <c r="N61" i="2"/>
  <c r="N62" i="2"/>
  <c r="M48" i="2"/>
  <c r="G52" i="2"/>
  <c r="F52" i="2"/>
  <c r="G48" i="2"/>
  <c r="L52" i="2"/>
  <c r="G49" i="2"/>
  <c r="F53" i="2"/>
  <c r="M49" i="2"/>
  <c r="M53" i="2"/>
  <c r="G51" i="2"/>
  <c r="M51" i="2"/>
  <c r="G47" i="2"/>
  <c r="M47" i="2"/>
  <c r="N51" i="2"/>
  <c r="M52" i="2"/>
  <c r="G53" i="2"/>
  <c r="L53" i="2"/>
  <c r="F60" i="2"/>
  <c r="M63" i="2"/>
  <c r="G56" i="2"/>
  <c r="L63" i="2"/>
  <c r="M59" i="2"/>
  <c r="M68" i="2"/>
  <c r="L72" i="2"/>
  <c r="G67" i="2"/>
  <c r="F70" i="2"/>
  <c r="F73" i="2"/>
  <c r="L69" i="2"/>
  <c r="M72" i="2"/>
  <c r="G73" i="2"/>
  <c r="L73" i="2"/>
  <c r="G68" i="2"/>
  <c r="G71" i="2"/>
  <c r="M67" i="2"/>
  <c r="M73" i="2"/>
  <c r="L68" i="2"/>
  <c r="M71" i="2"/>
  <c r="G66" i="2"/>
  <c r="G69" i="2"/>
  <c r="G72" i="2"/>
  <c r="F83" i="2"/>
  <c r="M82" i="2"/>
  <c r="G78" i="2"/>
  <c r="G83" i="2"/>
  <c r="L83" i="2"/>
  <c r="M83" i="2"/>
  <c r="N81" i="2"/>
  <c r="N78" i="2"/>
  <c r="L80" i="2"/>
  <c r="F80" i="2"/>
  <c r="L77" i="2"/>
  <c r="M80" i="2"/>
  <c r="N83" i="2"/>
  <c r="F77" i="2"/>
  <c r="G80" i="2"/>
  <c r="N80" i="2"/>
  <c r="F82" i="2"/>
  <c r="L76" i="2"/>
  <c r="M79" i="2"/>
  <c r="F76" i="2"/>
  <c r="G79" i="2"/>
  <c r="O75" i="2"/>
  <c r="H75" i="2"/>
  <c r="N77" i="2"/>
  <c r="F79" i="2"/>
  <c r="M76" i="2"/>
  <c r="N79" i="2"/>
  <c r="L81" i="2"/>
  <c r="G76" i="2"/>
  <c r="F81" i="2"/>
  <c r="L79" i="2"/>
  <c r="N76" i="2"/>
  <c r="L78" i="2"/>
  <c r="M81" i="2"/>
  <c r="O65" i="2"/>
  <c r="H65" i="2"/>
  <c r="N70" i="2"/>
  <c r="N67" i="2"/>
  <c r="L66" i="2"/>
  <c r="N72" i="2"/>
  <c r="F66" i="2"/>
  <c r="N69" i="2"/>
  <c r="N66" i="2"/>
  <c r="N71" i="2"/>
  <c r="N68" i="2"/>
  <c r="L70" i="2"/>
  <c r="L67" i="2"/>
  <c r="M70" i="2"/>
  <c r="N73" i="2"/>
  <c r="L60" i="2"/>
  <c r="L56" i="2"/>
  <c r="F61" i="2"/>
  <c r="M56" i="2"/>
  <c r="N59" i="2"/>
  <c r="L61" i="2"/>
  <c r="F58" i="2"/>
  <c r="G61" i="2"/>
  <c r="N56" i="2"/>
  <c r="L58" i="2"/>
  <c r="M61" i="2"/>
  <c r="G58" i="2"/>
  <c r="F63" i="2"/>
  <c r="L57" i="2"/>
  <c r="M60" i="2"/>
  <c r="G57" i="2"/>
  <c r="F62" i="2"/>
  <c r="O55" i="2"/>
  <c r="H55" i="2"/>
  <c r="M57" i="2"/>
  <c r="N60" i="2"/>
  <c r="L62" i="2"/>
  <c r="F59" i="2"/>
  <c r="G62" i="2"/>
  <c r="F57" i="2"/>
  <c r="N57" i="2"/>
  <c r="L59" i="2"/>
  <c r="M62" i="2"/>
  <c r="F50" i="2"/>
  <c r="N48" i="2"/>
  <c r="L50" i="2"/>
  <c r="F47" i="2"/>
  <c r="G50" i="2"/>
  <c r="L47" i="2"/>
  <c r="M50" i="2"/>
  <c r="N53" i="2"/>
  <c r="O45" i="2"/>
  <c r="H45" i="2"/>
  <c r="F49" i="2"/>
  <c r="L49" i="2"/>
  <c r="F46" i="2"/>
  <c r="L46" i="2"/>
  <c r="N52" i="2"/>
  <c r="F51" i="2"/>
  <c r="M46" i="2"/>
  <c r="N49" i="2"/>
  <c r="L51" i="2"/>
  <c r="N47" i="2"/>
  <c r="N46" i="2"/>
  <c r="L48" i="2"/>
  <c r="G49" i="3"/>
  <c r="G51" i="3"/>
  <c r="G46" i="3"/>
  <c r="G47" i="3"/>
  <c r="G50" i="3"/>
  <c r="G45" i="3"/>
  <c r="G48" i="3"/>
  <c r="H68" i="3"/>
  <c r="H71" i="3"/>
  <c r="H67" i="3"/>
  <c r="H70" i="3"/>
  <c r="H66" i="3"/>
  <c r="H69" i="3"/>
  <c r="H65" i="3"/>
  <c r="H64" i="3"/>
  <c r="G68" i="3"/>
  <c r="G64" i="3"/>
  <c r="G71" i="3"/>
  <c r="G67" i="3"/>
  <c r="G70" i="3"/>
  <c r="G66" i="3"/>
  <c r="G69" i="3"/>
  <c r="G65" i="3"/>
  <c r="O68" i="3"/>
  <c r="O64" i="3"/>
  <c r="O71" i="3"/>
  <c r="O67" i="3"/>
  <c r="O70" i="3"/>
  <c r="O66" i="3"/>
  <c r="O69" i="3"/>
  <c r="O65" i="3"/>
  <c r="F68" i="3"/>
  <c r="F64" i="3"/>
  <c r="F71" i="3"/>
  <c r="F67" i="3"/>
  <c r="F70" i="3"/>
  <c r="F66" i="3"/>
  <c r="F69" i="3"/>
  <c r="F65" i="3"/>
  <c r="O41" i="3"/>
  <c r="O38" i="3"/>
  <c r="O34" i="3"/>
  <c r="I41" i="3"/>
  <c r="G29" i="3"/>
  <c r="G24" i="3"/>
  <c r="G31" i="3"/>
  <c r="G27" i="3"/>
  <c r="G30" i="3"/>
  <c r="G28" i="3"/>
  <c r="G26" i="3"/>
  <c r="G14" i="3"/>
  <c r="G17" i="3"/>
  <c r="G16" i="3"/>
  <c r="G15" i="3"/>
  <c r="O21" i="3"/>
  <c r="O14" i="3"/>
  <c r="O18" i="3"/>
  <c r="O15" i="3"/>
  <c r="O19" i="3"/>
  <c r="H19" i="3"/>
  <c r="H17" i="3"/>
  <c r="H21" i="3"/>
  <c r="H16" i="3"/>
  <c r="H14" i="3"/>
  <c r="H20" i="3"/>
  <c r="H18" i="3"/>
  <c r="G20" i="3"/>
  <c r="G21" i="3"/>
  <c r="O17" i="3"/>
  <c r="F61" i="3"/>
  <c r="F57" i="3"/>
  <c r="F59" i="3"/>
  <c r="F60" i="3"/>
  <c r="F56" i="3"/>
  <c r="F55" i="3"/>
  <c r="F58" i="3"/>
  <c r="F54" i="3"/>
  <c r="I59" i="3"/>
  <c r="I55" i="3"/>
  <c r="I54" i="3"/>
  <c r="I61" i="3"/>
  <c r="I57" i="3"/>
  <c r="I60" i="3"/>
  <c r="I56" i="3"/>
  <c r="I58" i="3"/>
  <c r="H60" i="3"/>
  <c r="H56" i="3"/>
  <c r="H59" i="3"/>
  <c r="H55" i="3"/>
  <c r="H58" i="3"/>
  <c r="H54" i="3"/>
  <c r="H61" i="3"/>
  <c r="H57" i="3"/>
  <c r="G60" i="3"/>
  <c r="G56" i="3"/>
  <c r="G58" i="3"/>
  <c r="G54" i="3"/>
  <c r="G57" i="3"/>
  <c r="G59" i="3"/>
  <c r="G55" i="3"/>
  <c r="G61" i="3"/>
  <c r="F9" i="3"/>
  <c r="F5" i="3"/>
  <c r="F8" i="3"/>
  <c r="F4" i="3"/>
  <c r="F11" i="3"/>
  <c r="F7" i="3"/>
  <c r="F10" i="3"/>
  <c r="F6" i="3"/>
  <c r="G11" i="3"/>
  <c r="G7" i="3"/>
  <c r="G9" i="3"/>
  <c r="G8" i="3"/>
  <c r="G10" i="3"/>
  <c r="G6" i="3"/>
  <c r="G5" i="3"/>
  <c r="H50" i="3"/>
  <c r="H46" i="3"/>
  <c r="H49" i="3"/>
  <c r="H45" i="3"/>
  <c r="H48" i="3"/>
  <c r="H44" i="3"/>
  <c r="H51" i="3"/>
  <c r="H47" i="3"/>
  <c r="I38" i="3"/>
  <c r="I34" i="3"/>
  <c r="F18" i="3"/>
  <c r="F14" i="3"/>
  <c r="F21" i="3"/>
  <c r="F17" i="3"/>
  <c r="F15" i="3"/>
  <c r="F20" i="3"/>
  <c r="F16" i="3"/>
  <c r="F19" i="3"/>
  <c r="I30" i="3"/>
  <c r="I26" i="3"/>
  <c r="I29" i="3"/>
  <c r="I25" i="3"/>
  <c r="I31" i="3"/>
  <c r="I28" i="3"/>
  <c r="I24" i="3"/>
  <c r="I27" i="3"/>
  <c r="I49" i="3"/>
  <c r="I45" i="3"/>
  <c r="I48" i="3"/>
  <c r="I44" i="3"/>
  <c r="I50" i="3"/>
  <c r="I51" i="3"/>
  <c r="I47" i="3"/>
  <c r="I46" i="3"/>
  <c r="N35" i="2"/>
  <c r="O35" i="2" s="1"/>
  <c r="M35" i="2"/>
  <c r="L35" i="2"/>
  <c r="I35" i="2" l="1"/>
  <c r="O38" i="2"/>
  <c r="O36" i="2"/>
  <c r="O41" i="2"/>
  <c r="O39" i="2"/>
  <c r="O42" i="2"/>
  <c r="O37" i="2"/>
  <c r="O40" i="2"/>
  <c r="O43" i="2"/>
  <c r="F35" i="2"/>
  <c r="F39" i="2" s="1"/>
  <c r="L37" i="2"/>
  <c r="L43" i="2"/>
  <c r="L40" i="2"/>
  <c r="L42" i="2"/>
  <c r="L38" i="2"/>
  <c r="L41" i="2"/>
  <c r="L36" i="2"/>
  <c r="L39" i="2"/>
  <c r="G35" i="2"/>
  <c r="G38" i="2" s="1"/>
  <c r="M40" i="2"/>
  <c r="M38" i="2"/>
  <c r="M37" i="2"/>
  <c r="M43" i="2"/>
  <c r="M41" i="2"/>
  <c r="M36" i="2"/>
  <c r="M39" i="2"/>
  <c r="M42" i="2"/>
  <c r="H35" i="2"/>
  <c r="H38" i="2" s="1"/>
  <c r="N43" i="2"/>
  <c r="N41" i="2"/>
  <c r="N38" i="2"/>
  <c r="N36" i="2"/>
  <c r="N39" i="2"/>
  <c r="N42" i="2"/>
  <c r="N37" i="2"/>
  <c r="N40" i="2"/>
  <c r="I75" i="2"/>
  <c r="O79" i="2"/>
  <c r="O82" i="2"/>
  <c r="O83" i="2"/>
  <c r="O77" i="2"/>
  <c r="O80" i="2"/>
  <c r="O76" i="2"/>
  <c r="O78" i="2"/>
  <c r="O81" i="2"/>
  <c r="H76" i="2"/>
  <c r="H79" i="2"/>
  <c r="H77" i="2"/>
  <c r="H80" i="2"/>
  <c r="H82" i="2"/>
  <c r="H81" i="2"/>
  <c r="H83" i="2"/>
  <c r="H78" i="2"/>
  <c r="H73" i="2"/>
  <c r="H68" i="2"/>
  <c r="H71" i="2"/>
  <c r="H66" i="2"/>
  <c r="H69" i="2"/>
  <c r="H72" i="2"/>
  <c r="H67" i="2"/>
  <c r="H70" i="2"/>
  <c r="I65" i="2"/>
  <c r="O68" i="2"/>
  <c r="O71" i="2"/>
  <c r="O66" i="2"/>
  <c r="O69" i="2"/>
  <c r="O72" i="2"/>
  <c r="O67" i="2"/>
  <c r="O70" i="2"/>
  <c r="O73" i="2"/>
  <c r="H62" i="2"/>
  <c r="H63" i="2"/>
  <c r="H57" i="2"/>
  <c r="H60" i="2"/>
  <c r="H61" i="2"/>
  <c r="H56" i="2"/>
  <c r="H59" i="2"/>
  <c r="H58" i="2"/>
  <c r="I55" i="2"/>
  <c r="O60" i="2"/>
  <c r="O56" i="2"/>
  <c r="O63" i="2"/>
  <c r="O61" i="2"/>
  <c r="O58" i="2"/>
  <c r="O59" i="2"/>
  <c r="O62" i="2"/>
  <c r="O57" i="2"/>
  <c r="I45" i="2"/>
  <c r="O49" i="2"/>
  <c r="O52" i="2"/>
  <c r="O47" i="2"/>
  <c r="O50" i="2"/>
  <c r="O53" i="2"/>
  <c r="O48" i="2"/>
  <c r="O51" i="2"/>
  <c r="O46" i="2"/>
  <c r="H46" i="2"/>
  <c r="H49" i="2"/>
  <c r="H52" i="2"/>
  <c r="H47" i="2"/>
  <c r="H50" i="2"/>
  <c r="H53" i="2"/>
  <c r="H48" i="2"/>
  <c r="H51" i="2"/>
  <c r="I71" i="3"/>
  <c r="I67" i="3"/>
  <c r="I70" i="3"/>
  <c r="I66" i="3"/>
  <c r="I69" i="3"/>
  <c r="I65" i="3"/>
  <c r="I68" i="3"/>
  <c r="I64" i="3"/>
  <c r="I35" i="3"/>
  <c r="I39" i="3"/>
  <c r="I36" i="3"/>
  <c r="I40" i="3"/>
  <c r="I37" i="3"/>
  <c r="I21" i="3"/>
  <c r="I19" i="3"/>
  <c r="I18" i="3"/>
  <c r="I20" i="3"/>
  <c r="I17" i="3"/>
  <c r="I15" i="3"/>
  <c r="I16" i="3"/>
  <c r="I14" i="3"/>
  <c r="H37" i="2"/>
  <c r="H40" i="2"/>
  <c r="G42" i="2"/>
  <c r="G37" i="2"/>
  <c r="G40" i="2"/>
  <c r="G41" i="2"/>
  <c r="M79" i="1"/>
  <c r="O79" i="1"/>
  <c r="P79" i="1" s="1"/>
  <c r="N79" i="1"/>
  <c r="O78" i="1"/>
  <c r="P78" i="1" s="1"/>
  <c r="N78" i="1"/>
  <c r="M78" i="1"/>
  <c r="O77" i="1"/>
  <c r="P77" i="1" s="1"/>
  <c r="N77" i="1"/>
  <c r="M77" i="1"/>
  <c r="O76" i="1"/>
  <c r="P76" i="1" s="1"/>
  <c r="N76" i="1"/>
  <c r="M76" i="1"/>
  <c r="J75" i="1"/>
  <c r="O75" i="1"/>
  <c r="P75" i="1" s="1"/>
  <c r="N75" i="1"/>
  <c r="M75" i="1"/>
  <c r="J73" i="1"/>
  <c r="O73" i="1"/>
  <c r="P73" i="1" s="1"/>
  <c r="N73" i="1"/>
  <c r="M73" i="1"/>
  <c r="F41" i="2" l="1"/>
  <c r="F38" i="2"/>
  <c r="F43" i="2"/>
  <c r="F40" i="2"/>
  <c r="H42" i="2"/>
  <c r="H36" i="2"/>
  <c r="F37" i="2"/>
  <c r="G36" i="2"/>
  <c r="H39" i="2"/>
  <c r="F42" i="2"/>
  <c r="G39" i="2"/>
  <c r="H41" i="2"/>
  <c r="F36" i="2"/>
  <c r="G43" i="2"/>
  <c r="H43" i="2"/>
  <c r="I42" i="2"/>
  <c r="I38" i="2"/>
  <c r="I39" i="2"/>
  <c r="I41" i="2"/>
  <c r="I37" i="2"/>
  <c r="I40" i="2"/>
  <c r="I36" i="2"/>
  <c r="I43" i="2"/>
  <c r="I83" i="2"/>
  <c r="I79" i="2"/>
  <c r="I80" i="2"/>
  <c r="I76" i="2"/>
  <c r="I82" i="2"/>
  <c r="I77" i="2"/>
  <c r="I78" i="2"/>
  <c r="I81" i="2"/>
  <c r="I68" i="2"/>
  <c r="I71" i="2"/>
  <c r="I69" i="2"/>
  <c r="I72" i="2"/>
  <c r="I66" i="2"/>
  <c r="I67" i="2"/>
  <c r="I70" i="2"/>
  <c r="I73" i="2"/>
  <c r="I57" i="2"/>
  <c r="I60" i="2"/>
  <c r="I61" i="2"/>
  <c r="I63" i="2"/>
  <c r="I58" i="2"/>
  <c r="I56" i="2"/>
  <c r="I59" i="2"/>
  <c r="I62" i="2"/>
  <c r="I49" i="2"/>
  <c r="I52" i="2"/>
  <c r="I47" i="2"/>
  <c r="I50" i="2"/>
  <c r="I53" i="2"/>
  <c r="I46" i="2"/>
  <c r="I48" i="2"/>
  <c r="I51" i="2"/>
  <c r="J32" i="1"/>
  <c r="P32" i="1"/>
  <c r="P31" i="1"/>
  <c r="P30" i="1"/>
  <c r="J29" i="1"/>
  <c r="P29" i="1"/>
  <c r="P28" i="1"/>
  <c r="P27" i="1"/>
  <c r="J25" i="1"/>
  <c r="P25" i="1"/>
  <c r="J24" i="1"/>
  <c r="J21" i="1"/>
  <c r="O24" i="1"/>
  <c r="P24" i="1" s="1"/>
  <c r="N24" i="1"/>
  <c r="M24" i="1"/>
  <c r="J23" i="1"/>
  <c r="P23" i="1"/>
  <c r="J22" i="1"/>
  <c r="P22" i="1"/>
  <c r="O21" i="1"/>
  <c r="P21" i="1" s="1"/>
  <c r="N21" i="1"/>
  <c r="M21" i="1"/>
  <c r="P20" i="1"/>
  <c r="O19" i="1"/>
  <c r="P19" i="1" s="1"/>
  <c r="N19" i="1"/>
  <c r="M19" i="1"/>
  <c r="O13" i="1"/>
  <c r="P13" i="1" s="1"/>
  <c r="J13" i="1" s="1"/>
  <c r="N13" i="1"/>
  <c r="H13" i="1" s="1"/>
  <c r="M13" i="1"/>
  <c r="G13" i="1" s="1"/>
  <c r="I13" i="1" l="1"/>
  <c r="P18" i="1"/>
  <c r="P16" i="1"/>
  <c r="P15" i="1"/>
  <c r="J12" i="1"/>
  <c r="J11" i="1"/>
  <c r="P12" i="1"/>
  <c r="P11" i="1"/>
  <c r="O10" i="1" l="1"/>
  <c r="P10" i="1" s="1"/>
  <c r="N10" i="1"/>
  <c r="M10" i="1"/>
  <c r="J9" i="1"/>
  <c r="P9" i="1"/>
  <c r="J5" i="1"/>
  <c r="P5" i="1"/>
  <c r="Z108" i="1" l="1"/>
  <c r="T108" i="1" s="1"/>
  <c r="AA117" i="1" l="1"/>
  <c r="AB117" i="1" s="1"/>
  <c r="Z117" i="1"/>
  <c r="Y117" i="1"/>
  <c r="O117" i="1"/>
  <c r="P117" i="1" s="1"/>
  <c r="N117" i="1"/>
  <c r="M117" i="1"/>
  <c r="AA109" i="1"/>
  <c r="U109" i="1" s="1"/>
  <c r="Z109" i="1"/>
  <c r="T109" i="1" s="1"/>
  <c r="Y109" i="1"/>
  <c r="S109" i="1" s="1"/>
  <c r="X109" i="1"/>
  <c r="R109" i="1" s="1"/>
  <c r="R108" i="1"/>
  <c r="AA107" i="1"/>
  <c r="AB107" i="1" s="1"/>
  <c r="Z107" i="1"/>
  <c r="AB109" i="1" l="1"/>
  <c r="V109" i="1" s="1"/>
  <c r="AA108" i="1"/>
  <c r="AB108" i="1" s="1"/>
  <c r="Y108" i="1"/>
  <c r="J108" i="1"/>
  <c r="O108" i="1"/>
  <c r="N108" i="1"/>
  <c r="M108" i="1"/>
  <c r="R107" i="1"/>
  <c r="O107" i="1"/>
  <c r="P107" i="1" l="1"/>
  <c r="P108" i="1"/>
  <c r="P109" i="1"/>
  <c r="P110" i="1"/>
  <c r="P111" i="1"/>
  <c r="P112" i="1"/>
  <c r="P113" i="1"/>
  <c r="P114" i="1"/>
  <c r="P115" i="1"/>
  <c r="P116" i="1"/>
  <c r="P106" i="1"/>
  <c r="J107" i="1"/>
  <c r="J109" i="1"/>
  <c r="J110" i="1"/>
  <c r="J111" i="1"/>
  <c r="J112" i="1"/>
  <c r="J113" i="1"/>
  <c r="J114" i="1"/>
  <c r="J115" i="1"/>
  <c r="J116" i="1"/>
  <c r="J106" i="1"/>
  <c r="O98" i="1" l="1"/>
  <c r="P98" i="1" s="1"/>
  <c r="N98" i="1"/>
  <c r="N95" i="1"/>
  <c r="P99" i="1"/>
  <c r="P100" i="1"/>
  <c r="P101" i="1"/>
  <c r="P95" i="1"/>
  <c r="J98" i="1"/>
  <c r="J99" i="1"/>
  <c r="J100" i="1"/>
  <c r="J101" i="1"/>
  <c r="J95" i="1"/>
  <c r="P53" i="1" l="1"/>
  <c r="P56" i="1"/>
  <c r="P58" i="1"/>
  <c r="P60" i="1"/>
  <c r="P62" i="1"/>
  <c r="P64" i="1"/>
  <c r="P67" i="1"/>
  <c r="P69" i="1"/>
  <c r="P70" i="1"/>
  <c r="P72" i="1"/>
  <c r="P83" i="1"/>
  <c r="P87" i="1"/>
  <c r="P89" i="1"/>
  <c r="P49" i="1"/>
  <c r="J53" i="1"/>
  <c r="J56" i="1"/>
  <c r="J58" i="1"/>
  <c r="J60" i="1"/>
  <c r="J62" i="1"/>
  <c r="J64" i="1"/>
  <c r="J66" i="1"/>
  <c r="J67" i="1"/>
  <c r="J69" i="1"/>
  <c r="J70" i="1"/>
  <c r="J72" i="1"/>
  <c r="J83" i="1"/>
  <c r="J87" i="1"/>
  <c r="J88" i="1"/>
  <c r="J89" i="1"/>
  <c r="J90" i="1"/>
  <c r="J91" i="1"/>
  <c r="J49" i="1"/>
</calcChain>
</file>

<file path=xl/sharedStrings.xml><?xml version="1.0" encoding="utf-8"?>
<sst xmlns="http://schemas.openxmlformats.org/spreadsheetml/2006/main" count="544" uniqueCount="229">
  <si>
    <t>线路ID</t>
  </si>
  <si>
    <t>酒店名称</t>
  </si>
  <si>
    <t>单人</t>
  </si>
  <si>
    <t>双人房/人</t>
  </si>
  <si>
    <t>三人房/人</t>
  </si>
  <si>
    <t>四人房/人</t>
  </si>
  <si>
    <t>小孩</t>
  </si>
  <si>
    <t>Baymont Inn &amp; Suites</t>
  </si>
  <si>
    <t>X</t>
  </si>
  <si>
    <t>Days Inn, Fountain Valley</t>
  </si>
  <si>
    <t>Days Inn, Buena Park</t>
  </si>
  <si>
    <t>Howard Johnson</t>
  </si>
  <si>
    <t>Holiday Inn</t>
  </si>
  <si>
    <t>Ramada Inn</t>
  </si>
  <si>
    <t>The Hotel Fullerton</t>
  </si>
  <si>
    <t>Lincoln Plaza</t>
  </si>
  <si>
    <t>Comfort Suites Inn</t>
  </si>
  <si>
    <t>Best Western Executive</t>
  </si>
  <si>
    <t xml:space="preserve">Fairfield Inn Marriott </t>
  </si>
  <si>
    <t>Holiday Inn Express LAX</t>
  </si>
  <si>
    <t>Comfort Inn LAX</t>
  </si>
  <si>
    <t>Pacific Palms Hotel</t>
  </si>
  <si>
    <t>Hilton Hotel</t>
  </si>
  <si>
    <t>Stratosphere Hotel Las Vegas</t>
  </si>
  <si>
    <t>周一-周四</t>
  </si>
  <si>
    <t>时间</t>
  </si>
  <si>
    <t>卖价</t>
  </si>
  <si>
    <t>底价</t>
  </si>
  <si>
    <t>地接</t>
  </si>
  <si>
    <t>217 没有，乘以1.4</t>
  </si>
  <si>
    <t>Franky 核对底价</t>
  </si>
  <si>
    <t>Holiday Inn Hotel La Mirada</t>
  </si>
  <si>
    <t xml:space="preserve">Howard Johnson LA (Anaheim Park Hotel) </t>
  </si>
  <si>
    <t>Best Western Executive Inn
 (free breakfast)</t>
  </si>
  <si>
    <t>Comfort Suite Inn (free breakfast)</t>
  </si>
  <si>
    <r>
      <t>The Hotel Fullerton(</t>
    </r>
    <r>
      <rPr>
        <sz val="12"/>
        <color indexed="8"/>
        <rFont val="宋体"/>
        <charset val="134"/>
      </rPr>
      <t>原</t>
    </r>
    <r>
      <rPr>
        <sz val="12"/>
        <color indexed="8"/>
        <rFont val="Calibri"/>
        <family val="2"/>
      </rPr>
      <t>crowne plaza hotel</t>
    </r>
    <r>
      <rPr>
        <sz val="12"/>
        <color indexed="8"/>
        <rFont val="宋体"/>
        <charset val="134"/>
      </rPr>
      <t>）</t>
    </r>
  </si>
  <si>
    <t>Hilton San Gabriel</t>
  </si>
  <si>
    <t xml:space="preserve">Best Western Markland Hotel-B </t>
  </si>
  <si>
    <r>
      <t>Comfort Inn Cockatoo LAX (</t>
    </r>
    <r>
      <rPr>
        <sz val="12"/>
        <color indexed="8"/>
        <rFont val="宋体"/>
        <charset val="134"/>
      </rPr>
      <t>推荐酒店</t>
    </r>
    <r>
      <rPr>
        <sz val="12"/>
        <color indexed="8"/>
        <rFont val="Calibri"/>
        <family val="2"/>
      </rPr>
      <t>)</t>
    </r>
  </si>
  <si>
    <t xml:space="preserve">Days Inn Fountain Valley </t>
  </si>
  <si>
    <t>Pacific Palm La Puente</t>
  </si>
  <si>
    <t>Quality Inn Montebello</t>
  </si>
  <si>
    <r>
      <t xml:space="preserve">Circus Circus Hotel
Las Vegas </t>
    </r>
    <r>
      <rPr>
        <b/>
        <sz val="12"/>
        <color indexed="8"/>
        <rFont val="Calibri"/>
        <family val="2"/>
      </rPr>
      <t>(</t>
    </r>
    <r>
      <rPr>
        <b/>
        <sz val="12"/>
        <color indexed="8"/>
        <rFont val="宋体"/>
        <charset val="134"/>
      </rPr>
      <t>周日</t>
    </r>
    <r>
      <rPr>
        <b/>
        <sz val="12"/>
        <color indexed="8"/>
        <rFont val="Calibri"/>
        <family val="2"/>
      </rPr>
      <t>~</t>
    </r>
    <r>
      <rPr>
        <b/>
        <sz val="12"/>
        <color indexed="8"/>
        <rFont val="宋体"/>
        <charset val="134"/>
      </rPr>
      <t>四</t>
    </r>
    <r>
      <rPr>
        <b/>
        <sz val="12"/>
        <color indexed="8"/>
        <rFont val="Calibri"/>
        <family val="2"/>
      </rPr>
      <t>)</t>
    </r>
  </si>
  <si>
    <r>
      <t>Circus Circus Hotel
Las Vegas (</t>
    </r>
    <r>
      <rPr>
        <sz val="12"/>
        <color indexed="8"/>
        <rFont val="宋体"/>
        <charset val="134"/>
      </rPr>
      <t>周五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宋体"/>
        <charset val="134"/>
      </rPr>
      <t>周六</t>
    </r>
    <r>
      <rPr>
        <sz val="12"/>
        <color indexed="8"/>
        <rFont val="Calibri"/>
        <family val="2"/>
      </rPr>
      <t>)</t>
    </r>
  </si>
  <si>
    <t>Comfort Inn Airport</t>
  </si>
  <si>
    <t>Double Tree (原Red Lion Hotel）</t>
  </si>
  <si>
    <t>Double Tree by Hilton Denver</t>
  </si>
  <si>
    <r>
      <t xml:space="preserve"> CitiGarden Hotel -B</t>
    </r>
    <r>
      <rPr>
        <sz val="12"/>
        <color indexed="8"/>
        <rFont val="宋体"/>
        <charset val="134"/>
      </rPr>
      <t>（</t>
    </r>
    <r>
      <rPr>
        <sz val="12"/>
        <color indexed="8"/>
        <rFont val="Calibri"/>
        <family val="2"/>
      </rPr>
      <t>4/01/2013</t>
    </r>
    <r>
      <rPr>
        <sz val="12"/>
        <color indexed="8"/>
        <rFont val="宋体"/>
        <charset val="134"/>
      </rPr>
      <t>日后，开始）</t>
    </r>
  </si>
  <si>
    <t>Crowne Plaza Union City （截止到 3/31/2013）</t>
  </si>
  <si>
    <t>地点（如需要）</t>
  </si>
  <si>
    <t>1623（未显示）</t>
  </si>
  <si>
    <t>未显示（ID=2473）</t>
  </si>
  <si>
    <t>2807未显示</t>
  </si>
  <si>
    <t>洛杉矶</t>
  </si>
  <si>
    <t>拉斯维加斯</t>
  </si>
  <si>
    <t>盐湖城</t>
  </si>
  <si>
    <t>丹佛</t>
  </si>
  <si>
    <t>旧金山</t>
  </si>
  <si>
    <t>好像因地接与酒店的合同问题，目前，217 不加订 GUEST HOUSE</t>
  </si>
  <si>
    <t>(没显示）</t>
  </si>
  <si>
    <t>(地接资料没有价格,先按这个价格吧)</t>
  </si>
  <si>
    <t>（没显示）</t>
  </si>
  <si>
    <t>Holidays Inn  Express LAX</t>
  </si>
  <si>
    <t>(ID=2472)</t>
  </si>
  <si>
    <t>(ID=2383)</t>
  </si>
  <si>
    <t>前台未显示1666</t>
  </si>
  <si>
    <r>
      <t>BEST WESTERN PLUS Grosvenor Hotel(</t>
    </r>
    <r>
      <rPr>
        <sz val="12"/>
        <color indexed="8"/>
        <rFont val="宋体"/>
        <charset val="134"/>
      </rPr>
      <t>丽山</t>
    </r>
    <r>
      <rPr>
        <sz val="12"/>
        <color indexed="8"/>
        <rFont val="Calibri"/>
        <family val="2"/>
      </rPr>
      <t>)--11/1/2012--3/31/2013                         11/1/2013--12/31/2013</t>
    </r>
  </si>
  <si>
    <r>
      <t>BEST WESTERN PLUS Grosvenor Hotel(</t>
    </r>
    <r>
      <rPr>
        <sz val="12"/>
        <color indexed="8"/>
        <rFont val="宋体"/>
        <charset val="134"/>
      </rPr>
      <t>丽山</t>
    </r>
    <r>
      <rPr>
        <sz val="12"/>
        <color indexed="8"/>
        <rFont val="Calibri"/>
        <family val="2"/>
      </rPr>
      <t>)--4/1/2013--5/31/2013</t>
    </r>
  </si>
  <si>
    <r>
      <t>BEST WESTERN PLUS Grosvenor Hotel(</t>
    </r>
    <r>
      <rPr>
        <sz val="12"/>
        <color indexed="8"/>
        <rFont val="宋体"/>
        <charset val="134"/>
      </rPr>
      <t>丽山</t>
    </r>
    <r>
      <rPr>
        <sz val="12"/>
        <color indexed="8"/>
        <rFont val="Calibri"/>
        <family val="2"/>
      </rPr>
      <t>)--6/1/2013--10/31/2012</t>
    </r>
  </si>
  <si>
    <t xml:space="preserve">RED ROOF INN SFO AIRPORT                          </t>
  </si>
  <si>
    <t>Citi Garden Hotel-A</t>
  </si>
  <si>
    <t xml:space="preserve">Holidays Inn Hotel - La Mirada </t>
  </si>
  <si>
    <t>207 (网上价格-$5)</t>
  </si>
  <si>
    <t>Radisson Hotel San Francisco Airport( 05-01-13 to 10-31-13)</t>
  </si>
  <si>
    <t>x</t>
  </si>
  <si>
    <t>前台未显示ID=1468</t>
  </si>
  <si>
    <t>前台未显示ID=1661</t>
  </si>
  <si>
    <t>未显示（ID=2474）</t>
  </si>
  <si>
    <t>Best Western Markland Hotel-A</t>
  </si>
  <si>
    <t>Hilton Hotel Los Angeles Airport(推荐订购）</t>
  </si>
  <si>
    <t>Radisson LAX</t>
  </si>
  <si>
    <t xml:space="preserve">Holiday Inn Buena Park
</t>
  </si>
  <si>
    <t>Ramada Commerce</t>
  </si>
  <si>
    <t>Lincoln Plaza Hotel (free breakfast)</t>
  </si>
  <si>
    <t>Quality Inn and Suites Hotel</t>
  </si>
  <si>
    <r>
      <t>Las vegas hotel  Riviera(</t>
    </r>
    <r>
      <rPr>
        <sz val="12"/>
        <color indexed="8"/>
        <rFont val="宋体"/>
        <charset val="134"/>
      </rPr>
      <t>周日</t>
    </r>
    <r>
      <rPr>
        <sz val="12"/>
        <color indexed="8"/>
        <rFont val="Calibri"/>
        <family val="2"/>
      </rPr>
      <t>~</t>
    </r>
    <r>
      <rPr>
        <sz val="12"/>
        <color indexed="8"/>
        <rFont val="宋体"/>
        <charset val="134"/>
      </rPr>
      <t>四</t>
    </r>
    <r>
      <rPr>
        <sz val="12"/>
        <color indexed="8"/>
        <rFont val="Calibri"/>
        <family val="2"/>
      </rPr>
      <t>)</t>
    </r>
  </si>
  <si>
    <r>
      <t>Las vegas hotel  Riviera(</t>
    </r>
    <r>
      <rPr>
        <sz val="12"/>
        <color indexed="8"/>
        <rFont val="宋体"/>
        <charset val="134"/>
      </rPr>
      <t>周五</t>
    </r>
    <r>
      <rPr>
        <sz val="12"/>
        <color indexed="8"/>
        <rFont val="Calibri"/>
        <family val="2"/>
      </rPr>
      <t xml:space="preserve"> </t>
    </r>
    <r>
      <rPr>
        <sz val="12"/>
        <color indexed="8"/>
        <rFont val="宋体"/>
        <charset val="134"/>
      </rPr>
      <t>周六</t>
    </r>
    <r>
      <rPr>
        <sz val="12"/>
        <color indexed="8"/>
        <rFont val="Calibri"/>
        <family val="2"/>
      </rPr>
      <t>)</t>
    </r>
  </si>
  <si>
    <t>Sheraton Pleasanton</t>
  </si>
  <si>
    <t>Block Out Date</t>
  </si>
  <si>
    <t>(没有）</t>
  </si>
  <si>
    <t xml:space="preserve">    6/10-6/25 ；7/15-8/5 ；11/20-25    12/25-01/01 /2014</t>
  </si>
  <si>
    <r>
      <t xml:space="preserve">6/1-8/25 </t>
    </r>
    <r>
      <rPr>
        <sz val="12"/>
        <color theme="1"/>
        <rFont val="SimSun"/>
      </rPr>
      <t>；</t>
    </r>
    <r>
      <rPr>
        <sz val="12"/>
        <color theme="1"/>
        <rFont val="Times New Roman"/>
        <family val="1"/>
      </rPr>
      <t xml:space="preserve"> 11/1-11/25</t>
    </r>
    <r>
      <rPr>
        <sz val="12"/>
        <color theme="1"/>
        <rFont val="SimSun"/>
      </rPr>
      <t>；</t>
    </r>
    <r>
      <rPr>
        <sz val="12"/>
        <color theme="1"/>
        <rFont val="Times New Roman"/>
        <family val="1"/>
      </rPr>
      <t>12/20-1/1/2014   Sold out date ($6/10-12; 8/2-3)--</t>
    </r>
    <r>
      <rPr>
        <sz val="12"/>
        <color theme="1"/>
        <rFont val="SimSun"/>
      </rPr>
      <t>没房</t>
    </r>
  </si>
  <si>
    <t>(没有开通)</t>
  </si>
  <si>
    <t>卖价 (底价×1.4）</t>
  </si>
  <si>
    <t>（06/15 to 08/15)</t>
  </si>
  <si>
    <t>Holiday Inn Express Lax</t>
  </si>
  <si>
    <t>（6-15 to  08-31)</t>
  </si>
  <si>
    <t>(从09-01 到03-31-2014), (06/01 to 0614 没房）</t>
  </si>
  <si>
    <t>(和217的卖价一样）</t>
  </si>
  <si>
    <t>COMFORT INN FLUSHING</t>
  </si>
  <si>
    <r>
      <t>COMFORT INN FLUSHING(</t>
    </r>
    <r>
      <rPr>
        <b/>
        <sz val="12"/>
        <color indexed="8"/>
        <rFont val="Calibri"/>
        <family val="2"/>
      </rPr>
      <t>steven</t>
    </r>
    <r>
      <rPr>
        <sz val="12"/>
        <color indexed="8"/>
        <rFont val="Calibri"/>
        <family val="2"/>
      </rPr>
      <t>)</t>
    </r>
  </si>
  <si>
    <t xml:space="preserve">Comfort Inn JFK </t>
  </si>
  <si>
    <r>
      <t>RED ROOF INN FLUSHING(</t>
    </r>
    <r>
      <rPr>
        <sz val="12"/>
        <color indexed="8"/>
        <rFont val="宋体"/>
        <charset val="134"/>
      </rPr>
      <t>周日</t>
    </r>
    <r>
      <rPr>
        <sz val="12"/>
        <color indexed="8"/>
        <rFont val="Calibri"/>
        <family val="2"/>
      </rPr>
      <t>-</t>
    </r>
    <r>
      <rPr>
        <sz val="12"/>
        <color indexed="8"/>
        <rFont val="宋体"/>
        <charset val="134"/>
      </rPr>
      <t>周四）</t>
    </r>
  </si>
  <si>
    <t>RED ROOF INN FLUSHING(周五-周六）</t>
  </si>
  <si>
    <r>
      <t>RED ROOF INN FLUSHING(</t>
    </r>
    <r>
      <rPr>
        <b/>
        <sz val="12"/>
        <color indexed="8"/>
        <rFont val="Calibri"/>
        <family val="2"/>
      </rPr>
      <t>steven</t>
    </r>
    <r>
      <rPr>
        <sz val="12"/>
        <color indexed="8"/>
        <rFont val="Calibri"/>
        <family val="2"/>
      </rPr>
      <t>)</t>
    </r>
  </si>
  <si>
    <t xml:space="preserve">Asiatic Hotel </t>
  </si>
  <si>
    <t>2476（未显示）</t>
  </si>
  <si>
    <t xml:space="preserve">Crowne Plaza
</t>
  </si>
  <si>
    <t xml:space="preserve">Ramada Plaza Hotel Newark Intl Airport </t>
  </si>
  <si>
    <t>Sheraton Edison Hotel Raritan Center</t>
  </si>
  <si>
    <t>2478（未显示）</t>
  </si>
  <si>
    <t>HILTON EAST BRUNSWICK</t>
  </si>
  <si>
    <t>2479（未显示）</t>
  </si>
  <si>
    <t>EDISON HOTEL</t>
  </si>
  <si>
    <t>2480（未显示）</t>
  </si>
  <si>
    <t>PALACE HOTEL</t>
  </si>
  <si>
    <t>304 (暂时关闭）</t>
  </si>
  <si>
    <t>HOWARD JOHNSON EWR</t>
  </si>
  <si>
    <t>RADISSON TORONTO EAST</t>
  </si>
  <si>
    <t>SHERATON COLONIAL</t>
  </si>
  <si>
    <t>Sheraton Washington North</t>
  </si>
  <si>
    <t>HILTON GAITHERSBURG</t>
  </si>
  <si>
    <r>
      <rPr>
        <sz val="10"/>
        <color indexed="10"/>
        <rFont val="宋体"/>
        <charset val="134"/>
      </rPr>
      <t>前台未显示</t>
    </r>
    <r>
      <rPr>
        <sz val="10"/>
        <color indexed="10"/>
        <rFont val="Arial"/>
        <family val="2"/>
      </rPr>
      <t>ID=308</t>
    </r>
  </si>
  <si>
    <t>GOUVERNEUR ILE CHARRON</t>
  </si>
  <si>
    <t>前台未显示ID=309</t>
  </si>
  <si>
    <t>水牛城</t>
  </si>
  <si>
    <t>ADAM'S MARK</t>
  </si>
  <si>
    <t>ID=2382</t>
  </si>
  <si>
    <t>迈阿密</t>
  </si>
  <si>
    <t xml:space="preserve">Howard Johnson Hotel                            </t>
  </si>
  <si>
    <t>纽约</t>
  </si>
  <si>
    <t>新泽西</t>
  </si>
  <si>
    <t>多伦多</t>
  </si>
  <si>
    <t>华盛顿</t>
  </si>
  <si>
    <t>波士顿</t>
  </si>
  <si>
    <t>满地可</t>
  </si>
  <si>
    <t>（乘以1.4）</t>
  </si>
  <si>
    <t xml:space="preserve">x </t>
  </si>
  <si>
    <t>RADISSON HOTEL WHITTIER</t>
  </si>
  <si>
    <t>PARK INN BY RADISSON COVINA</t>
  </si>
  <si>
    <t>HOLIDAY INN EXPRESS ROSEMEAD</t>
  </si>
  <si>
    <t>RADISSON SUITE HOTEL BUENA PARK</t>
  </si>
  <si>
    <t>DOUBLETREE BY HILTON ROSEMEAD</t>
  </si>
  <si>
    <t>LA QUINTA INNS &amp; SUITES (Free Shuttle Between Hotel - LAX Airport )</t>
  </si>
  <si>
    <t>新酒店的价格</t>
  </si>
  <si>
    <t>天数</t>
  </si>
  <si>
    <t xml:space="preserve">Best Western </t>
  </si>
  <si>
    <t>Comfort Inn &amp; Suites</t>
  </si>
  <si>
    <t>Fairfield Inn &amp; Suites</t>
  </si>
  <si>
    <t>卖价 （乘以1.8）</t>
  </si>
  <si>
    <t>需要上傳的價格</t>
  </si>
  <si>
    <t>卖价 （乘以1.6）</t>
  </si>
  <si>
    <t>（217一樣）</t>
  </si>
  <si>
    <t>卖价 （乘以1.25）</t>
  </si>
  <si>
    <t>Pacific Palm</t>
  </si>
  <si>
    <t>Best Western Executive Inn</t>
  </si>
  <si>
    <t>Comfort Suites Rosemead (包早餐）</t>
  </si>
  <si>
    <t>Crowne Plaza Hotel</t>
  </si>
  <si>
    <t>需要修改一下</t>
  </si>
  <si>
    <t>Doubletree by hilton Santa Ana</t>
  </si>
  <si>
    <t>The Westin Bonaventure Hotel &amp; Suites Los Angeles</t>
  </si>
  <si>
    <t>The Westin Bonaventure Hotel &amp; Suiteds Los Angeles</t>
  </si>
  <si>
    <t>Asiatic Hotel  (8-23 to 9-7)</t>
  </si>
  <si>
    <t>Holiday Inn Markham</t>
  </si>
  <si>
    <t>Crowne Plaza Toronto Airport</t>
  </si>
  <si>
    <t>(可能受汇率波动，底价会有一点影响）</t>
  </si>
  <si>
    <t>Park Inn Radisson</t>
  </si>
  <si>
    <t>12/31/2013,</t>
  </si>
  <si>
    <t xml:space="preserve">Crown Plaza Toronto Airport </t>
  </si>
  <si>
    <t>The Westin Wall Centre (A 团加订酒店）</t>
  </si>
  <si>
    <t>Executive Airport Plaza（B团加订酒店）</t>
  </si>
  <si>
    <t>Quality Hotel Airport（B团加订酒店）</t>
  </si>
  <si>
    <t>Radisson President (A团加订酒店）</t>
  </si>
  <si>
    <t>Waikiki Gateway</t>
  </si>
  <si>
    <t>夏威夷  (till 12-18-13)</t>
  </si>
  <si>
    <t>12-19 to 1-4-13</t>
  </si>
  <si>
    <t>11/28 to 11/30</t>
  </si>
  <si>
    <t>12/30 to 12/31</t>
  </si>
  <si>
    <t xml:space="preserve">RED ROOF INN FLUSHING（07/4-7/7， 7/12-7/17，8/23-9/7，10/11-10/13，11/21-11/30)   (11/22 to 11/30 只有Single Queen）
</t>
  </si>
  <si>
    <t>12/24 to 1/2</t>
  </si>
  <si>
    <t xml:space="preserve">12/24 to 12/28 </t>
  </si>
  <si>
    <t>Red Roof San Francisco Airport</t>
  </si>
  <si>
    <t>777 Airport Blvd, Burlingame, CA 75010</t>
  </si>
  <si>
    <t>April 1-May 30</t>
  </si>
  <si>
    <t>June 1-Nov 15</t>
  </si>
  <si>
    <t>Nov 16-Dec 31</t>
  </si>
  <si>
    <t>Knott's  Berry Farm</t>
  </si>
  <si>
    <t xml:space="preserve">Waikiki Gateway </t>
  </si>
  <si>
    <t>01/05/2014-06/30/2014</t>
  </si>
  <si>
    <t>Ohana East</t>
  </si>
  <si>
    <t>Hawaii Prince</t>
  </si>
  <si>
    <t>Hilton Hawaiian Village</t>
  </si>
  <si>
    <t>N/A</t>
  </si>
  <si>
    <t>n/a</t>
  </si>
  <si>
    <t xml:space="preserve">Clarion Inn Lake Buena Vista </t>
  </si>
  <si>
    <t>8442 Palm  Parkway, Lake Buena Vista FL 32836</t>
  </si>
  <si>
    <t>1/1-12/30</t>
  </si>
  <si>
    <t>节日价格12/20-1/2/2014</t>
  </si>
  <si>
    <t>Waikiki Wave 或同级 (四星）</t>
  </si>
  <si>
    <t>Hyatt Place 或同级 (豪华四星）</t>
  </si>
  <si>
    <t>Waikiki Beach Marriott 或同级 (五星）</t>
  </si>
  <si>
    <t>1/5/2013 to 03/31/2014</t>
  </si>
  <si>
    <t>Double Tree Hotel Norwalk</t>
  </si>
  <si>
    <t>2014周四，周五，周六，周日</t>
  </si>
  <si>
    <t>2014周一，周二，周三</t>
  </si>
  <si>
    <t xml:space="preserve">Paris Las Vegas </t>
  </si>
  <si>
    <t>2014 周日-周四</t>
  </si>
  <si>
    <t>2014 周五-周六</t>
  </si>
  <si>
    <t>节日价格04/06-04/09; 06/22; 11/04-11/06</t>
  </si>
  <si>
    <t>节日价格04/05,11/07</t>
  </si>
  <si>
    <t xml:space="preserve">节日价格06/20-06/21; 12/30-12/31 </t>
  </si>
  <si>
    <t>Holiday Inn La Mirada</t>
  </si>
  <si>
    <t>Double Tree Norwalk</t>
  </si>
  <si>
    <t>Howard Johnson LA</t>
  </si>
  <si>
    <t>Comfort Suite Inn</t>
  </si>
  <si>
    <t>Comfort Inn Cockatoo LAX</t>
  </si>
  <si>
    <t>Radisson Hotel Whittier</t>
  </si>
  <si>
    <t>The  Westin Bonaventure Hotel</t>
  </si>
  <si>
    <t>Circus Circus Hotel</t>
  </si>
  <si>
    <t>2014 周四-周日</t>
  </si>
  <si>
    <t>2014周一-周三</t>
  </si>
  <si>
    <t>2014周五，周六</t>
  </si>
  <si>
    <t xml:space="preserve">Red Roof Inn SFO Airport </t>
  </si>
  <si>
    <t xml:space="preserve">Hilton San Gabriel </t>
  </si>
  <si>
    <t>地区</t>
  </si>
  <si>
    <t>Westin Bonaventure Hotel</t>
  </si>
  <si>
    <t>卖价*1.4</t>
  </si>
  <si>
    <t>卖价*1.25</t>
  </si>
  <si>
    <t>不上了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</si>
</sst>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0.00;[Red]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sz val="10"/>
      <name val="黑体"/>
      <family val="3"/>
      <charset val="134"/>
    </font>
    <font>
      <b/>
      <sz val="14"/>
      <color theme="1"/>
      <name val="黑体"/>
      <family val="3"/>
      <charset val="134"/>
    </font>
    <font>
      <b/>
      <sz val="22"/>
      <color theme="1"/>
      <name val="Calibri"/>
      <family val="2"/>
      <scheme val="minor"/>
    </font>
    <font>
      <b/>
      <sz val="12"/>
      <name val="黑体"/>
      <family val="3"/>
      <charset val="134"/>
    </font>
    <font>
      <sz val="12"/>
      <color indexed="8"/>
      <name val="Calibri"/>
      <family val="2"/>
    </font>
    <font>
      <sz val="12"/>
      <name val="Arial"/>
      <family val="2"/>
    </font>
    <font>
      <sz val="12"/>
      <color indexed="8"/>
      <name val="宋体"/>
      <charset val="134"/>
    </font>
    <font>
      <b/>
      <sz val="12"/>
      <color indexed="8"/>
      <name val="Calibri"/>
      <family val="2"/>
    </font>
    <font>
      <b/>
      <sz val="12"/>
      <color indexed="8"/>
      <name val="宋体"/>
      <charset val="134"/>
    </font>
    <font>
      <sz val="11"/>
      <color theme="1"/>
      <name val="Calibri"/>
      <family val="2"/>
      <charset val="134"/>
      <scheme val="minor"/>
    </font>
    <font>
      <sz val="12"/>
      <color theme="1"/>
      <name val="Arial"/>
      <family val="2"/>
    </font>
    <font>
      <sz val="10"/>
      <color rgb="FFFF0000"/>
      <name val="宋体"/>
      <charset val="134"/>
    </font>
    <font>
      <sz val="12"/>
      <color theme="1"/>
      <name val="Calibri"/>
      <family val="2"/>
    </font>
    <font>
      <sz val="10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0"/>
      <name val="宋体"/>
      <charset val="134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imSun"/>
    </font>
    <font>
      <sz val="12"/>
      <name val="Calibri"/>
      <family val="2"/>
    </font>
    <font>
      <sz val="10"/>
      <color indexed="10"/>
      <name val="宋体"/>
      <charset val="134"/>
    </font>
    <font>
      <sz val="14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charset val="134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3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</cellStyleXfs>
  <cellXfs count="248">
    <xf numFmtId="0" fontId="0" fillId="0" borderId="0" xfId="0"/>
    <xf numFmtId="0" fontId="5" fillId="0" borderId="3" xfId="8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6" fillId="2" borderId="1" xfId="8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0" fontId="0" fillId="3" borderId="0" xfId="0" applyFill="1"/>
    <xf numFmtId="0" fontId="17" fillId="0" borderId="1" xfId="8" applyFont="1" applyFill="1" applyBorder="1" applyAlignment="1">
      <alignment vertical="center" wrapText="1"/>
    </xf>
    <xf numFmtId="0" fontId="17" fillId="0" borderId="1" xfId="8" applyFont="1" applyFill="1" applyBorder="1" applyAlignment="1">
      <alignment vertical="center"/>
    </xf>
    <xf numFmtId="0" fontId="17" fillId="0" borderId="1" xfId="8" applyFont="1" applyFill="1" applyBorder="1" applyAlignment="1">
      <alignment vertical="center" wrapText="1"/>
    </xf>
    <xf numFmtId="0" fontId="19" fillId="0" borderId="1" xfId="43" applyFont="1" applyBorder="1" applyAlignment="1">
      <alignment horizontal="left" vertical="center"/>
    </xf>
    <xf numFmtId="0" fontId="0" fillId="4" borderId="0" xfId="0" applyFill="1"/>
    <xf numFmtId="0" fontId="3" fillId="0" borderId="1" xfId="8" applyBorder="1" applyAlignment="1">
      <alignment horizontal="left"/>
    </xf>
    <xf numFmtId="0" fontId="16" fillId="0" borderId="1" xfId="8" applyFont="1" applyFill="1" applyBorder="1" applyAlignment="1">
      <alignment horizontal="left" wrapText="1"/>
    </xf>
    <xf numFmtId="0" fontId="3" fillId="0" borderId="1" xfId="8" applyFill="1" applyBorder="1" applyAlignment="1">
      <alignment horizontal="left"/>
    </xf>
    <xf numFmtId="0" fontId="16" fillId="3" borderId="1" xfId="8" applyFont="1" applyFill="1" applyBorder="1" applyAlignment="1">
      <alignment horizontal="left" wrapText="1"/>
    </xf>
    <xf numFmtId="0" fontId="3" fillId="3" borderId="1" xfId="8" applyFill="1" applyBorder="1" applyAlignment="1">
      <alignment horizontal="left"/>
    </xf>
    <xf numFmtId="0" fontId="18" fillId="0" borderId="1" xfId="8" applyFont="1" applyFill="1" applyBorder="1" applyAlignment="1">
      <alignment horizontal="left" wrapText="1"/>
    </xf>
    <xf numFmtId="0" fontId="8" fillId="0" borderId="4" xfId="8" applyFont="1" applyFill="1" applyBorder="1" applyAlignment="1">
      <alignment horizontal="center" vertical="center"/>
    </xf>
    <xf numFmtId="0" fontId="8" fillId="0" borderId="4" xfId="8" applyFont="1" applyFill="1" applyBorder="1" applyAlignment="1">
      <alignment horizontal="center" vertical="center" wrapText="1"/>
    </xf>
    <xf numFmtId="0" fontId="15" fillId="6" borderId="1" xfId="8" applyFont="1" applyFill="1" applyBorder="1" applyAlignment="1">
      <alignment horizontal="center"/>
    </xf>
    <xf numFmtId="1" fontId="15" fillId="6" borderId="1" xfId="8" applyNumberFormat="1" applyFont="1" applyFill="1" applyBorder="1" applyAlignment="1">
      <alignment horizontal="center"/>
    </xf>
    <xf numFmtId="0" fontId="8" fillId="0" borderId="2" xfId="8" applyFont="1" applyFill="1" applyBorder="1" applyAlignment="1">
      <alignment horizontal="center" vertical="center" wrapText="1"/>
    </xf>
    <xf numFmtId="0" fontId="8" fillId="0" borderId="2" xfId="8" applyFont="1" applyFill="1" applyBorder="1" applyAlignment="1">
      <alignment horizontal="center" vertical="center" wrapText="1"/>
    </xf>
    <xf numFmtId="0" fontId="8" fillId="0" borderId="2" xfId="8" applyFont="1" applyFill="1" applyBorder="1" applyAlignment="1">
      <alignment horizontal="center" vertical="center" wrapText="1"/>
    </xf>
    <xf numFmtId="0" fontId="8" fillId="5" borderId="2" xfId="8" applyFont="1" applyFill="1" applyBorder="1" applyAlignment="1">
      <alignment horizontal="center" vertical="center" wrapText="1"/>
    </xf>
    <xf numFmtId="0" fontId="15" fillId="0" borderId="1" xfId="8" applyFont="1" applyBorder="1" applyAlignment="1">
      <alignment horizontal="center"/>
    </xf>
    <xf numFmtId="1" fontId="15" fillId="0" borderId="1" xfId="8" applyNumberFormat="1" applyFont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1" fontId="15" fillId="0" borderId="1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2" fontId="15" fillId="0" borderId="1" xfId="8" applyNumberFormat="1" applyFont="1" applyFill="1" applyBorder="1" applyAlignment="1">
      <alignment horizontal="center"/>
    </xf>
    <xf numFmtId="164" fontId="15" fillId="0" borderId="1" xfId="8" applyNumberFormat="1" applyFont="1" applyFill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Border="1" applyAlignment="1">
      <alignment horizontal="center"/>
    </xf>
    <xf numFmtId="0" fontId="15" fillId="0" borderId="1" xfId="8" applyFont="1" applyBorder="1" applyAlignment="1">
      <alignment horizontal="center"/>
    </xf>
    <xf numFmtId="1" fontId="15" fillId="0" borderId="1" xfId="8" applyNumberFormat="1" applyFont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3" fillId="0" borderId="1" xfId="8" applyBorder="1" applyAlignment="1">
      <alignment horizontal="left"/>
    </xf>
    <xf numFmtId="0" fontId="17" fillId="0" borderId="1" xfId="8" applyFont="1" applyFill="1" applyBorder="1" applyAlignment="1">
      <alignment vertical="center"/>
    </xf>
    <xf numFmtId="0" fontId="10" fillId="0" borderId="1" xfId="8" applyFont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8" fillId="0" borderId="4" xfId="8" applyFont="1" applyFill="1" applyBorder="1" applyAlignment="1">
      <alignment horizontal="center" vertical="center"/>
    </xf>
    <xf numFmtId="164" fontId="15" fillId="0" borderId="1" xfId="8" applyNumberFormat="1" applyFont="1" applyFill="1" applyBorder="1" applyAlignment="1">
      <alignment horizontal="center"/>
    </xf>
    <xf numFmtId="1" fontId="0" fillId="6" borderId="0" xfId="0" applyNumberFormat="1" applyFill="1"/>
    <xf numFmtId="0" fontId="0" fillId="6" borderId="0" xfId="0" applyFill="1"/>
    <xf numFmtId="0" fontId="10" fillId="6" borderId="1" xfId="8" applyFont="1" applyFill="1" applyBorder="1" applyAlignment="1">
      <alignment horizontal="center"/>
    </xf>
    <xf numFmtId="2" fontId="10" fillId="6" borderId="1" xfId="8" applyNumberFormat="1" applyFont="1" applyFill="1" applyBorder="1" applyAlignment="1">
      <alignment horizontal="center"/>
    </xf>
    <xf numFmtId="2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0" fontId="7" fillId="7" borderId="0" xfId="0" applyFont="1" applyFill="1" applyAlignment="1">
      <alignment horizontal="center"/>
    </xf>
    <xf numFmtId="0" fontId="0" fillId="7" borderId="0" xfId="0" applyFill="1"/>
    <xf numFmtId="0" fontId="3" fillId="0" borderId="1" xfId="8" applyBorder="1" applyAlignment="1">
      <alignment horizontal="left"/>
    </xf>
    <xf numFmtId="0" fontId="20" fillId="0" borderId="1" xfId="8" applyFont="1" applyFill="1" applyBorder="1" applyAlignment="1">
      <alignment horizontal="left"/>
    </xf>
    <xf numFmtId="0" fontId="16" fillId="0" borderId="1" xfId="8" applyFont="1" applyFill="1" applyBorder="1" applyAlignment="1">
      <alignment horizontal="left" wrapText="1"/>
    </xf>
    <xf numFmtId="0" fontId="8" fillId="0" borderId="2" xfId="8" applyFont="1" applyFill="1" applyBorder="1" applyAlignment="1">
      <alignment horizontal="center" vertical="center" wrapText="1"/>
    </xf>
    <xf numFmtId="0" fontId="17" fillId="0" borderId="1" xfId="8" applyFont="1" applyFill="1" applyBorder="1" applyAlignment="1">
      <alignment vertical="center"/>
    </xf>
    <xf numFmtId="0" fontId="15" fillId="0" borderId="1" xfId="8" applyFont="1" applyFill="1" applyBorder="1" applyAlignment="1">
      <alignment horizontal="left" vertical="center"/>
    </xf>
    <xf numFmtId="0" fontId="17" fillId="8" borderId="1" xfId="8" applyFont="1" applyFill="1" applyBorder="1" applyAlignment="1">
      <alignment vertical="center" wrapText="1"/>
    </xf>
    <xf numFmtId="0" fontId="21" fillId="0" borderId="1" xfId="8" applyFont="1" applyFill="1" applyBorder="1" applyAlignment="1">
      <alignment vertical="center"/>
    </xf>
    <xf numFmtId="0" fontId="17" fillId="0" borderId="1" xfId="8" applyFont="1" applyFill="1" applyBorder="1" applyAlignment="1">
      <alignment horizontal="left" vertical="center" wrapText="1"/>
    </xf>
    <xf numFmtId="0" fontId="15" fillId="0" borderId="1" xfId="8" applyFont="1" applyBorder="1" applyAlignment="1">
      <alignment horizontal="center"/>
    </xf>
    <xf numFmtId="1" fontId="15" fillId="0" borderId="1" xfId="8" applyNumberFormat="1" applyFont="1" applyBorder="1" applyAlignment="1">
      <alignment horizontal="center"/>
    </xf>
    <xf numFmtId="0" fontId="15" fillId="8" borderId="1" xfId="8" applyFont="1" applyFill="1" applyBorder="1" applyAlignment="1">
      <alignment horizontal="center"/>
    </xf>
    <xf numFmtId="1" fontId="15" fillId="8" borderId="1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1" fontId="15" fillId="0" borderId="1" xfId="8" applyNumberFormat="1" applyFont="1" applyFill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10" fillId="8" borderId="1" xfId="8" applyFont="1" applyFill="1" applyBorder="1" applyAlignment="1">
      <alignment horizontal="center"/>
    </xf>
    <xf numFmtId="2" fontId="10" fillId="8" borderId="1" xfId="8" applyNumberFormat="1" applyFont="1" applyFill="1" applyBorder="1" applyAlignment="1">
      <alignment horizontal="center"/>
    </xf>
    <xf numFmtId="0" fontId="8" fillId="0" borderId="1" xfId="8" applyFont="1" applyFill="1" applyBorder="1" applyAlignment="1">
      <alignment horizontal="center" vertical="center"/>
    </xf>
    <xf numFmtId="1" fontId="15" fillId="0" borderId="1" xfId="8" applyNumberFormat="1" applyFont="1" applyFill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/>
    <xf numFmtId="0" fontId="22" fillId="0" borderId="0" xfId="0" applyFont="1" applyAlignment="1">
      <alignment horizontal="center"/>
    </xf>
    <xf numFmtId="0" fontId="3" fillId="0" borderId="1" xfId="8" applyBorder="1"/>
    <xf numFmtId="0" fontId="20" fillId="0" borderId="1" xfId="8" applyFont="1" applyFill="1" applyBorder="1"/>
    <xf numFmtId="0" fontId="16" fillId="0" borderId="1" xfId="8" applyFont="1" applyFill="1" applyBorder="1" applyAlignment="1">
      <alignment horizontal="left" wrapText="1"/>
    </xf>
    <xf numFmtId="0" fontId="16" fillId="0" borderId="1" xfId="8" applyFont="1" applyFill="1" applyBorder="1" applyAlignment="1">
      <alignment wrapText="1"/>
    </xf>
    <xf numFmtId="0" fontId="3" fillId="0" borderId="1" xfId="8" applyBorder="1" applyAlignment="1">
      <alignment horizontal="right"/>
    </xf>
    <xf numFmtId="0" fontId="17" fillId="0" borderId="1" xfId="8" applyFont="1" applyFill="1" applyBorder="1" applyAlignment="1">
      <alignment vertical="center" wrapText="1"/>
    </xf>
    <xf numFmtId="0" fontId="17" fillId="0" borderId="1" xfId="8" applyFont="1" applyFill="1" applyBorder="1" applyAlignment="1">
      <alignment vertical="center"/>
    </xf>
    <xf numFmtId="0" fontId="17" fillId="0" borderId="5" xfId="8" applyFont="1" applyFill="1" applyBorder="1" applyAlignment="1">
      <alignment vertical="center"/>
    </xf>
    <xf numFmtId="0" fontId="17" fillId="0" borderId="1" xfId="8" applyFont="1" applyFill="1" applyBorder="1" applyAlignment="1">
      <alignment horizontal="left" vertical="center" wrapText="1"/>
    </xf>
    <xf numFmtId="0" fontId="8" fillId="0" borderId="1" xfId="8" applyFont="1" applyFill="1" applyBorder="1" applyAlignment="1">
      <alignment horizontal="center" vertical="center"/>
    </xf>
    <xf numFmtId="0" fontId="10" fillId="0" borderId="1" xfId="8" applyFont="1" applyBorder="1" applyAlignment="1">
      <alignment horizontal="center"/>
    </xf>
    <xf numFmtId="0" fontId="15" fillId="0" borderId="1" xfId="8" applyFont="1" applyBorder="1" applyAlignment="1">
      <alignment horizontal="center"/>
    </xf>
    <xf numFmtId="1" fontId="15" fillId="0" borderId="1" xfId="8" applyNumberFormat="1" applyFont="1" applyBorder="1" applyAlignment="1">
      <alignment horizontal="center"/>
    </xf>
    <xf numFmtId="0" fontId="15" fillId="0" borderId="1" xfId="8" applyFont="1" applyFill="1" applyBorder="1" applyAlignment="1">
      <alignment horizontal="center"/>
    </xf>
    <xf numFmtId="1" fontId="15" fillId="0" borderId="1" xfId="8" applyNumberFormat="1" applyFont="1" applyFill="1" applyBorder="1" applyAlignment="1">
      <alignment horizontal="center"/>
    </xf>
    <xf numFmtId="0" fontId="10" fillId="0" borderId="1" xfId="8" applyFont="1" applyBorder="1" applyAlignment="1">
      <alignment horizontal="center"/>
    </xf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5" fillId="0" borderId="1" xfId="8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" fontId="0" fillId="0" borderId="0" xfId="0" applyNumberFormat="1" applyAlignment="1">
      <alignment horizontal="center"/>
    </xf>
    <xf numFmtId="0" fontId="17" fillId="0" borderId="3" xfId="8" applyFont="1" applyFill="1" applyBorder="1" applyAlignment="1">
      <alignment vertical="center"/>
    </xf>
    <xf numFmtId="0" fontId="10" fillId="0" borderId="3" xfId="8" applyFont="1" applyFill="1" applyBorder="1" applyAlignment="1">
      <alignment horizontal="center"/>
    </xf>
    <xf numFmtId="0" fontId="20" fillId="0" borderId="3" xfId="8" applyFont="1" applyFill="1" applyBorder="1" applyAlignment="1">
      <alignment horizontal="center" wrapText="1"/>
    </xf>
    <xf numFmtId="0" fontId="22" fillId="9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0" borderId="1" xfId="8" applyBorder="1" applyAlignment="1">
      <alignment horizontal="center"/>
    </xf>
    <xf numFmtId="0" fontId="16" fillId="0" borderId="1" xfId="8" applyFont="1" applyFill="1" applyBorder="1" applyAlignment="1">
      <alignment horizontal="center"/>
    </xf>
    <xf numFmtId="0" fontId="33" fillId="0" borderId="1" xfId="8" applyFont="1" applyFill="1" applyBorder="1" applyAlignment="1">
      <alignment horizontal="center"/>
    </xf>
    <xf numFmtId="0" fontId="33" fillId="0" borderId="1" xfId="8" applyFont="1" applyBorder="1" applyAlignment="1">
      <alignment horizontal="center"/>
    </xf>
    <xf numFmtId="0" fontId="3" fillId="8" borderId="1" xfId="8" applyFill="1" applyBorder="1" applyAlignment="1">
      <alignment horizontal="center"/>
    </xf>
    <xf numFmtId="0" fontId="33" fillId="0" borderId="1" xfId="8" applyFont="1" applyFill="1" applyBorder="1" applyAlignment="1">
      <alignment horizontal="center" wrapText="1"/>
    </xf>
    <xf numFmtId="0" fontId="28" fillId="8" borderId="1" xfId="8" applyFont="1" applyFill="1" applyBorder="1" applyAlignment="1">
      <alignment horizontal="center" wrapText="1"/>
    </xf>
    <xf numFmtId="0" fontId="30" fillId="0" borderId="1" xfId="8" applyFont="1" applyFill="1" applyBorder="1" applyAlignment="1">
      <alignment horizontal="center"/>
    </xf>
    <xf numFmtId="0" fontId="34" fillId="0" borderId="1" xfId="8" applyFont="1" applyFill="1" applyBorder="1" applyAlignment="1">
      <alignment horizontal="center"/>
    </xf>
    <xf numFmtId="0" fontId="25" fillId="0" borderId="1" xfId="8" applyFont="1" applyFill="1" applyBorder="1" applyAlignment="1">
      <alignment vertical="center" wrapText="1"/>
    </xf>
    <xf numFmtId="0" fontId="25" fillId="0" borderId="5" xfId="8" applyFont="1" applyFill="1" applyBorder="1" applyAlignment="1">
      <alignment vertical="center" wrapText="1"/>
    </xf>
    <xf numFmtId="0" fontId="25" fillId="0" borderId="2" xfId="8" applyFont="1" applyFill="1" applyBorder="1" applyAlignment="1">
      <alignment vertical="center" wrapText="1"/>
    </xf>
    <xf numFmtId="0" fontId="25" fillId="0" borderId="1" xfId="8" applyFont="1" applyFill="1" applyBorder="1" applyAlignment="1">
      <alignment horizontal="justify" vertical="center"/>
    </xf>
    <xf numFmtId="0" fontId="27" fillId="8" borderId="1" xfId="8" applyFont="1" applyFill="1" applyBorder="1" applyAlignment="1">
      <alignment horizontal="left" vertical="center" wrapText="1"/>
    </xf>
    <xf numFmtId="0" fontId="17" fillId="0" borderId="1" xfId="8" applyFont="1" applyBorder="1" applyAlignment="1">
      <alignment horizontal="left" vertical="center" wrapText="1"/>
    </xf>
    <xf numFmtId="0" fontId="17" fillId="0" borderId="1" xfId="8" applyFont="1" applyBorder="1" applyAlignment="1">
      <alignment horizontal="left" vertical="center"/>
    </xf>
    <xf numFmtId="0" fontId="17" fillId="8" borderId="1" xfId="8" applyFont="1" applyFill="1" applyBorder="1" applyAlignment="1">
      <alignment horizontal="left" vertical="center"/>
    </xf>
    <xf numFmtId="0" fontId="17" fillId="0" borderId="1" xfId="8" applyFont="1" applyFill="1" applyBorder="1" applyAlignment="1">
      <alignment horizontal="left" vertical="center"/>
    </xf>
    <xf numFmtId="0" fontId="17" fillId="0" borderId="1" xfId="8" applyFont="1" applyBorder="1" applyAlignment="1">
      <alignment vertical="center"/>
    </xf>
    <xf numFmtId="0" fontId="17" fillId="10" borderId="1" xfId="8" applyFont="1" applyFill="1" applyBorder="1" applyAlignment="1">
      <alignment horizontal="justify" vertical="center"/>
    </xf>
    <xf numFmtId="0" fontId="21" fillId="10" borderId="1" xfId="8" applyFont="1" applyFill="1" applyBorder="1" applyAlignment="1">
      <alignment horizontal="justify" vertical="center"/>
    </xf>
    <xf numFmtId="0" fontId="32" fillId="8" borderId="1" xfId="8" applyFont="1" applyFill="1" applyBorder="1" applyAlignment="1">
      <alignment vertical="center" wrapText="1"/>
    </xf>
    <xf numFmtId="2" fontId="31" fillId="10" borderId="1" xfId="8" applyNumberFormat="1" applyFont="1" applyFill="1" applyBorder="1" applyAlignment="1">
      <alignment horizontal="center" vertical="center" wrapText="1"/>
    </xf>
    <xf numFmtId="2" fontId="31" fillId="0" borderId="6" xfId="8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5" fillId="0" borderId="0" xfId="8" applyFont="1" applyFill="1" applyBorder="1" applyAlignment="1">
      <alignment horizontal="center" vertical="center" wrapText="1"/>
    </xf>
    <xf numFmtId="2" fontId="31" fillId="0" borderId="3" xfId="8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Fill="1" applyBorder="1"/>
    <xf numFmtId="0" fontId="17" fillId="8" borderId="1" xfId="8" applyFont="1" applyFill="1" applyBorder="1" applyAlignment="1">
      <alignment horizontal="left" vertical="center" wrapText="1"/>
    </xf>
    <xf numFmtId="0" fontId="3" fillId="0" borderId="1" xfId="8" applyBorder="1" applyAlignment="1">
      <alignment horizontal="center"/>
    </xf>
    <xf numFmtId="1" fontId="31" fillId="0" borderId="1" xfId="8" applyNumberFormat="1" applyFont="1" applyBorder="1" applyAlignment="1">
      <alignment horizontal="center" vertical="center"/>
    </xf>
    <xf numFmtId="2" fontId="31" fillId="0" borderId="1" xfId="8" applyNumberFormat="1" applyFont="1" applyBorder="1" applyAlignment="1">
      <alignment horizontal="center" vertical="center"/>
    </xf>
    <xf numFmtId="2" fontId="31" fillId="0" borderId="1" xfId="8" applyNumberFormat="1" applyFont="1" applyFill="1" applyBorder="1" applyAlignment="1">
      <alignment horizontal="center" vertical="center" wrapText="1"/>
    </xf>
    <xf numFmtId="1" fontId="31" fillId="0" borderId="1" xfId="8" applyNumberFormat="1" applyFont="1" applyFill="1" applyBorder="1" applyAlignment="1">
      <alignment horizontal="center" vertical="center"/>
    </xf>
    <xf numFmtId="2" fontId="31" fillId="0" borderId="1" xfId="8" applyNumberFormat="1" applyFont="1" applyFill="1" applyBorder="1" applyAlignment="1">
      <alignment horizontal="center" vertical="center"/>
    </xf>
    <xf numFmtId="2" fontId="31" fillId="0" borderId="6" xfId="8" applyNumberFormat="1" applyFont="1" applyFill="1" applyBorder="1" applyAlignment="1">
      <alignment horizontal="center" vertical="center"/>
    </xf>
    <xf numFmtId="2" fontId="35" fillId="0" borderId="1" xfId="8" applyNumberFormat="1" applyFont="1" applyFill="1" applyBorder="1" applyAlignment="1">
      <alignment horizontal="center" vertical="center"/>
    </xf>
    <xf numFmtId="2" fontId="35" fillId="0" borderId="1" xfId="8" applyNumberFormat="1" applyFont="1" applyFill="1" applyBorder="1" applyAlignment="1">
      <alignment horizontal="center" vertical="center" wrapText="1"/>
    </xf>
    <xf numFmtId="2" fontId="30" fillId="0" borderId="1" xfId="8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1" xfId="43" applyFont="1" applyFill="1" applyBorder="1" applyAlignment="1">
      <alignment horizontal="left" vertical="center" wrapText="1"/>
    </xf>
    <xf numFmtId="0" fontId="19" fillId="0" borderId="1" xfId="43" applyFont="1" applyFill="1" applyBorder="1" applyAlignment="1">
      <alignment horizontal="left" vertical="center"/>
    </xf>
    <xf numFmtId="0" fontId="0" fillId="0" borderId="1" xfId="0" applyBorder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22" fillId="0" borderId="0" xfId="0" applyNumberFormat="1" applyFont="1" applyFill="1" applyAlignment="1">
      <alignment horizontal="center"/>
    </xf>
    <xf numFmtId="0" fontId="5" fillId="2" borderId="0" xfId="8" applyFont="1" applyFill="1" applyBorder="1" applyAlignment="1">
      <alignment horizontal="center" vertical="center" wrapText="1"/>
    </xf>
    <xf numFmtId="0" fontId="19" fillId="3" borderId="1" xfId="43" applyFont="1" applyFill="1" applyBorder="1" applyAlignment="1">
      <alignment horizontal="left" vertical="center"/>
    </xf>
    <xf numFmtId="2" fontId="31" fillId="3" borderId="1" xfId="8" applyNumberFormat="1" applyFont="1" applyFill="1" applyBorder="1" applyAlignment="1">
      <alignment horizontal="center" vertical="center"/>
    </xf>
    <xf numFmtId="1" fontId="31" fillId="3" borderId="1" xfId="8" applyNumberFormat="1" applyFont="1" applyFill="1" applyBorder="1" applyAlignment="1">
      <alignment horizontal="center" vertical="center"/>
    </xf>
    <xf numFmtId="1" fontId="0" fillId="3" borderId="0" xfId="0" applyNumberFormat="1" applyFill="1"/>
    <xf numFmtId="0" fontId="10" fillId="3" borderId="1" xfId="8" applyFont="1" applyFill="1" applyBorder="1" applyAlignment="1">
      <alignment horizontal="center"/>
    </xf>
    <xf numFmtId="2" fontId="10" fillId="3" borderId="1" xfId="8" applyNumberFormat="1" applyFont="1" applyFill="1" applyBorder="1" applyAlignment="1">
      <alignment horizontal="center"/>
    </xf>
    <xf numFmtId="2" fontId="0" fillId="3" borderId="0" xfId="0" applyNumberFormat="1" applyFill="1"/>
    <xf numFmtId="0" fontId="15" fillId="3" borderId="1" xfId="8" applyFont="1" applyFill="1" applyBorder="1" applyAlignment="1">
      <alignment horizontal="center"/>
    </xf>
    <xf numFmtId="1" fontId="15" fillId="3" borderId="1" xfId="8" applyNumberFormat="1" applyFont="1" applyFill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0" xfId="0" applyBorder="1"/>
    <xf numFmtId="1" fontId="0" fillId="0" borderId="1" xfId="0" applyNumberForma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/>
    <xf numFmtId="0" fontId="22" fillId="0" borderId="1" xfId="0" applyFont="1" applyBorder="1" applyAlignment="1">
      <alignment horizontal="center"/>
    </xf>
    <xf numFmtId="2" fontId="31" fillId="3" borderId="1" xfId="8" applyNumberFormat="1" applyFont="1" applyFill="1" applyBorder="1" applyAlignment="1">
      <alignment horizontal="center" vertical="center" wrapText="1"/>
    </xf>
    <xf numFmtId="2" fontId="31" fillId="3" borderId="6" xfId="8" applyNumberFormat="1" applyFont="1" applyFill="1" applyBorder="1" applyAlignment="1">
      <alignment horizontal="center" vertical="center"/>
    </xf>
    <xf numFmtId="2" fontId="31" fillId="3" borderId="3" xfId="8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1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/>
    <xf numFmtId="2" fontId="31" fillId="13" borderId="1" xfId="8" applyNumberFormat="1" applyFont="1" applyFill="1" applyBorder="1" applyAlignment="1">
      <alignment horizontal="center" vertical="center"/>
    </xf>
    <xf numFmtId="2" fontId="31" fillId="13" borderId="1" xfId="8" applyNumberFormat="1" applyFont="1" applyFill="1" applyBorder="1" applyAlignment="1">
      <alignment horizontal="center" vertical="center" wrapText="1"/>
    </xf>
    <xf numFmtId="2" fontId="31" fillId="13" borderId="6" xfId="8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/>
    </xf>
    <xf numFmtId="0" fontId="15" fillId="12" borderId="1" xfId="8" applyFont="1" applyFill="1" applyBorder="1" applyAlignment="1">
      <alignment horizontal="center"/>
    </xf>
    <xf numFmtId="1" fontId="15" fillId="12" borderId="1" xfId="8" applyNumberFormat="1" applyFont="1" applyFill="1" applyBorder="1" applyAlignment="1">
      <alignment horizontal="center"/>
    </xf>
    <xf numFmtId="1" fontId="0" fillId="12" borderId="0" xfId="0" applyNumberFormat="1" applyFill="1"/>
    <xf numFmtId="2" fontId="0" fillId="12" borderId="0" xfId="0" applyNumberFormat="1" applyFill="1"/>
    <xf numFmtId="16" fontId="0" fillId="0" borderId="0" xfId="0" applyNumberFormat="1"/>
    <xf numFmtId="0" fontId="15" fillId="14" borderId="1" xfId="8" applyFont="1" applyFill="1" applyBorder="1" applyAlignment="1">
      <alignment horizontal="center"/>
    </xf>
    <xf numFmtId="1" fontId="15" fillId="14" borderId="1" xfId="8" applyNumberFormat="1" applyFont="1" applyFill="1" applyBorder="1" applyAlignment="1">
      <alignment horizontal="center"/>
    </xf>
    <xf numFmtId="1" fontId="0" fillId="14" borderId="0" xfId="0" applyNumberFormat="1" applyFill="1"/>
    <xf numFmtId="0" fontId="10" fillId="14" borderId="3" xfId="8" applyFont="1" applyFill="1" applyBorder="1" applyAlignment="1">
      <alignment horizontal="center"/>
    </xf>
    <xf numFmtId="0" fontId="0" fillId="14" borderId="0" xfId="0" applyFill="1"/>
    <xf numFmtId="2" fontId="0" fillId="14" borderId="0" xfId="0" applyNumberFormat="1" applyFill="1"/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5" fillId="7" borderId="0" xfId="8" applyFont="1" applyFill="1" applyBorder="1" applyAlignment="1">
      <alignment horizontal="center"/>
    </xf>
    <xf numFmtId="1" fontId="15" fillId="7" borderId="0" xfId="8" applyNumberFormat="1" applyFont="1" applyFill="1" applyBorder="1" applyAlignment="1">
      <alignment horizontal="center"/>
    </xf>
    <xf numFmtId="2" fontId="0" fillId="7" borderId="0" xfId="0" applyNumberFormat="1" applyFill="1"/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5" fillId="7" borderId="1" xfId="8" applyFont="1" applyFill="1" applyBorder="1" applyAlignment="1">
      <alignment horizontal="center"/>
    </xf>
    <xf numFmtId="1" fontId="15" fillId="7" borderId="1" xfId="8" applyNumberFormat="1" applyFont="1" applyFill="1" applyBorder="1" applyAlignment="1">
      <alignment horizontal="center"/>
    </xf>
    <xf numFmtId="1" fontId="0" fillId="7" borderId="0" xfId="0" applyNumberFormat="1" applyFill="1"/>
    <xf numFmtId="0" fontId="10" fillId="7" borderId="1" xfId="8" applyFont="1" applyFill="1" applyBorder="1" applyAlignment="1">
      <alignment horizontal="center"/>
    </xf>
    <xf numFmtId="2" fontId="10" fillId="7" borderId="1" xfId="8" applyNumberFormat="1" applyFont="1" applyFill="1" applyBorder="1" applyAlignment="1">
      <alignment horizontal="center"/>
    </xf>
    <xf numFmtId="2" fontId="15" fillId="7" borderId="1" xfId="8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22" fillId="7" borderId="0" xfId="0" applyNumberFormat="1" applyFont="1" applyFill="1" applyAlignment="1">
      <alignment horizontal="center"/>
    </xf>
    <xf numFmtId="0" fontId="0" fillId="7" borderId="1" xfId="0" applyFill="1" applyBorder="1"/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6" fillId="0" borderId="1" xfId="8" applyFont="1" applyFill="1" applyBorder="1" applyAlignment="1">
      <alignment horizontal="center" vertical="center" wrapText="1"/>
    </xf>
    <xf numFmtId="0" fontId="6" fillId="0" borderId="6" xfId="8" applyFont="1" applyFill="1" applyBorder="1" applyAlignment="1">
      <alignment horizontal="center" vertical="center" wrapText="1"/>
    </xf>
    <xf numFmtId="0" fontId="5" fillId="0" borderId="2" xfId="8" applyFont="1" applyFill="1" applyBorder="1" applyAlignment="1">
      <alignment horizontal="center" vertical="center" wrapText="1"/>
    </xf>
    <xf numFmtId="2" fontId="0" fillId="0" borderId="0" xfId="0" applyNumberFormat="1" applyFill="1"/>
    <xf numFmtId="0" fontId="10" fillId="0" borderId="1" xfId="8" applyFont="1" applyFill="1" applyBorder="1" applyAlignment="1">
      <alignment horizontal="center"/>
    </xf>
    <xf numFmtId="2" fontId="10" fillId="0" borderId="1" xfId="8" applyNumberFormat="1" applyFont="1" applyFill="1" applyBorder="1" applyAlignment="1">
      <alignment horizontal="center"/>
    </xf>
    <xf numFmtId="0" fontId="0" fillId="0" borderId="0" xfId="0"/>
    <xf numFmtId="0" fontId="5" fillId="2" borderId="1" xfId="8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44">
    <cellStyle name="Normal" xfId="0" builtinId="0"/>
    <cellStyle name="Normal 10" xfId="2"/>
    <cellStyle name="Normal 10 2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"/>
    <cellStyle name="Normal 19" xfId="11"/>
    <cellStyle name="Normal 2" xfId="12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0" xfId="24"/>
    <cellStyle name="Normal 2 21" xfId="25"/>
    <cellStyle name="Normal 2 3" xfId="26"/>
    <cellStyle name="Normal 2 4" xfId="27"/>
    <cellStyle name="Normal 2 5" xfId="28"/>
    <cellStyle name="Normal 2 6" xfId="29"/>
    <cellStyle name="Normal 2 7" xfId="30"/>
    <cellStyle name="Normal 2 8" xfId="31"/>
    <cellStyle name="Normal 2 9" xfId="32"/>
    <cellStyle name="Normal 20" xfId="43"/>
    <cellStyle name="Normal 21" xfId="33"/>
    <cellStyle name="Normal 3" xfId="34"/>
    <cellStyle name="Normal 3 2" xfId="35"/>
    <cellStyle name="Normal 4" xfId="36"/>
    <cellStyle name="Normal 4 2" xfId="37"/>
    <cellStyle name="Normal 5" xfId="38"/>
    <cellStyle name="Normal 6" xfId="39"/>
    <cellStyle name="Normal 7" xfId="40"/>
    <cellStyle name="Normal 8" xfId="41"/>
    <cellStyle name="Normal 9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workbookViewId="0">
      <pane xSplit="3" ySplit="4" topLeftCell="D89" activePane="bottomRight" state="frozen"/>
      <selection pane="topRight" activeCell="D1" sqref="D1"/>
      <selection pane="bottomLeft" activeCell="A3" sqref="A3"/>
      <selection pane="bottomRight" activeCell="B101" sqref="B101"/>
    </sheetView>
  </sheetViews>
  <sheetFormatPr defaultRowHeight="15"/>
  <cols>
    <col min="1" max="1" width="14.42578125" bestFit="1" customWidth="1"/>
    <col min="2" max="2" width="62.140625" customWidth="1"/>
    <col min="3" max="3" width="47.140625" style="16" customWidth="1"/>
    <col min="4" max="4" width="47.140625" style="6" bestFit="1" customWidth="1"/>
    <col min="5" max="5" width="33.5703125" bestFit="1" customWidth="1"/>
    <col min="17" max="17" width="44" customWidth="1"/>
    <col min="23" max="23" width="33.42578125" customWidth="1"/>
  </cols>
  <sheetData>
    <row r="1" spans="1:28" s="16" customFormat="1">
      <c r="C1" s="20"/>
      <c r="D1" s="16" t="s">
        <v>144</v>
      </c>
      <c r="E1" s="16" t="s">
        <v>150</v>
      </c>
    </row>
    <row r="2" spans="1:28" s="16" customFormat="1"/>
    <row r="3" spans="1:28" s="6" customFormat="1">
      <c r="C3" s="16"/>
      <c r="F3" s="6" t="s">
        <v>26</v>
      </c>
      <c r="L3" s="6" t="s">
        <v>27</v>
      </c>
    </row>
    <row r="4" spans="1:28" s="6" customFormat="1" ht="24">
      <c r="A4" s="12" t="s">
        <v>0</v>
      </c>
      <c r="B4" s="7" t="s">
        <v>1</v>
      </c>
      <c r="C4" s="2" t="s">
        <v>49</v>
      </c>
      <c r="D4" s="2" t="s">
        <v>28</v>
      </c>
      <c r="E4" s="8" t="s">
        <v>25</v>
      </c>
      <c r="F4" s="8" t="s">
        <v>2</v>
      </c>
      <c r="G4" s="8" t="s">
        <v>3</v>
      </c>
      <c r="H4" s="8" t="s">
        <v>4</v>
      </c>
      <c r="I4" s="8" t="s">
        <v>5</v>
      </c>
      <c r="J4" s="8" t="s">
        <v>6</v>
      </c>
      <c r="L4" s="8" t="s">
        <v>2</v>
      </c>
      <c r="M4" s="8" t="s">
        <v>3</v>
      </c>
      <c r="N4" s="8" t="s">
        <v>4</v>
      </c>
      <c r="O4" s="8" t="s">
        <v>5</v>
      </c>
      <c r="P4" s="8" t="s">
        <v>6</v>
      </c>
      <c r="Q4" s="1" t="s">
        <v>30</v>
      </c>
      <c r="R4" s="118"/>
      <c r="S4" s="118"/>
      <c r="T4" s="118"/>
      <c r="U4" s="118"/>
      <c r="V4" s="118"/>
      <c r="W4" s="1"/>
      <c r="X4" s="118"/>
      <c r="Y4" s="118"/>
      <c r="Z4" s="118"/>
      <c r="AA4" s="118"/>
      <c r="AB4" s="118"/>
    </row>
    <row r="5" spans="1:28" ht="28.5">
      <c r="A5" s="126">
        <v>267</v>
      </c>
      <c r="B5" s="140" t="s">
        <v>99</v>
      </c>
      <c r="C5" s="17" t="s">
        <v>130</v>
      </c>
      <c r="D5" s="125">
        <v>201</v>
      </c>
      <c r="F5" s="159">
        <v>159</v>
      </c>
      <c r="G5" s="159">
        <v>80</v>
      </c>
      <c r="H5" s="159">
        <v>57</v>
      </c>
      <c r="I5" s="158">
        <v>44.75</v>
      </c>
      <c r="J5" s="66">
        <f>I5</f>
        <v>44.75</v>
      </c>
      <c r="L5" s="148">
        <v>115</v>
      </c>
      <c r="M5" s="159">
        <v>57.5</v>
      </c>
      <c r="N5" s="159">
        <v>38.333333333333336</v>
      </c>
      <c r="O5" s="149">
        <v>28.75</v>
      </c>
      <c r="P5" s="167">
        <f t="shared" ref="P5:P32" si="0">O5</f>
        <v>28.75</v>
      </c>
      <c r="Q5" s="17" t="s">
        <v>137</v>
      </c>
    </row>
    <row r="6" spans="1:28" s="16" customFormat="1" ht="28.5">
      <c r="A6" s="157"/>
      <c r="B6" s="140"/>
      <c r="C6" s="17"/>
      <c r="D6" s="125"/>
      <c r="E6" s="16" t="s">
        <v>176</v>
      </c>
      <c r="F6" s="202">
        <f t="shared" ref="F6:J8" si="1">ROUNDUP(L6*1.4,0)</f>
        <v>285</v>
      </c>
      <c r="G6" s="202">
        <f t="shared" si="1"/>
        <v>143</v>
      </c>
      <c r="H6" s="202">
        <f t="shared" si="1"/>
        <v>95</v>
      </c>
      <c r="I6" s="202">
        <f t="shared" si="1"/>
        <v>72</v>
      </c>
      <c r="J6" s="202">
        <f t="shared" si="1"/>
        <v>72</v>
      </c>
      <c r="L6" s="203">
        <v>203</v>
      </c>
      <c r="M6" s="202">
        <f>L6/2</f>
        <v>101.5</v>
      </c>
      <c r="N6" s="202">
        <f>L6/3</f>
        <v>67.666666666666671</v>
      </c>
      <c r="O6" s="204">
        <f>L6/4</f>
        <v>50.75</v>
      </c>
      <c r="P6" s="205">
        <f>O6</f>
        <v>50.75</v>
      </c>
      <c r="Q6" s="17"/>
    </row>
    <row r="7" spans="1:28" s="16" customFormat="1" ht="28.5">
      <c r="A7" s="157"/>
      <c r="B7" s="140"/>
      <c r="C7" s="17"/>
      <c r="D7" s="125"/>
      <c r="E7" s="16" t="s">
        <v>180</v>
      </c>
      <c r="F7" s="202">
        <f t="shared" si="1"/>
        <v>285</v>
      </c>
      <c r="G7" s="202">
        <f t="shared" si="1"/>
        <v>143</v>
      </c>
      <c r="H7" s="202">
        <f t="shared" si="1"/>
        <v>95</v>
      </c>
      <c r="I7" s="202">
        <f t="shared" si="1"/>
        <v>72</v>
      </c>
      <c r="J7" s="202">
        <f t="shared" si="1"/>
        <v>72</v>
      </c>
      <c r="L7" s="203">
        <v>203</v>
      </c>
      <c r="M7" s="202">
        <f>L7/2</f>
        <v>101.5</v>
      </c>
      <c r="N7" s="202">
        <f>L7/3</f>
        <v>67.666666666666671</v>
      </c>
      <c r="O7" s="204">
        <f>L7/4</f>
        <v>50.75</v>
      </c>
      <c r="P7" s="205">
        <f>O7</f>
        <v>50.75</v>
      </c>
      <c r="Q7" s="17"/>
    </row>
    <row r="8" spans="1:28" s="16" customFormat="1" ht="28.5">
      <c r="A8" s="157"/>
      <c r="B8" s="140"/>
      <c r="C8" s="17"/>
      <c r="D8" s="125"/>
      <c r="E8" s="201" t="s">
        <v>177</v>
      </c>
      <c r="F8" s="202">
        <f t="shared" si="1"/>
        <v>268</v>
      </c>
      <c r="G8" s="202">
        <f t="shared" si="1"/>
        <v>134</v>
      </c>
      <c r="H8" s="202">
        <f t="shared" si="1"/>
        <v>90</v>
      </c>
      <c r="I8" s="202">
        <f t="shared" si="1"/>
        <v>67</v>
      </c>
      <c r="J8" s="202">
        <f t="shared" si="1"/>
        <v>67</v>
      </c>
      <c r="L8" s="203">
        <v>191</v>
      </c>
      <c r="M8" s="202">
        <f>L8/2</f>
        <v>95.5</v>
      </c>
      <c r="N8" s="202">
        <f>L8/3</f>
        <v>63.666666666666664</v>
      </c>
      <c r="O8" s="204">
        <f>L8/4</f>
        <v>47.75</v>
      </c>
      <c r="P8" s="205">
        <f>O8</f>
        <v>47.75</v>
      </c>
      <c r="Q8" s="17"/>
    </row>
    <row r="9" spans="1:28" ht="15.75">
      <c r="A9" s="126">
        <v>1896</v>
      </c>
      <c r="B9" s="140" t="s">
        <v>100</v>
      </c>
      <c r="C9" s="17" t="s">
        <v>130</v>
      </c>
      <c r="D9" s="62"/>
      <c r="F9" s="159">
        <v>159</v>
      </c>
      <c r="G9" s="159">
        <v>80</v>
      </c>
      <c r="H9" s="159">
        <v>57</v>
      </c>
      <c r="I9" s="158">
        <v>44.75</v>
      </c>
      <c r="J9" s="66">
        <f>I9</f>
        <v>44.75</v>
      </c>
      <c r="L9" s="148">
        <v>100</v>
      </c>
      <c r="M9" s="159">
        <v>50</v>
      </c>
      <c r="N9" s="159">
        <v>33.333333333333336</v>
      </c>
      <c r="O9" s="149">
        <v>25</v>
      </c>
      <c r="P9" s="167">
        <f t="shared" si="0"/>
        <v>25</v>
      </c>
      <c r="Q9" s="17" t="s">
        <v>137</v>
      </c>
      <c r="R9" s="16"/>
      <c r="X9" s="6"/>
    </row>
    <row r="10" spans="1:28" ht="49.5" customHeight="1">
      <c r="A10" s="126">
        <v>1380</v>
      </c>
      <c r="B10" s="140" t="s">
        <v>101</v>
      </c>
      <c r="C10" s="17" t="s">
        <v>130</v>
      </c>
      <c r="D10" s="62"/>
      <c r="F10" s="162">
        <v>189</v>
      </c>
      <c r="G10" s="162">
        <v>95</v>
      </c>
      <c r="H10" s="162">
        <v>67</v>
      </c>
      <c r="I10" s="162">
        <v>53</v>
      </c>
      <c r="J10" s="151">
        <v>53</v>
      </c>
      <c r="L10" s="172">
        <v>135</v>
      </c>
      <c r="M10" s="172">
        <f>L10/2</f>
        <v>67.5</v>
      </c>
      <c r="N10" s="173">
        <f>L10/3</f>
        <v>45</v>
      </c>
      <c r="O10" s="172">
        <f>L10/4</f>
        <v>33.75</v>
      </c>
      <c r="P10" s="172">
        <f t="shared" si="0"/>
        <v>33.75</v>
      </c>
      <c r="Q10" s="17" t="s">
        <v>137</v>
      </c>
      <c r="R10" s="152"/>
      <c r="S10" s="152"/>
      <c r="T10" s="152"/>
      <c r="U10" s="152"/>
      <c r="V10" s="152"/>
      <c r="W10" s="154"/>
      <c r="X10" s="152"/>
      <c r="Y10" s="152"/>
      <c r="Z10" s="152"/>
      <c r="AA10" s="152"/>
      <c r="AB10" s="152"/>
    </row>
    <row r="11" spans="1:28" ht="15.75">
      <c r="A11" s="126">
        <v>391</v>
      </c>
      <c r="B11" s="141" t="s">
        <v>102</v>
      </c>
      <c r="C11" s="17" t="s">
        <v>130</v>
      </c>
      <c r="D11" s="62"/>
      <c r="F11" s="162">
        <v>189</v>
      </c>
      <c r="G11" s="162">
        <v>95</v>
      </c>
      <c r="H11" s="162">
        <v>67</v>
      </c>
      <c r="I11" s="162">
        <v>53</v>
      </c>
      <c r="J11" s="18">
        <f>I11</f>
        <v>53</v>
      </c>
      <c r="K11" s="12"/>
      <c r="L11" s="160">
        <v>130</v>
      </c>
      <c r="M11" s="162">
        <v>65</v>
      </c>
      <c r="N11" s="162">
        <v>43.333333333333336</v>
      </c>
      <c r="O11" s="163">
        <v>32.5</v>
      </c>
      <c r="P11" s="151">
        <f t="shared" si="0"/>
        <v>32.5</v>
      </c>
      <c r="Q11" s="17" t="s">
        <v>137</v>
      </c>
    </row>
    <row r="12" spans="1:28" ht="15.75">
      <c r="A12" s="126">
        <v>391</v>
      </c>
      <c r="B12" s="142" t="s">
        <v>103</v>
      </c>
      <c r="C12" s="17" t="s">
        <v>130</v>
      </c>
      <c r="D12" s="62"/>
      <c r="F12" s="162">
        <v>189</v>
      </c>
      <c r="G12" s="162">
        <v>95</v>
      </c>
      <c r="H12" s="162">
        <v>67</v>
      </c>
      <c r="I12" s="162">
        <v>53</v>
      </c>
      <c r="J12" s="18">
        <f>I12</f>
        <v>53</v>
      </c>
      <c r="K12" s="12"/>
      <c r="L12" s="160">
        <v>140</v>
      </c>
      <c r="M12" s="162">
        <v>70</v>
      </c>
      <c r="N12" s="162">
        <v>46.666666666666664</v>
      </c>
      <c r="O12" s="163">
        <v>35</v>
      </c>
      <c r="P12" s="151">
        <f t="shared" si="0"/>
        <v>35</v>
      </c>
      <c r="Q12" s="17" t="s">
        <v>137</v>
      </c>
      <c r="X12" s="16"/>
    </row>
    <row r="13" spans="1:28" s="16" customFormat="1" ht="63">
      <c r="A13" s="157"/>
      <c r="B13" s="156" t="s">
        <v>178</v>
      </c>
      <c r="C13" s="17" t="s">
        <v>130</v>
      </c>
      <c r="D13" s="62" t="s">
        <v>136</v>
      </c>
      <c r="F13" s="162">
        <v>245</v>
      </c>
      <c r="G13" s="162">
        <f>ROUNDUP(M13*1.4,0)</f>
        <v>123</v>
      </c>
      <c r="H13" s="162">
        <f t="shared" ref="H13:J13" si="2">ROUNDUP(N13*1.4,0)</f>
        <v>82</v>
      </c>
      <c r="I13" s="162">
        <f t="shared" si="2"/>
        <v>62</v>
      </c>
      <c r="J13" s="162">
        <f t="shared" si="2"/>
        <v>62</v>
      </c>
      <c r="K13" s="12"/>
      <c r="L13" s="160">
        <v>175</v>
      </c>
      <c r="M13" s="162">
        <f>L13/2</f>
        <v>87.5</v>
      </c>
      <c r="N13" s="162">
        <f>L13/3</f>
        <v>58.333333333333336</v>
      </c>
      <c r="O13" s="163">
        <f>L13/4</f>
        <v>43.75</v>
      </c>
      <c r="P13" s="151">
        <f t="shared" si="0"/>
        <v>43.75</v>
      </c>
      <c r="Q13" s="17" t="s">
        <v>137</v>
      </c>
    </row>
    <row r="14" spans="1:28" s="16" customFormat="1" ht="15.75">
      <c r="A14" s="157"/>
      <c r="B14" s="156"/>
      <c r="C14" s="17"/>
      <c r="D14" s="62"/>
      <c r="E14" s="16" t="s">
        <v>179</v>
      </c>
      <c r="F14" s="202">
        <f>ROUNDUP(L14*1.4,0)</f>
        <v>315</v>
      </c>
      <c r="G14" s="202">
        <f>ROUNDUP(M14*1.4,0)</f>
        <v>158</v>
      </c>
      <c r="H14" s="202">
        <f>ROUNDUP(N14*1.4,0)</f>
        <v>105</v>
      </c>
      <c r="I14" s="202">
        <f>ROUNDUP(O14*1.4,0)</f>
        <v>79</v>
      </c>
      <c r="J14" s="202">
        <f>ROUNDUP(P14*1.4,0)</f>
        <v>79</v>
      </c>
      <c r="K14" s="12"/>
      <c r="L14" s="203">
        <v>225</v>
      </c>
      <c r="M14" s="202">
        <f>L14/2</f>
        <v>112.5</v>
      </c>
      <c r="N14" s="202">
        <f>L14/3</f>
        <v>75</v>
      </c>
      <c r="O14" s="204">
        <f>L14/4</f>
        <v>56.25</v>
      </c>
      <c r="P14" s="205">
        <f>O14</f>
        <v>56.25</v>
      </c>
      <c r="Q14" s="17"/>
    </row>
    <row r="15" spans="1:28" ht="15.75">
      <c r="A15" s="126"/>
      <c r="B15" s="143" t="s">
        <v>104</v>
      </c>
      <c r="C15" s="17" t="s">
        <v>130</v>
      </c>
      <c r="D15" s="62"/>
      <c r="F15" s="162">
        <v>189</v>
      </c>
      <c r="G15" s="162">
        <v>95</v>
      </c>
      <c r="H15" s="162">
        <v>67</v>
      </c>
      <c r="I15" s="162">
        <v>53</v>
      </c>
      <c r="J15" s="18">
        <v>53</v>
      </c>
      <c r="K15" s="12"/>
      <c r="L15" s="160">
        <v>115</v>
      </c>
      <c r="M15" s="162">
        <v>57.5</v>
      </c>
      <c r="N15" s="162">
        <v>38.333333333333336</v>
      </c>
      <c r="O15" s="163">
        <v>28.75</v>
      </c>
      <c r="P15" s="151">
        <f t="shared" si="0"/>
        <v>28.75</v>
      </c>
      <c r="Q15" s="17" t="s">
        <v>137</v>
      </c>
      <c r="X15" s="16"/>
    </row>
    <row r="16" spans="1:28" ht="15.75">
      <c r="A16" s="126"/>
      <c r="B16" s="143" t="s">
        <v>105</v>
      </c>
      <c r="C16" s="17" t="s">
        <v>130</v>
      </c>
      <c r="D16" s="62"/>
      <c r="F16" s="162">
        <v>169</v>
      </c>
      <c r="G16" s="162">
        <v>85</v>
      </c>
      <c r="H16" s="161">
        <v>59.666666666666664</v>
      </c>
      <c r="I16" s="162">
        <v>48</v>
      </c>
      <c r="J16" s="18">
        <v>48</v>
      </c>
      <c r="K16" s="12"/>
      <c r="L16" s="160">
        <v>125</v>
      </c>
      <c r="M16" s="162">
        <v>62.5</v>
      </c>
      <c r="N16" s="162">
        <v>41.666666666666664</v>
      </c>
      <c r="O16" s="163">
        <v>31.25</v>
      </c>
      <c r="P16" s="151">
        <f t="shared" si="0"/>
        <v>31.25</v>
      </c>
      <c r="Q16" s="17" t="s">
        <v>137</v>
      </c>
    </row>
    <row r="17" spans="1:17" s="16" customFormat="1" ht="15.75">
      <c r="A17" s="157"/>
      <c r="B17" s="143" t="s">
        <v>162</v>
      </c>
      <c r="C17" s="17" t="s">
        <v>130</v>
      </c>
      <c r="D17" s="62"/>
      <c r="F17" s="180">
        <v>245</v>
      </c>
      <c r="G17" s="180">
        <f>ROUNDUP(M17*1.4,0)</f>
        <v>121</v>
      </c>
      <c r="H17" s="180">
        <f t="shared" ref="H17" si="3">ROUNDUP(N17*1.4,0)</f>
        <v>81</v>
      </c>
      <c r="I17" s="180">
        <f t="shared" ref="I17" si="4">ROUNDUP(O17*1.4,0)</f>
        <v>61</v>
      </c>
      <c r="J17" s="180">
        <f t="shared" ref="J17" si="5">ROUNDUP(P17*1.4,0)</f>
        <v>61</v>
      </c>
      <c r="K17" s="12"/>
      <c r="L17" s="195">
        <v>172</v>
      </c>
      <c r="M17" s="180">
        <f>L17/2</f>
        <v>86</v>
      </c>
      <c r="N17" s="180">
        <f>L17/3</f>
        <v>57.333333333333336</v>
      </c>
      <c r="O17" s="196">
        <f>L17/4</f>
        <v>43</v>
      </c>
      <c r="P17" s="173">
        <f>O17</f>
        <v>43</v>
      </c>
      <c r="Q17" s="17"/>
    </row>
    <row r="18" spans="1:17" ht="31.5">
      <c r="A18" s="127" t="s">
        <v>106</v>
      </c>
      <c r="B18" s="135" t="s">
        <v>107</v>
      </c>
      <c r="C18" s="17" t="s">
        <v>131</v>
      </c>
      <c r="D18" s="62"/>
      <c r="F18" s="162">
        <v>149</v>
      </c>
      <c r="G18" s="162">
        <v>75</v>
      </c>
      <c r="H18" s="162">
        <v>53</v>
      </c>
      <c r="I18" s="162">
        <v>43</v>
      </c>
      <c r="J18" s="151">
        <v>43</v>
      </c>
      <c r="K18" s="12"/>
      <c r="L18" s="160">
        <v>105</v>
      </c>
      <c r="M18" s="162">
        <v>52.5</v>
      </c>
      <c r="N18" s="162">
        <v>35</v>
      </c>
      <c r="O18" s="163">
        <v>26.25</v>
      </c>
      <c r="P18" s="151">
        <f t="shared" si="0"/>
        <v>26.25</v>
      </c>
      <c r="Q18" s="17" t="s">
        <v>137</v>
      </c>
    </row>
    <row r="19" spans="1:17" ht="15.75">
      <c r="A19" s="133">
        <v>2475</v>
      </c>
      <c r="B19" s="135" t="s">
        <v>108</v>
      </c>
      <c r="C19" s="17" t="s">
        <v>131</v>
      </c>
      <c r="D19" s="62"/>
      <c r="F19" s="180">
        <v>112</v>
      </c>
      <c r="G19" s="180">
        <v>56</v>
      </c>
      <c r="H19" s="180">
        <v>41</v>
      </c>
      <c r="I19" s="180">
        <v>33</v>
      </c>
      <c r="J19" s="185">
        <f>I19</f>
        <v>33</v>
      </c>
      <c r="K19" s="12"/>
      <c r="L19" s="197">
        <v>80</v>
      </c>
      <c r="M19" s="172">
        <f>L19/2</f>
        <v>40</v>
      </c>
      <c r="N19" s="172">
        <f>L19/3</f>
        <v>26.666666666666668</v>
      </c>
      <c r="O19" s="172">
        <f>L19/4</f>
        <v>20</v>
      </c>
      <c r="P19" s="173">
        <f t="shared" si="0"/>
        <v>20</v>
      </c>
      <c r="Q19" s="17" t="s">
        <v>137</v>
      </c>
    </row>
    <row r="20" spans="1:17" ht="15.75">
      <c r="A20" s="134">
        <v>2477</v>
      </c>
      <c r="B20" s="135" t="s">
        <v>109</v>
      </c>
      <c r="C20" s="17" t="s">
        <v>131</v>
      </c>
      <c r="D20" s="62"/>
      <c r="F20" s="162">
        <v>133</v>
      </c>
      <c r="G20" s="162">
        <v>67</v>
      </c>
      <c r="H20" s="162">
        <v>48</v>
      </c>
      <c r="I20" s="162">
        <v>39</v>
      </c>
      <c r="J20" s="155">
        <v>39</v>
      </c>
      <c r="K20" s="12"/>
      <c r="L20" s="160">
        <v>95</v>
      </c>
      <c r="M20" s="162">
        <v>47.5</v>
      </c>
      <c r="N20" s="162">
        <v>31.666666666666668</v>
      </c>
      <c r="O20" s="163">
        <v>23.75</v>
      </c>
      <c r="P20" s="151">
        <f t="shared" si="0"/>
        <v>23.75</v>
      </c>
      <c r="Q20" s="17" t="s">
        <v>137</v>
      </c>
    </row>
    <row r="21" spans="1:17" ht="15.75">
      <c r="A21" s="127" t="s">
        <v>110</v>
      </c>
      <c r="B21" s="135" t="s">
        <v>111</v>
      </c>
      <c r="C21" s="17" t="s">
        <v>131</v>
      </c>
      <c r="D21" s="62"/>
      <c r="F21" s="162">
        <v>133</v>
      </c>
      <c r="G21" s="162">
        <v>67</v>
      </c>
      <c r="H21" s="162">
        <v>48</v>
      </c>
      <c r="I21" s="162">
        <v>39</v>
      </c>
      <c r="J21" s="155">
        <f t="shared" ref="J21" si="6">I21</f>
        <v>39</v>
      </c>
      <c r="K21" s="12"/>
      <c r="L21" s="153">
        <v>95</v>
      </c>
      <c r="M21" s="150">
        <f>L21/2</f>
        <v>47.5</v>
      </c>
      <c r="N21" s="151">
        <f>L21/3</f>
        <v>31.666666666666668</v>
      </c>
      <c r="O21" s="150">
        <f>L21/4</f>
        <v>23.75</v>
      </c>
      <c r="P21" s="151">
        <f t="shared" si="0"/>
        <v>23.75</v>
      </c>
      <c r="Q21" s="17" t="s">
        <v>137</v>
      </c>
    </row>
    <row r="22" spans="1:17" ht="15.75">
      <c r="A22" s="128" t="s">
        <v>112</v>
      </c>
      <c r="B22" s="137" t="s">
        <v>113</v>
      </c>
      <c r="C22" s="17" t="s">
        <v>131</v>
      </c>
      <c r="D22" s="62"/>
      <c r="F22" s="162">
        <v>112</v>
      </c>
      <c r="G22" s="162">
        <v>56</v>
      </c>
      <c r="H22" s="162">
        <v>41</v>
      </c>
      <c r="I22" s="162">
        <v>33</v>
      </c>
      <c r="J22" s="18">
        <f>I22</f>
        <v>33</v>
      </c>
      <c r="K22" s="12"/>
      <c r="L22" s="160">
        <v>80</v>
      </c>
      <c r="M22" s="162">
        <v>40</v>
      </c>
      <c r="N22" s="162">
        <v>26.666666666666668</v>
      </c>
      <c r="O22" s="163">
        <v>20</v>
      </c>
      <c r="P22" s="151">
        <f t="shared" si="0"/>
        <v>20</v>
      </c>
      <c r="Q22" s="17" t="s">
        <v>137</v>
      </c>
    </row>
    <row r="23" spans="1:17" ht="15.75">
      <c r="A23" s="128" t="s">
        <v>114</v>
      </c>
      <c r="B23" s="137" t="s">
        <v>115</v>
      </c>
      <c r="C23" s="17" t="s">
        <v>131</v>
      </c>
      <c r="D23" s="62"/>
      <c r="F23" s="162">
        <v>112</v>
      </c>
      <c r="G23" s="162">
        <v>56</v>
      </c>
      <c r="H23" s="162">
        <v>41</v>
      </c>
      <c r="I23" s="162">
        <v>33</v>
      </c>
      <c r="J23" s="18">
        <f>I23</f>
        <v>33</v>
      </c>
      <c r="L23" s="160">
        <v>80</v>
      </c>
      <c r="M23" s="162">
        <v>40</v>
      </c>
      <c r="N23" s="162">
        <v>26.666666666666668</v>
      </c>
      <c r="O23" s="163">
        <v>20</v>
      </c>
      <c r="P23" s="151">
        <f t="shared" si="0"/>
        <v>20</v>
      </c>
      <c r="Q23" s="17" t="s">
        <v>137</v>
      </c>
    </row>
    <row r="24" spans="1:17" ht="15.75">
      <c r="A24" s="129" t="s">
        <v>116</v>
      </c>
      <c r="B24" s="138" t="s">
        <v>117</v>
      </c>
      <c r="C24" s="17" t="s">
        <v>131</v>
      </c>
      <c r="D24" s="62"/>
      <c r="F24" s="162">
        <v>133</v>
      </c>
      <c r="G24" s="162">
        <v>67</v>
      </c>
      <c r="H24" s="162">
        <v>48</v>
      </c>
      <c r="I24" s="162">
        <v>39</v>
      </c>
      <c r="J24" s="155">
        <f t="shared" ref="J24" si="7">I24</f>
        <v>39</v>
      </c>
      <c r="K24" s="12"/>
      <c r="L24" s="153">
        <v>95</v>
      </c>
      <c r="M24" s="150">
        <f>L24/2</f>
        <v>47.5</v>
      </c>
      <c r="N24" s="151">
        <f>L24/3</f>
        <v>31.666666666666668</v>
      </c>
      <c r="O24" s="150">
        <f>L24/4</f>
        <v>23.75</v>
      </c>
      <c r="P24" s="151">
        <f t="shared" si="0"/>
        <v>23.75</v>
      </c>
      <c r="Q24" s="151" t="s">
        <v>137</v>
      </c>
    </row>
    <row r="25" spans="1:17" ht="15.75">
      <c r="A25" s="126">
        <v>306</v>
      </c>
      <c r="B25" s="144" t="s">
        <v>118</v>
      </c>
      <c r="C25" s="17" t="s">
        <v>132</v>
      </c>
      <c r="D25" s="62"/>
      <c r="F25" s="162">
        <v>133</v>
      </c>
      <c r="G25" s="162">
        <v>67</v>
      </c>
      <c r="H25" s="162">
        <v>48</v>
      </c>
      <c r="I25" s="162">
        <v>39</v>
      </c>
      <c r="J25" s="18">
        <f t="shared" ref="J25:J32" si="8">I25</f>
        <v>39</v>
      </c>
      <c r="K25" s="12"/>
      <c r="L25" s="160">
        <v>95</v>
      </c>
      <c r="M25" s="162">
        <v>47.5</v>
      </c>
      <c r="N25" s="162">
        <v>31.666666666666668</v>
      </c>
      <c r="O25" s="163">
        <v>23.75</v>
      </c>
      <c r="P25" s="151">
        <f t="shared" si="0"/>
        <v>23.75</v>
      </c>
      <c r="Q25" s="17" t="s">
        <v>137</v>
      </c>
    </row>
    <row r="26" spans="1:17" s="16" customFormat="1" ht="15.75">
      <c r="A26" s="157"/>
      <c r="B26" s="144" t="s">
        <v>168</v>
      </c>
      <c r="C26" s="17" t="s">
        <v>132</v>
      </c>
      <c r="D26" s="62"/>
      <c r="F26" s="180">
        <v>133</v>
      </c>
      <c r="G26" s="180">
        <v>67</v>
      </c>
      <c r="H26" s="180">
        <v>48</v>
      </c>
      <c r="I26" s="180">
        <v>39</v>
      </c>
      <c r="J26" s="185">
        <f t="shared" ref="J26" si="9">I26</f>
        <v>39</v>
      </c>
      <c r="K26" s="12"/>
      <c r="L26" s="195">
        <v>95</v>
      </c>
      <c r="M26" s="180">
        <v>47.5</v>
      </c>
      <c r="N26" s="180">
        <v>31.666666666666668</v>
      </c>
      <c r="O26" s="196">
        <v>23.75</v>
      </c>
      <c r="P26" s="173">
        <f t="shared" ref="P26" si="10">O26</f>
        <v>23.75</v>
      </c>
      <c r="Q26" s="17"/>
    </row>
    <row r="27" spans="1:17" ht="15.75">
      <c r="A27" s="126">
        <v>422</v>
      </c>
      <c r="B27" s="145" t="s">
        <v>119</v>
      </c>
      <c r="C27" s="17" t="s">
        <v>134</v>
      </c>
      <c r="D27" s="62"/>
      <c r="F27" s="162">
        <v>133</v>
      </c>
      <c r="G27" s="162">
        <v>67</v>
      </c>
      <c r="H27" s="162">
        <v>48</v>
      </c>
      <c r="I27" s="162">
        <v>39</v>
      </c>
      <c r="J27" s="18">
        <v>39</v>
      </c>
      <c r="K27" s="12"/>
      <c r="L27" s="160">
        <v>95</v>
      </c>
      <c r="M27" s="162">
        <v>47.5</v>
      </c>
      <c r="N27" s="162">
        <v>31.666666666666668</v>
      </c>
      <c r="O27" s="163">
        <v>23.75</v>
      </c>
      <c r="P27" s="151">
        <f t="shared" si="0"/>
        <v>23.75</v>
      </c>
      <c r="Q27" s="17" t="s">
        <v>137</v>
      </c>
    </row>
    <row r="28" spans="1:17" ht="18.75">
      <c r="A28" s="126">
        <v>1667</v>
      </c>
      <c r="B28" s="146" t="s">
        <v>120</v>
      </c>
      <c r="C28" s="17" t="s">
        <v>133</v>
      </c>
      <c r="D28" s="62"/>
      <c r="F28" s="162">
        <v>133</v>
      </c>
      <c r="G28" s="162">
        <v>67</v>
      </c>
      <c r="H28" s="162">
        <v>48</v>
      </c>
      <c r="I28" s="162">
        <v>39</v>
      </c>
      <c r="J28" s="18">
        <v>39</v>
      </c>
      <c r="K28" s="12"/>
      <c r="L28" s="160">
        <v>95</v>
      </c>
      <c r="M28" s="162">
        <v>47.5</v>
      </c>
      <c r="N28" s="162">
        <v>31.666666666666668</v>
      </c>
      <c r="O28" s="163">
        <v>23.75</v>
      </c>
      <c r="P28" s="151">
        <f t="shared" si="0"/>
        <v>23.75</v>
      </c>
      <c r="Q28" s="17" t="s">
        <v>137</v>
      </c>
    </row>
    <row r="29" spans="1:17" ht="15.75">
      <c r="A29" s="130">
        <v>2682</v>
      </c>
      <c r="B29" s="147" t="s">
        <v>121</v>
      </c>
      <c r="C29" s="17" t="s">
        <v>133</v>
      </c>
      <c r="D29" s="62"/>
      <c r="F29" s="164">
        <v>133</v>
      </c>
      <c r="G29" s="164">
        <v>67</v>
      </c>
      <c r="H29" s="164">
        <v>48</v>
      </c>
      <c r="I29" s="164">
        <v>39</v>
      </c>
      <c r="J29" s="18">
        <f t="shared" si="8"/>
        <v>39</v>
      </c>
      <c r="L29" s="165">
        <v>95</v>
      </c>
      <c r="M29" s="164">
        <v>47.5</v>
      </c>
      <c r="N29" s="164">
        <v>31.666666666666668</v>
      </c>
      <c r="O29" s="164">
        <v>23.75</v>
      </c>
      <c r="P29" s="151">
        <f t="shared" si="0"/>
        <v>23.75</v>
      </c>
      <c r="Q29" s="17" t="s">
        <v>137</v>
      </c>
    </row>
    <row r="30" spans="1:17" ht="26.25">
      <c r="A30" s="131" t="s">
        <v>122</v>
      </c>
      <c r="B30" s="135" t="s">
        <v>123</v>
      </c>
      <c r="C30" s="17" t="s">
        <v>135</v>
      </c>
      <c r="D30" s="62"/>
      <c r="F30" s="162">
        <v>133</v>
      </c>
      <c r="G30" s="162">
        <v>67</v>
      </c>
      <c r="H30" s="162">
        <v>48</v>
      </c>
      <c r="I30" s="162">
        <v>39</v>
      </c>
      <c r="J30" s="18">
        <v>39</v>
      </c>
      <c r="K30" s="12"/>
      <c r="L30" s="160">
        <v>105</v>
      </c>
      <c r="M30" s="162">
        <v>52.5</v>
      </c>
      <c r="N30" s="162">
        <v>35</v>
      </c>
      <c r="O30" s="163">
        <v>26.25</v>
      </c>
      <c r="P30" s="151">
        <f t="shared" si="0"/>
        <v>26.25</v>
      </c>
      <c r="Q30" s="17" t="s">
        <v>137</v>
      </c>
    </row>
    <row r="31" spans="1:17" ht="26.25">
      <c r="A31" s="131" t="s">
        <v>124</v>
      </c>
      <c r="B31" s="136" t="s">
        <v>126</v>
      </c>
      <c r="C31" s="17" t="s">
        <v>125</v>
      </c>
      <c r="D31" s="62"/>
      <c r="F31" s="162">
        <v>133</v>
      </c>
      <c r="G31" s="162">
        <v>66.5</v>
      </c>
      <c r="H31" s="162">
        <v>47.666666666666664</v>
      </c>
      <c r="I31" s="162">
        <v>39</v>
      </c>
      <c r="J31" s="18">
        <v>39</v>
      </c>
      <c r="K31" s="12"/>
      <c r="L31" s="160">
        <v>105</v>
      </c>
      <c r="M31" s="162">
        <v>52.5</v>
      </c>
      <c r="N31" s="162">
        <v>35</v>
      </c>
      <c r="O31" s="163">
        <v>26.25</v>
      </c>
      <c r="P31" s="151">
        <f t="shared" si="0"/>
        <v>26.25</v>
      </c>
      <c r="Q31" s="17" t="s">
        <v>137</v>
      </c>
    </row>
    <row r="32" spans="1:17" ht="18.75">
      <c r="A32" s="132" t="s">
        <v>127</v>
      </c>
      <c r="B32" s="139" t="s">
        <v>129</v>
      </c>
      <c r="C32" s="17" t="s">
        <v>128</v>
      </c>
      <c r="D32" s="62"/>
      <c r="F32" s="166">
        <v>140</v>
      </c>
      <c r="G32" s="166">
        <v>70</v>
      </c>
      <c r="H32" s="166">
        <v>50</v>
      </c>
      <c r="I32" s="166">
        <v>40</v>
      </c>
      <c r="J32" s="18">
        <f t="shared" si="8"/>
        <v>40</v>
      </c>
      <c r="K32" s="12"/>
      <c r="L32" s="195">
        <v>95</v>
      </c>
      <c r="M32" s="180">
        <f>L32/2</f>
        <v>47.5</v>
      </c>
      <c r="N32" s="180">
        <f>L32/3</f>
        <v>31.666666666666668</v>
      </c>
      <c r="O32" s="196">
        <f>L32/4</f>
        <v>23.75</v>
      </c>
      <c r="P32" s="173">
        <f t="shared" si="0"/>
        <v>23.75</v>
      </c>
      <c r="Q32" s="17" t="s">
        <v>137</v>
      </c>
    </row>
    <row r="35" spans="2:16">
      <c r="B35" s="17" t="s">
        <v>173</v>
      </c>
      <c r="C35" s="168" t="s">
        <v>174</v>
      </c>
      <c r="D35" s="199">
        <v>245</v>
      </c>
      <c r="F35">
        <f>ROUNDUP(L35*1.4,0)</f>
        <v>161</v>
      </c>
      <c r="G35" s="16">
        <f t="shared" ref="G35:J37" si="11">ROUNDUP(M35*1.4,0)</f>
        <v>81</v>
      </c>
      <c r="H35" s="16">
        <f t="shared" si="11"/>
        <v>54</v>
      </c>
      <c r="I35" s="16">
        <f t="shared" si="11"/>
        <v>41</v>
      </c>
      <c r="J35" s="16">
        <f t="shared" si="11"/>
        <v>54</v>
      </c>
      <c r="L35" s="17">
        <v>115</v>
      </c>
      <c r="M35">
        <f>L35/2</f>
        <v>57.5</v>
      </c>
      <c r="N35">
        <f>L35/3</f>
        <v>38.333333333333336</v>
      </c>
      <c r="O35">
        <f>L35/4</f>
        <v>28.75</v>
      </c>
      <c r="P35">
        <f>N35</f>
        <v>38.333333333333336</v>
      </c>
    </row>
    <row r="36" spans="2:16" s="16" customFormat="1">
      <c r="C36" s="168" t="s">
        <v>175</v>
      </c>
      <c r="D36" s="199">
        <v>245</v>
      </c>
      <c r="F36" s="16">
        <f t="shared" ref="F36:F37" si="12">ROUNDUP(L36*1.4,0)</f>
        <v>175</v>
      </c>
      <c r="G36" s="16">
        <f t="shared" si="11"/>
        <v>88</v>
      </c>
      <c r="H36" s="16">
        <f t="shared" si="11"/>
        <v>59</v>
      </c>
      <c r="I36" s="16">
        <f t="shared" si="11"/>
        <v>44</v>
      </c>
      <c r="J36" s="16">
        <f t="shared" si="11"/>
        <v>59</v>
      </c>
      <c r="L36" s="17">
        <v>125</v>
      </c>
      <c r="M36" s="16">
        <f t="shared" ref="M36:M37" si="13">L36/2</f>
        <v>62.5</v>
      </c>
      <c r="N36" s="16">
        <f t="shared" ref="N36:N40" si="14">L36/3</f>
        <v>41.666666666666664</v>
      </c>
      <c r="O36" s="16">
        <f t="shared" ref="O36:O40" si="15">L36/4</f>
        <v>31.25</v>
      </c>
      <c r="P36" s="16">
        <f t="shared" ref="P36:P40" si="16">N36</f>
        <v>41.666666666666664</v>
      </c>
    </row>
    <row r="37" spans="2:16">
      <c r="C37" s="200" t="s">
        <v>201</v>
      </c>
      <c r="D37" s="199">
        <v>245</v>
      </c>
      <c r="F37" s="16">
        <f t="shared" si="12"/>
        <v>161</v>
      </c>
      <c r="G37" s="16">
        <f t="shared" si="11"/>
        <v>81</v>
      </c>
      <c r="H37" s="16">
        <f t="shared" si="11"/>
        <v>54</v>
      </c>
      <c r="I37" s="16">
        <f t="shared" si="11"/>
        <v>41</v>
      </c>
      <c r="J37" s="16">
        <f t="shared" si="11"/>
        <v>54</v>
      </c>
      <c r="L37" s="17">
        <v>115</v>
      </c>
      <c r="M37" s="16">
        <f t="shared" si="13"/>
        <v>57.5</v>
      </c>
      <c r="N37" s="16">
        <f t="shared" si="14"/>
        <v>38.333333333333336</v>
      </c>
      <c r="O37" s="16">
        <f t="shared" si="15"/>
        <v>28.75</v>
      </c>
      <c r="P37" s="16">
        <f t="shared" si="16"/>
        <v>38.333333333333336</v>
      </c>
    </row>
    <row r="38" spans="2:16" s="16" customFormat="1">
      <c r="B38" s="69" t="s">
        <v>198</v>
      </c>
      <c r="C38" s="222" t="s">
        <v>201</v>
      </c>
      <c r="D38" s="223">
        <v>245</v>
      </c>
      <c r="E38" s="69"/>
      <c r="F38" s="69">
        <f t="shared" ref="F38:F40" si="17">ROUNDUP(L38*1.4,0)</f>
        <v>231</v>
      </c>
      <c r="G38" s="69">
        <f t="shared" ref="G38:G40" si="18">ROUNDUP(M38*1.4,0)</f>
        <v>116</v>
      </c>
      <c r="H38" s="69">
        <f t="shared" ref="H38:H40" si="19">ROUNDUP(N38*1.4,0)</f>
        <v>77</v>
      </c>
      <c r="I38" s="69">
        <f t="shared" ref="I38:I40" si="20">ROUNDUP(O38*1.4,0)</f>
        <v>58</v>
      </c>
      <c r="J38" s="69">
        <f t="shared" ref="J38:J40" si="21">ROUNDUP(P38*1.4,0)</f>
        <v>77</v>
      </c>
      <c r="K38" s="69"/>
      <c r="L38" s="223">
        <v>165</v>
      </c>
      <c r="M38" s="69">
        <f>L38/2</f>
        <v>82.5</v>
      </c>
      <c r="N38" s="69">
        <f>L38/3</f>
        <v>55</v>
      </c>
      <c r="O38" s="69">
        <f t="shared" si="15"/>
        <v>41.25</v>
      </c>
      <c r="P38" s="69">
        <f t="shared" si="16"/>
        <v>55</v>
      </c>
    </row>
    <row r="39" spans="2:16" s="16" customFormat="1">
      <c r="B39" s="69" t="s">
        <v>199</v>
      </c>
      <c r="C39" s="222" t="s">
        <v>201</v>
      </c>
      <c r="D39" s="223">
        <v>245</v>
      </c>
      <c r="E39" s="69"/>
      <c r="F39" s="69">
        <f t="shared" si="17"/>
        <v>329</v>
      </c>
      <c r="G39" s="69">
        <f t="shared" si="18"/>
        <v>165</v>
      </c>
      <c r="H39" s="69">
        <f t="shared" si="19"/>
        <v>110</v>
      </c>
      <c r="I39" s="69">
        <f t="shared" si="20"/>
        <v>83</v>
      </c>
      <c r="J39" s="69">
        <f t="shared" si="21"/>
        <v>110</v>
      </c>
      <c r="K39" s="69"/>
      <c r="L39" s="223">
        <v>235</v>
      </c>
      <c r="M39" s="69">
        <f>L39/2</f>
        <v>117.5</v>
      </c>
      <c r="N39" s="69">
        <f>L39/3</f>
        <v>78.333333333333329</v>
      </c>
      <c r="O39" s="69">
        <f t="shared" si="15"/>
        <v>58.75</v>
      </c>
      <c r="P39" s="69">
        <f t="shared" si="16"/>
        <v>78.333333333333329</v>
      </c>
    </row>
    <row r="40" spans="2:16" s="16" customFormat="1">
      <c r="B40" s="69" t="s">
        <v>200</v>
      </c>
      <c r="C40" s="222" t="s">
        <v>201</v>
      </c>
      <c r="D40" s="223">
        <v>245</v>
      </c>
      <c r="E40" s="69"/>
      <c r="F40" s="69">
        <f t="shared" si="17"/>
        <v>373</v>
      </c>
      <c r="G40" s="69">
        <f t="shared" si="18"/>
        <v>187</v>
      </c>
      <c r="H40" s="69">
        <f t="shared" si="19"/>
        <v>125</v>
      </c>
      <c r="I40" s="69">
        <f t="shared" si="20"/>
        <v>94</v>
      </c>
      <c r="J40" s="69">
        <f t="shared" si="21"/>
        <v>125</v>
      </c>
      <c r="K40" s="69"/>
      <c r="L40" s="223">
        <v>266</v>
      </c>
      <c r="M40" s="69">
        <f>L40/2</f>
        <v>133</v>
      </c>
      <c r="N40" s="69">
        <f t="shared" si="14"/>
        <v>88.666666666666671</v>
      </c>
      <c r="O40" s="69">
        <f t="shared" si="15"/>
        <v>66.5</v>
      </c>
      <c r="P40" s="69">
        <f t="shared" si="16"/>
        <v>88.666666666666671</v>
      </c>
    </row>
    <row r="41" spans="2:16" s="16" customFormat="1">
      <c r="C41" s="200"/>
      <c r="D41" s="150"/>
      <c r="L41" s="17"/>
    </row>
    <row r="42" spans="2:16" s="16" customFormat="1">
      <c r="B42" s="16" t="s">
        <v>187</v>
      </c>
      <c r="C42" s="200" t="s">
        <v>188</v>
      </c>
      <c r="D42" s="217">
        <v>212</v>
      </c>
      <c r="F42" s="16">
        <v>161</v>
      </c>
      <c r="G42" s="16">
        <v>81</v>
      </c>
      <c r="H42" s="16">
        <v>54</v>
      </c>
      <c r="I42" s="16" t="s">
        <v>193</v>
      </c>
      <c r="J42" s="16">
        <v>54</v>
      </c>
      <c r="L42" s="17">
        <v>113</v>
      </c>
      <c r="M42" s="16">
        <f>113/2</f>
        <v>56.5</v>
      </c>
      <c r="N42" s="16">
        <f>149/3</f>
        <v>49.666666666666664</v>
      </c>
      <c r="O42" s="16" t="s">
        <v>192</v>
      </c>
      <c r="P42" s="16">
        <f>N42</f>
        <v>49.666666666666664</v>
      </c>
    </row>
    <row r="43" spans="2:16" s="16" customFormat="1">
      <c r="B43" s="16" t="s">
        <v>189</v>
      </c>
      <c r="C43" s="200"/>
      <c r="D43" s="217">
        <v>212</v>
      </c>
      <c r="F43" s="16">
        <f t="shared" ref="F43:F45" si="22">ROUNDUP(L43*1.4,0)</f>
        <v>231</v>
      </c>
      <c r="G43" s="16">
        <f t="shared" ref="G43:G45" si="23">ROUNDUP(M43*1.4,0)</f>
        <v>116</v>
      </c>
      <c r="H43" s="16">
        <f t="shared" ref="H43:H45" si="24">ROUNDUP(N43*1.4,0)</f>
        <v>96</v>
      </c>
      <c r="I43" s="16" t="s">
        <v>193</v>
      </c>
      <c r="J43" s="16">
        <f t="shared" ref="J43:J45" si="25">ROUNDUP(P43*1.4,0)</f>
        <v>96</v>
      </c>
      <c r="L43" s="17">
        <v>165</v>
      </c>
      <c r="M43" s="16">
        <f>165/2</f>
        <v>82.5</v>
      </c>
      <c r="N43" s="16">
        <f>204/3</f>
        <v>68</v>
      </c>
      <c r="O43" s="16" t="s">
        <v>192</v>
      </c>
      <c r="P43" s="16">
        <f>N43</f>
        <v>68</v>
      </c>
    </row>
    <row r="44" spans="2:16" s="16" customFormat="1">
      <c r="B44" s="16" t="s">
        <v>190</v>
      </c>
      <c r="C44" s="200"/>
      <c r="D44" s="217">
        <v>212</v>
      </c>
      <c r="F44" s="16">
        <f t="shared" si="22"/>
        <v>325</v>
      </c>
      <c r="G44" s="16">
        <f t="shared" si="23"/>
        <v>163</v>
      </c>
      <c r="H44" s="16">
        <f t="shared" si="24"/>
        <v>135</v>
      </c>
      <c r="I44" s="16" t="s">
        <v>193</v>
      </c>
      <c r="J44" s="16">
        <f t="shared" si="25"/>
        <v>135</v>
      </c>
      <c r="L44" s="17">
        <v>232</v>
      </c>
      <c r="M44" s="16">
        <f>232/2</f>
        <v>116</v>
      </c>
      <c r="N44" s="16">
        <f>289/3</f>
        <v>96.333333333333329</v>
      </c>
      <c r="O44" s="16" t="s">
        <v>192</v>
      </c>
      <c r="P44" s="16">
        <f>N44</f>
        <v>96.333333333333329</v>
      </c>
    </row>
    <row r="45" spans="2:16" s="16" customFormat="1">
      <c r="B45" s="16" t="s">
        <v>191</v>
      </c>
      <c r="C45" s="200"/>
      <c r="D45" s="217">
        <v>212</v>
      </c>
      <c r="F45" s="16">
        <f t="shared" si="22"/>
        <v>357</v>
      </c>
      <c r="G45" s="16">
        <f t="shared" si="23"/>
        <v>179</v>
      </c>
      <c r="H45" s="16">
        <f t="shared" si="24"/>
        <v>149</v>
      </c>
      <c r="I45" s="16" t="s">
        <v>193</v>
      </c>
      <c r="J45" s="16">
        <f t="shared" si="25"/>
        <v>149</v>
      </c>
      <c r="L45" s="17">
        <v>255</v>
      </c>
      <c r="M45" s="16">
        <f>255/2</f>
        <v>127.5</v>
      </c>
      <c r="N45" s="16">
        <f>318/3</f>
        <v>106</v>
      </c>
      <c r="O45" s="16" t="s">
        <v>192</v>
      </c>
      <c r="P45" s="16">
        <f>N45</f>
        <v>106</v>
      </c>
    </row>
    <row r="46" spans="2:16" s="16" customFormat="1" ht="36.75" customHeight="1">
      <c r="C46" s="200"/>
      <c r="D46" s="150"/>
      <c r="L46" s="17"/>
    </row>
    <row r="47" spans="2:16" s="16" customFormat="1">
      <c r="C47" s="200"/>
    </row>
    <row r="48" spans="2:16" ht="28.5">
      <c r="D48" s="4">
        <v>217</v>
      </c>
    </row>
    <row r="49" spans="1:17" ht="15.75">
      <c r="A49" s="26">
        <v>287</v>
      </c>
      <c r="B49" s="22" t="s">
        <v>31</v>
      </c>
      <c r="C49" s="32" t="s">
        <v>53</v>
      </c>
      <c r="D49" s="25"/>
      <c r="F49" s="40">
        <v>98</v>
      </c>
      <c r="G49" s="40">
        <v>49</v>
      </c>
      <c r="H49" s="41">
        <v>36</v>
      </c>
      <c r="I49" s="41">
        <v>29.5</v>
      </c>
      <c r="J49" s="19">
        <f>I49</f>
        <v>29.5</v>
      </c>
      <c r="L49" s="47">
        <v>65</v>
      </c>
      <c r="M49" s="49">
        <v>32.5</v>
      </c>
      <c r="N49" s="49">
        <v>23.33</v>
      </c>
      <c r="O49" s="49">
        <v>18.75</v>
      </c>
      <c r="P49" s="18">
        <f>O49</f>
        <v>18.75</v>
      </c>
      <c r="Q49" s="17" t="s">
        <v>8</v>
      </c>
    </row>
    <row r="50" spans="1:17" s="16" customFormat="1" ht="15.75">
      <c r="A50" s="70"/>
      <c r="B50" s="105"/>
      <c r="C50" s="59"/>
      <c r="D50" s="25"/>
      <c r="E50" s="69">
        <v>2014</v>
      </c>
      <c r="F50" s="224"/>
      <c r="G50" s="224"/>
      <c r="H50" s="225"/>
      <c r="I50" s="225"/>
      <c r="J50" s="226"/>
      <c r="K50" s="69"/>
      <c r="L50" s="227">
        <v>80</v>
      </c>
      <c r="M50" s="228">
        <f>80/2</f>
        <v>40</v>
      </c>
      <c r="N50" s="228">
        <f>90/3</f>
        <v>30</v>
      </c>
      <c r="O50" s="228">
        <f>100/4</f>
        <v>25</v>
      </c>
      <c r="P50" s="221">
        <f>N50</f>
        <v>30</v>
      </c>
      <c r="Q50" s="17"/>
    </row>
    <row r="51" spans="1:17" s="16" customFormat="1" ht="15.75">
      <c r="A51" s="53">
        <v>2887</v>
      </c>
      <c r="B51" s="54" t="s">
        <v>62</v>
      </c>
      <c r="C51" s="59" t="s">
        <v>53</v>
      </c>
      <c r="D51" s="25"/>
      <c r="F51" s="50">
        <v>125</v>
      </c>
      <c r="G51" s="50">
        <v>63</v>
      </c>
      <c r="H51" s="51">
        <v>46</v>
      </c>
      <c r="I51" s="51">
        <v>38</v>
      </c>
      <c r="J51" s="19">
        <v>38</v>
      </c>
      <c r="L51" s="55">
        <v>85</v>
      </c>
      <c r="M51" s="49">
        <v>42.5</v>
      </c>
      <c r="N51" s="49">
        <f>95/3</f>
        <v>31.666666666666668</v>
      </c>
      <c r="O51" s="49">
        <f>105/4</f>
        <v>26.25</v>
      </c>
      <c r="P51" s="18">
        <v>26.25</v>
      </c>
      <c r="Q51" s="17"/>
    </row>
    <row r="52" spans="1:17" s="16" customFormat="1" ht="15.75">
      <c r="A52" s="70"/>
      <c r="B52" s="105"/>
      <c r="C52" s="59"/>
      <c r="D52" s="25"/>
      <c r="E52" s="69">
        <v>2014</v>
      </c>
      <c r="F52" s="224"/>
      <c r="G52" s="224"/>
      <c r="H52" s="225"/>
      <c r="I52" s="225"/>
      <c r="J52" s="226"/>
      <c r="K52" s="69"/>
      <c r="L52" s="227">
        <v>100</v>
      </c>
      <c r="M52" s="228">
        <f>100/2</f>
        <v>50</v>
      </c>
      <c r="N52" s="228">
        <f>105/3</f>
        <v>35</v>
      </c>
      <c r="O52" s="228">
        <f>110/4</f>
        <v>27.5</v>
      </c>
      <c r="P52" s="221">
        <f>N52</f>
        <v>35</v>
      </c>
      <c r="Q52" s="17"/>
    </row>
    <row r="53" spans="1:17" ht="15.75">
      <c r="A53" s="31">
        <v>2838</v>
      </c>
      <c r="B53" s="22" t="s">
        <v>202</v>
      </c>
      <c r="C53" s="32" t="s">
        <v>53</v>
      </c>
      <c r="D53" s="25"/>
      <c r="F53" s="34">
        <v>95</v>
      </c>
      <c r="G53" s="34">
        <v>48</v>
      </c>
      <c r="H53" s="35">
        <v>35</v>
      </c>
      <c r="I53" s="35">
        <v>28.75</v>
      </c>
      <c r="J53" s="61">
        <f t="shared" ref="J53:J91" si="26">I53</f>
        <v>28.75</v>
      </c>
      <c r="K53" s="62"/>
      <c r="L53" s="63">
        <v>65</v>
      </c>
      <c r="M53" s="64">
        <v>32.5</v>
      </c>
      <c r="N53" s="64">
        <v>23.33</v>
      </c>
      <c r="O53" s="64">
        <v>18.75</v>
      </c>
      <c r="P53" s="65">
        <f t="shared" ref="P53:P91" si="27">O53</f>
        <v>18.75</v>
      </c>
      <c r="Q53" s="5" t="s">
        <v>58</v>
      </c>
    </row>
    <row r="54" spans="1:17" s="16" customFormat="1" ht="15.75">
      <c r="A54" s="31"/>
      <c r="B54" s="105"/>
      <c r="C54" s="59"/>
      <c r="D54" s="25"/>
      <c r="E54" s="69" t="s">
        <v>203</v>
      </c>
      <c r="F54" s="224"/>
      <c r="G54" s="224"/>
      <c r="H54" s="225"/>
      <c r="I54" s="225"/>
      <c r="J54" s="226"/>
      <c r="K54" s="69"/>
      <c r="L54" s="227">
        <v>95</v>
      </c>
      <c r="M54" s="228">
        <f>95/2</f>
        <v>47.5</v>
      </c>
      <c r="N54" s="228">
        <f>110/3</f>
        <v>36.666666666666664</v>
      </c>
      <c r="O54" s="228">
        <f>125/4</f>
        <v>31.25</v>
      </c>
      <c r="P54" s="221">
        <f>N54</f>
        <v>36.666666666666664</v>
      </c>
      <c r="Q54" s="5"/>
    </row>
    <row r="55" spans="1:17" s="16" customFormat="1" ht="15.75">
      <c r="A55" s="31"/>
      <c r="B55" s="105"/>
      <c r="C55" s="59"/>
      <c r="D55" s="25"/>
      <c r="E55" s="69" t="s">
        <v>204</v>
      </c>
      <c r="F55" s="224"/>
      <c r="G55" s="224"/>
      <c r="H55" s="225"/>
      <c r="I55" s="225"/>
      <c r="J55" s="226"/>
      <c r="K55" s="69"/>
      <c r="L55" s="227">
        <v>110</v>
      </c>
      <c r="M55" s="228">
        <f>110/2</f>
        <v>55</v>
      </c>
      <c r="N55" s="228">
        <f>125/3</f>
        <v>41.666666666666664</v>
      </c>
      <c r="O55" s="228">
        <f>140/4</f>
        <v>35</v>
      </c>
      <c r="P55" s="221">
        <f>N55</f>
        <v>41.666666666666664</v>
      </c>
      <c r="Q55" s="5"/>
    </row>
    <row r="56" spans="1:17" ht="15.75">
      <c r="A56" s="26">
        <v>386</v>
      </c>
      <c r="B56" s="22" t="s">
        <v>32</v>
      </c>
      <c r="C56" s="32" t="s">
        <v>53</v>
      </c>
      <c r="D56" s="25"/>
      <c r="F56" s="40">
        <v>95</v>
      </c>
      <c r="G56" s="56">
        <v>48</v>
      </c>
      <c r="H56" s="41">
        <v>35</v>
      </c>
      <c r="I56" s="41">
        <v>28.75</v>
      </c>
      <c r="J56" s="19">
        <f t="shared" si="26"/>
        <v>28.75</v>
      </c>
      <c r="L56" s="47">
        <v>65</v>
      </c>
      <c r="M56" s="49">
        <v>32.5</v>
      </c>
      <c r="N56" s="49">
        <v>23.33</v>
      </c>
      <c r="O56" s="49">
        <v>18.75</v>
      </c>
      <c r="P56" s="18">
        <f t="shared" si="27"/>
        <v>18.75</v>
      </c>
      <c r="Q56" s="17" t="s">
        <v>8</v>
      </c>
    </row>
    <row r="57" spans="1:17" s="16" customFormat="1" ht="15.75">
      <c r="A57" s="70"/>
      <c r="B57" s="105"/>
      <c r="C57" s="59"/>
      <c r="D57" s="25"/>
      <c r="E57" s="69">
        <v>2014</v>
      </c>
      <c r="F57" s="224"/>
      <c r="G57" s="224"/>
      <c r="H57" s="225"/>
      <c r="I57" s="225"/>
      <c r="J57" s="226"/>
      <c r="K57" s="69"/>
      <c r="L57" s="227">
        <v>65</v>
      </c>
      <c r="M57" s="228">
        <f>65/2</f>
        <v>32.5</v>
      </c>
      <c r="N57" s="228">
        <f>70/3</f>
        <v>23.333333333333332</v>
      </c>
      <c r="O57" s="228">
        <f>75/4</f>
        <v>18.75</v>
      </c>
      <c r="P57" s="221">
        <f>N57</f>
        <v>23.333333333333332</v>
      </c>
      <c r="Q57" s="17"/>
    </row>
    <row r="58" spans="1:17" ht="31.5">
      <c r="A58" s="26">
        <v>389</v>
      </c>
      <c r="B58" s="21" t="s">
        <v>33</v>
      </c>
      <c r="C58" s="32" t="s">
        <v>53</v>
      </c>
      <c r="D58" s="25"/>
      <c r="F58" s="40">
        <v>98</v>
      </c>
      <c r="G58" s="40">
        <v>49</v>
      </c>
      <c r="H58" s="41">
        <v>39</v>
      </c>
      <c r="I58" s="41">
        <v>32</v>
      </c>
      <c r="J58" s="19">
        <f t="shared" si="26"/>
        <v>32</v>
      </c>
      <c r="L58" s="47">
        <v>75</v>
      </c>
      <c r="M58" s="49">
        <v>37.5</v>
      </c>
      <c r="N58" s="49">
        <v>28.33</v>
      </c>
      <c r="O58" s="49">
        <v>23.75</v>
      </c>
      <c r="P58" s="18">
        <f t="shared" si="27"/>
        <v>23.75</v>
      </c>
      <c r="Q58" s="17" t="s">
        <v>8</v>
      </c>
    </row>
    <row r="59" spans="1:17" s="16" customFormat="1" ht="15.75">
      <c r="A59" s="70"/>
      <c r="B59" s="104"/>
      <c r="C59" s="59"/>
      <c r="D59" s="25"/>
      <c r="E59" s="69">
        <v>2014</v>
      </c>
      <c r="F59" s="224"/>
      <c r="G59" s="224"/>
      <c r="H59" s="225"/>
      <c r="I59" s="225"/>
      <c r="J59" s="226"/>
      <c r="K59" s="69"/>
      <c r="L59" s="227">
        <v>85</v>
      </c>
      <c r="M59" s="228">
        <f>85/2</f>
        <v>42.5</v>
      </c>
      <c r="N59" s="228">
        <f>95/3</f>
        <v>31.666666666666668</v>
      </c>
      <c r="O59" s="228">
        <f>105/4</f>
        <v>26.25</v>
      </c>
      <c r="P59" s="221">
        <f>N59</f>
        <v>31.666666666666668</v>
      </c>
      <c r="Q59" s="17"/>
    </row>
    <row r="60" spans="1:17" ht="15.75">
      <c r="A60" s="26">
        <v>1663</v>
      </c>
      <c r="B60" s="22" t="s">
        <v>34</v>
      </c>
      <c r="C60" s="32" t="s">
        <v>53</v>
      </c>
      <c r="D60" s="25"/>
      <c r="F60" s="40">
        <v>98</v>
      </c>
      <c r="G60" s="40">
        <v>49</v>
      </c>
      <c r="H60" s="41">
        <v>39</v>
      </c>
      <c r="I60" s="41">
        <v>32</v>
      </c>
      <c r="J60" s="19">
        <f t="shared" si="26"/>
        <v>32</v>
      </c>
      <c r="L60" s="47">
        <v>75</v>
      </c>
      <c r="M60" s="49">
        <v>37.5</v>
      </c>
      <c r="N60" s="49">
        <v>28.33</v>
      </c>
      <c r="O60" s="49">
        <v>23.75</v>
      </c>
      <c r="P60" s="18">
        <f t="shared" si="27"/>
        <v>23.75</v>
      </c>
      <c r="Q60" s="17" t="s">
        <v>8</v>
      </c>
    </row>
    <row r="61" spans="1:17" s="16" customFormat="1" ht="15.75">
      <c r="A61" s="70"/>
      <c r="B61" s="105"/>
      <c r="C61" s="59"/>
      <c r="D61" s="25"/>
      <c r="E61" s="69">
        <v>2014</v>
      </c>
      <c r="F61" s="224"/>
      <c r="G61" s="224"/>
      <c r="H61" s="225"/>
      <c r="I61" s="225"/>
      <c r="J61" s="226"/>
      <c r="K61" s="69"/>
      <c r="L61" s="227">
        <v>85</v>
      </c>
      <c r="M61" s="228">
        <f>85/2</f>
        <v>42.5</v>
      </c>
      <c r="N61" s="228">
        <f>95/3</f>
        <v>31.666666666666668</v>
      </c>
      <c r="O61" s="228">
        <f>105/4</f>
        <v>26.25</v>
      </c>
      <c r="P61" s="221">
        <f>N61</f>
        <v>31.666666666666668</v>
      </c>
      <c r="Q61" s="17"/>
    </row>
    <row r="62" spans="1:17" ht="15.75">
      <c r="A62" s="26">
        <v>455</v>
      </c>
      <c r="B62" s="21" t="s">
        <v>35</v>
      </c>
      <c r="C62" s="32" t="s">
        <v>53</v>
      </c>
      <c r="D62" s="25"/>
      <c r="F62" s="40">
        <v>98</v>
      </c>
      <c r="G62" s="40">
        <v>49</v>
      </c>
      <c r="H62" s="41">
        <v>39</v>
      </c>
      <c r="I62" s="41">
        <v>32</v>
      </c>
      <c r="J62" s="19">
        <f t="shared" si="26"/>
        <v>32</v>
      </c>
      <c r="L62" s="47">
        <v>75</v>
      </c>
      <c r="M62" s="49">
        <v>37.5</v>
      </c>
      <c r="N62" s="49">
        <v>28.33</v>
      </c>
      <c r="O62" s="49">
        <v>23.75</v>
      </c>
      <c r="P62" s="18">
        <f t="shared" si="27"/>
        <v>23.75</v>
      </c>
      <c r="Q62" s="17" t="s">
        <v>8</v>
      </c>
    </row>
    <row r="63" spans="1:17" s="16" customFormat="1" ht="15.75">
      <c r="A63" s="70"/>
      <c r="B63" s="104"/>
      <c r="C63" s="59"/>
      <c r="D63" s="25"/>
      <c r="E63" s="69">
        <v>2014</v>
      </c>
      <c r="F63" s="224"/>
      <c r="G63" s="224"/>
      <c r="H63" s="225"/>
      <c r="I63" s="225"/>
      <c r="J63" s="226"/>
      <c r="K63" s="69"/>
      <c r="L63" s="227">
        <v>85</v>
      </c>
      <c r="M63" s="228">
        <f>85/2</f>
        <v>42.5</v>
      </c>
      <c r="N63" s="228">
        <f>95/3</f>
        <v>31.666666666666668</v>
      </c>
      <c r="O63" s="228">
        <f>105/4</f>
        <v>26.25</v>
      </c>
      <c r="P63" s="221">
        <f>N63</f>
        <v>31.666666666666668</v>
      </c>
      <c r="Q63" s="17"/>
    </row>
    <row r="64" spans="1:17" ht="15.75">
      <c r="A64" s="28">
        <v>2489</v>
      </c>
      <c r="B64" s="23" t="s">
        <v>36</v>
      </c>
      <c r="C64" s="32" t="s">
        <v>53</v>
      </c>
      <c r="D64" s="25"/>
      <c r="F64" s="44">
        <v>210</v>
      </c>
      <c r="G64" s="42">
        <v>105</v>
      </c>
      <c r="H64" s="43">
        <v>76.333333333333329</v>
      </c>
      <c r="I64" s="43">
        <v>60</v>
      </c>
      <c r="J64" s="19">
        <f t="shared" si="26"/>
        <v>60</v>
      </c>
      <c r="L64" s="57">
        <v>140</v>
      </c>
      <c r="M64" s="58">
        <v>70</v>
      </c>
      <c r="N64" s="58">
        <v>55</v>
      </c>
      <c r="O64" s="58">
        <v>47.5</v>
      </c>
      <c r="P64" s="18">
        <f t="shared" si="27"/>
        <v>47.5</v>
      </c>
      <c r="Q64" s="17" t="s">
        <v>8</v>
      </c>
    </row>
    <row r="65" spans="1:17" s="16" customFormat="1" ht="15.75">
      <c r="A65" s="28"/>
      <c r="B65" s="104"/>
      <c r="C65" s="59"/>
      <c r="D65" s="25"/>
      <c r="E65" s="69">
        <v>2014</v>
      </c>
      <c r="F65" s="224"/>
      <c r="G65" s="224"/>
      <c r="H65" s="225"/>
      <c r="I65" s="225"/>
      <c r="J65" s="226"/>
      <c r="K65" s="69"/>
      <c r="L65" s="227">
        <v>150</v>
      </c>
      <c r="M65" s="228">
        <f>150/2</f>
        <v>75</v>
      </c>
      <c r="N65" s="228">
        <f>180/3</f>
        <v>60</v>
      </c>
      <c r="O65" s="228">
        <f>210/4</f>
        <v>52.5</v>
      </c>
      <c r="P65" s="221">
        <f>N65</f>
        <v>60</v>
      </c>
      <c r="Q65" s="17"/>
    </row>
    <row r="66" spans="1:17" ht="15.75">
      <c r="A66" s="30" t="s">
        <v>50</v>
      </c>
      <c r="B66" s="21" t="s">
        <v>37</v>
      </c>
      <c r="C66" s="32" t="s">
        <v>53</v>
      </c>
      <c r="D66" s="25"/>
      <c r="F66" s="63">
        <v>98</v>
      </c>
      <c r="G66" s="34">
        <v>49</v>
      </c>
      <c r="H66" s="35">
        <v>36</v>
      </c>
      <c r="I66" s="35">
        <v>29.5</v>
      </c>
      <c r="J66" s="61">
        <f t="shared" si="26"/>
        <v>29.5</v>
      </c>
      <c r="K66" s="62"/>
      <c r="L66" s="63">
        <v>65</v>
      </c>
      <c r="M66" s="64">
        <v>32.5</v>
      </c>
      <c r="N66" s="64">
        <v>23.33</v>
      </c>
      <c r="O66" s="64">
        <v>18.75</v>
      </c>
      <c r="P66" s="65">
        <f t="shared" si="27"/>
        <v>18.75</v>
      </c>
      <c r="Q66" s="17" t="s">
        <v>59</v>
      </c>
    </row>
    <row r="67" spans="1:17" ht="15.75">
      <c r="A67" s="26">
        <v>387</v>
      </c>
      <c r="B67" s="22" t="s">
        <v>38</v>
      </c>
      <c r="C67" s="32" t="s">
        <v>53</v>
      </c>
      <c r="D67" s="25"/>
      <c r="F67" s="40">
        <v>113</v>
      </c>
      <c r="G67" s="56">
        <v>57</v>
      </c>
      <c r="H67" s="41">
        <v>44</v>
      </c>
      <c r="I67" s="41">
        <v>35.75</v>
      </c>
      <c r="J67" s="19">
        <f t="shared" si="26"/>
        <v>35.75</v>
      </c>
      <c r="L67" s="47">
        <v>75</v>
      </c>
      <c r="M67" s="49">
        <v>37.5</v>
      </c>
      <c r="N67" s="49">
        <v>28.33</v>
      </c>
      <c r="O67" s="49">
        <v>23.75</v>
      </c>
      <c r="P67" s="18">
        <f t="shared" si="27"/>
        <v>23.75</v>
      </c>
      <c r="Q67" s="17" t="s">
        <v>8</v>
      </c>
    </row>
    <row r="68" spans="1:17" s="16" customFormat="1" ht="15.75">
      <c r="A68" s="70"/>
      <c r="B68" s="105"/>
      <c r="C68" s="59"/>
      <c r="D68" s="25"/>
      <c r="E68" s="69">
        <v>2014</v>
      </c>
      <c r="F68" s="224"/>
      <c r="G68" s="224"/>
      <c r="H68" s="225"/>
      <c r="I68" s="225"/>
      <c r="J68" s="226"/>
      <c r="K68" s="69"/>
      <c r="L68" s="227">
        <v>95</v>
      </c>
      <c r="M68" s="228">
        <f>95/2</f>
        <v>47.5</v>
      </c>
      <c r="N68" s="228">
        <f>100/3</f>
        <v>33.333333333333336</v>
      </c>
      <c r="O68" s="228">
        <f>105/4</f>
        <v>26.25</v>
      </c>
      <c r="P68" s="221">
        <f>N68</f>
        <v>33.333333333333336</v>
      </c>
      <c r="Q68" s="17"/>
    </row>
    <row r="69" spans="1:17" ht="15.75">
      <c r="A69" s="26">
        <v>2964</v>
      </c>
      <c r="B69" s="24" t="s">
        <v>39</v>
      </c>
      <c r="C69" s="32" t="s">
        <v>53</v>
      </c>
      <c r="D69" s="25"/>
      <c r="F69" s="45">
        <v>98</v>
      </c>
      <c r="G69" s="45">
        <v>49</v>
      </c>
      <c r="H69" s="45">
        <v>36</v>
      </c>
      <c r="I69" s="45">
        <v>30</v>
      </c>
      <c r="J69" s="19">
        <f t="shared" si="26"/>
        <v>30</v>
      </c>
      <c r="L69" s="48">
        <v>65</v>
      </c>
      <c r="M69" s="52">
        <v>32.5</v>
      </c>
      <c r="N69" s="52">
        <v>23.333333333333332</v>
      </c>
      <c r="O69" s="52">
        <v>18.75</v>
      </c>
      <c r="P69" s="18">
        <f t="shared" si="27"/>
        <v>18.75</v>
      </c>
      <c r="Q69" s="17" t="s">
        <v>8</v>
      </c>
    </row>
    <row r="70" spans="1:17" ht="15.75">
      <c r="A70" s="26">
        <v>2965</v>
      </c>
      <c r="B70" s="24" t="s">
        <v>40</v>
      </c>
      <c r="C70" s="32" t="s">
        <v>53</v>
      </c>
      <c r="D70" s="25"/>
      <c r="F70" s="45">
        <v>169</v>
      </c>
      <c r="G70" s="45">
        <v>85</v>
      </c>
      <c r="H70" s="45">
        <v>63</v>
      </c>
      <c r="I70" s="45">
        <v>50</v>
      </c>
      <c r="J70" s="19">
        <f t="shared" si="26"/>
        <v>50</v>
      </c>
      <c r="L70" s="115">
        <v>109</v>
      </c>
      <c r="M70" s="117">
        <f>109/2</f>
        <v>54.5</v>
      </c>
      <c r="N70" s="117">
        <f>124/3</f>
        <v>41.333333333333336</v>
      </c>
      <c r="O70" s="117">
        <f>139/4</f>
        <v>34.75</v>
      </c>
      <c r="P70" s="18">
        <f t="shared" si="27"/>
        <v>34.75</v>
      </c>
      <c r="Q70" s="17" t="s">
        <v>8</v>
      </c>
    </row>
    <row r="71" spans="1:17" s="16" customFormat="1" ht="15.75">
      <c r="A71" s="70"/>
      <c r="B71" s="24"/>
      <c r="C71" s="59"/>
      <c r="D71" s="25"/>
      <c r="E71" s="69">
        <v>2014</v>
      </c>
      <c r="F71" s="229"/>
      <c r="G71" s="229"/>
      <c r="H71" s="229"/>
      <c r="I71" s="229"/>
      <c r="J71" s="226"/>
      <c r="K71" s="69"/>
      <c r="L71" s="227">
        <v>110</v>
      </c>
      <c r="M71" s="228">
        <f>110/2</f>
        <v>55</v>
      </c>
      <c r="N71" s="228">
        <v>41.666666666666664</v>
      </c>
      <c r="O71" s="228">
        <v>35</v>
      </c>
      <c r="P71" s="221">
        <f>N71</f>
        <v>41.666666666666664</v>
      </c>
      <c r="Q71" s="17"/>
    </row>
    <row r="72" spans="1:17" ht="15.75">
      <c r="A72" s="26">
        <v>2966</v>
      </c>
      <c r="B72" s="24" t="s">
        <v>41</v>
      </c>
      <c r="C72" s="32" t="s">
        <v>53</v>
      </c>
      <c r="D72" s="25"/>
      <c r="F72" s="45">
        <v>98</v>
      </c>
      <c r="G72" s="45">
        <v>49</v>
      </c>
      <c r="H72" s="45">
        <v>36</v>
      </c>
      <c r="I72" s="45">
        <v>30</v>
      </c>
      <c r="J72" s="19">
        <f t="shared" si="26"/>
        <v>30</v>
      </c>
      <c r="L72" s="48">
        <v>65</v>
      </c>
      <c r="M72" s="52">
        <v>32.5</v>
      </c>
      <c r="N72" s="52">
        <v>23.333333333333332</v>
      </c>
      <c r="O72" s="52">
        <v>18.75</v>
      </c>
      <c r="P72" s="18">
        <f t="shared" si="27"/>
        <v>18.75</v>
      </c>
      <c r="Q72" s="17" t="s">
        <v>8</v>
      </c>
    </row>
    <row r="73" spans="1:17" s="16" customFormat="1" ht="15.75">
      <c r="A73" s="70"/>
      <c r="B73" s="169" t="s">
        <v>138</v>
      </c>
      <c r="C73" s="59" t="s">
        <v>53</v>
      </c>
      <c r="D73" s="25"/>
      <c r="E73" s="12"/>
      <c r="F73" s="112">
        <v>98</v>
      </c>
      <c r="G73" s="112">
        <v>49</v>
      </c>
      <c r="H73" s="113">
        <v>39</v>
      </c>
      <c r="I73" s="113">
        <v>32</v>
      </c>
      <c r="J73" s="19">
        <f>32</f>
        <v>32</v>
      </c>
      <c r="K73" s="12"/>
      <c r="L73" s="115">
        <v>75</v>
      </c>
      <c r="M73" s="117">
        <f>75/2</f>
        <v>37.5</v>
      </c>
      <c r="N73" s="117">
        <f>85/3</f>
        <v>28.333333333333332</v>
      </c>
      <c r="O73" s="117">
        <f>95/4</f>
        <v>23.75</v>
      </c>
      <c r="P73" s="18">
        <f t="shared" ref="P73:P79" si="28">O73</f>
        <v>23.75</v>
      </c>
      <c r="Q73" s="17" t="s">
        <v>8</v>
      </c>
    </row>
    <row r="74" spans="1:17" s="16" customFormat="1" ht="15.75">
      <c r="A74" s="70"/>
      <c r="B74" s="169"/>
      <c r="C74" s="59"/>
      <c r="D74" s="25"/>
      <c r="E74" s="69">
        <v>2014</v>
      </c>
      <c r="F74" s="224"/>
      <c r="G74" s="224"/>
      <c r="H74" s="225"/>
      <c r="I74" s="225"/>
      <c r="J74" s="226"/>
      <c r="K74" s="69"/>
      <c r="L74" s="227">
        <v>90</v>
      </c>
      <c r="M74" s="228">
        <f>90/2</f>
        <v>45</v>
      </c>
      <c r="N74" s="228">
        <f>105/3</f>
        <v>35</v>
      </c>
      <c r="O74" s="228">
        <f>120/4</f>
        <v>30</v>
      </c>
      <c r="P74" s="221">
        <f>N74</f>
        <v>35</v>
      </c>
      <c r="Q74" s="17"/>
    </row>
    <row r="75" spans="1:17" s="16" customFormat="1" ht="15.75">
      <c r="A75" s="70"/>
      <c r="B75" s="170" t="s">
        <v>139</v>
      </c>
      <c r="C75" s="59" t="s">
        <v>53</v>
      </c>
      <c r="D75" s="25"/>
      <c r="E75" s="12"/>
      <c r="F75" s="112">
        <v>119</v>
      </c>
      <c r="G75" s="112">
        <v>60</v>
      </c>
      <c r="H75" s="113">
        <v>46</v>
      </c>
      <c r="I75" s="113">
        <v>37.25</v>
      </c>
      <c r="J75" s="19">
        <f t="shared" ref="J75" si="29">I75</f>
        <v>37.25</v>
      </c>
      <c r="K75" s="12"/>
      <c r="L75" s="115">
        <v>85</v>
      </c>
      <c r="M75" s="117">
        <f>85/2</f>
        <v>42.5</v>
      </c>
      <c r="N75" s="117">
        <f>95/3</f>
        <v>31.666666666666668</v>
      </c>
      <c r="O75" s="117">
        <f>105/4</f>
        <v>26.25</v>
      </c>
      <c r="P75" s="18">
        <f t="shared" si="28"/>
        <v>26.25</v>
      </c>
      <c r="Q75" s="17" t="s">
        <v>8</v>
      </c>
    </row>
    <row r="76" spans="1:17" s="16" customFormat="1" ht="15.75">
      <c r="A76" s="70"/>
      <c r="B76" s="170" t="s">
        <v>140</v>
      </c>
      <c r="C76" s="59" t="s">
        <v>53</v>
      </c>
      <c r="D76" s="25"/>
      <c r="E76" s="12"/>
      <c r="F76" s="162">
        <v>133</v>
      </c>
      <c r="G76" s="162">
        <v>67</v>
      </c>
      <c r="H76" s="162">
        <v>48</v>
      </c>
      <c r="I76" s="162">
        <v>39</v>
      </c>
      <c r="J76" s="155">
        <v>39</v>
      </c>
      <c r="K76" s="12"/>
      <c r="L76" s="115">
        <v>95</v>
      </c>
      <c r="M76" s="117">
        <f>95/2</f>
        <v>47.5</v>
      </c>
      <c r="N76" s="117">
        <f>105/3</f>
        <v>35</v>
      </c>
      <c r="O76" s="117">
        <f>115/4</f>
        <v>28.75</v>
      </c>
      <c r="P76" s="18">
        <f t="shared" si="28"/>
        <v>28.75</v>
      </c>
      <c r="Q76" s="17" t="s">
        <v>74</v>
      </c>
    </row>
    <row r="77" spans="1:17" s="16" customFormat="1" ht="15.75">
      <c r="A77" s="70"/>
      <c r="B77" s="28" t="s">
        <v>141</v>
      </c>
      <c r="C77" s="59" t="s">
        <v>53</v>
      </c>
      <c r="D77" s="25"/>
      <c r="E77" s="12"/>
      <c r="F77" s="162">
        <v>133</v>
      </c>
      <c r="G77" s="162">
        <v>67</v>
      </c>
      <c r="H77" s="162">
        <v>48</v>
      </c>
      <c r="I77" s="162">
        <v>39</v>
      </c>
      <c r="J77" s="155">
        <v>39</v>
      </c>
      <c r="K77" s="12"/>
      <c r="L77" s="115">
        <v>95</v>
      </c>
      <c r="M77" s="117">
        <f>95/2</f>
        <v>47.5</v>
      </c>
      <c r="N77" s="117">
        <f>105/3</f>
        <v>35</v>
      </c>
      <c r="O77" s="117">
        <f>115/4</f>
        <v>28.75</v>
      </c>
      <c r="P77" s="18">
        <f t="shared" si="28"/>
        <v>28.75</v>
      </c>
      <c r="Q77" s="17" t="s">
        <v>74</v>
      </c>
    </row>
    <row r="78" spans="1:17" s="16" customFormat="1" ht="15.75">
      <c r="A78" s="70"/>
      <c r="B78" s="170" t="s">
        <v>142</v>
      </c>
      <c r="C78" s="59" t="s">
        <v>53</v>
      </c>
      <c r="D78" s="25"/>
      <c r="E78" s="12"/>
      <c r="F78" s="162">
        <v>169</v>
      </c>
      <c r="G78" s="162">
        <v>85</v>
      </c>
      <c r="H78" s="161">
        <v>59.666666666666664</v>
      </c>
      <c r="I78" s="162">
        <v>48</v>
      </c>
      <c r="J78" s="18">
        <v>48</v>
      </c>
      <c r="K78" s="12"/>
      <c r="L78" s="115">
        <v>115</v>
      </c>
      <c r="M78" s="117">
        <f>115/2</f>
        <v>57.5</v>
      </c>
      <c r="N78" s="117">
        <f>125/3</f>
        <v>41.666666666666664</v>
      </c>
      <c r="O78" s="117">
        <f>135/4</f>
        <v>33.75</v>
      </c>
      <c r="P78" s="18">
        <f t="shared" si="28"/>
        <v>33.75</v>
      </c>
      <c r="Q78" s="17" t="s">
        <v>74</v>
      </c>
    </row>
    <row r="79" spans="1:17" s="16" customFormat="1" ht="15.75">
      <c r="A79" s="70"/>
      <c r="B79" s="170" t="s">
        <v>143</v>
      </c>
      <c r="C79" s="59" t="s">
        <v>53</v>
      </c>
      <c r="D79" s="25"/>
      <c r="E79" s="12"/>
      <c r="F79" s="162">
        <v>133</v>
      </c>
      <c r="G79" s="162">
        <v>67</v>
      </c>
      <c r="H79" s="162">
        <v>48</v>
      </c>
      <c r="I79" s="162">
        <v>39</v>
      </c>
      <c r="J79" s="155">
        <v>39</v>
      </c>
      <c r="K79" s="12"/>
      <c r="L79" s="115">
        <v>95</v>
      </c>
      <c r="M79" s="117">
        <f>95/2</f>
        <v>47.5</v>
      </c>
      <c r="N79" s="117">
        <f>105/3</f>
        <v>35</v>
      </c>
      <c r="O79" s="117">
        <f>115/4</f>
        <v>28.75</v>
      </c>
      <c r="P79" s="18">
        <f t="shared" si="28"/>
        <v>28.75</v>
      </c>
      <c r="Q79" s="17" t="s">
        <v>74</v>
      </c>
    </row>
    <row r="80" spans="1:17" s="16" customFormat="1" ht="15.75">
      <c r="A80" s="70"/>
      <c r="B80" s="179" t="s">
        <v>159</v>
      </c>
      <c r="C80" s="59" t="s">
        <v>53</v>
      </c>
      <c r="D80" s="25"/>
      <c r="E80" s="12"/>
      <c r="F80" s="180">
        <v>159</v>
      </c>
      <c r="G80" s="180">
        <v>80</v>
      </c>
      <c r="H80" s="180">
        <v>57</v>
      </c>
      <c r="I80" s="181">
        <v>44.75</v>
      </c>
      <c r="J80" s="182">
        <f>I80</f>
        <v>44.75</v>
      </c>
      <c r="K80" s="20"/>
      <c r="L80" s="183">
        <v>99</v>
      </c>
      <c r="M80" s="184">
        <f>99/2</f>
        <v>49.5</v>
      </c>
      <c r="N80" s="184">
        <f>109/3</f>
        <v>36.333333333333336</v>
      </c>
      <c r="O80" s="184">
        <f>119/4</f>
        <v>29.75</v>
      </c>
      <c r="P80" s="185">
        <f>O80</f>
        <v>29.75</v>
      </c>
      <c r="Q80" s="17"/>
    </row>
    <row r="81" spans="1:17" s="16" customFormat="1" ht="15.75">
      <c r="A81" s="70"/>
      <c r="B81" s="179" t="s">
        <v>160</v>
      </c>
      <c r="C81" s="59" t="s">
        <v>53</v>
      </c>
      <c r="D81" s="25"/>
      <c r="E81" s="12"/>
      <c r="F81" s="186">
        <v>210</v>
      </c>
      <c r="G81" s="186">
        <v>105</v>
      </c>
      <c r="H81" s="187">
        <v>76.333333333333329</v>
      </c>
      <c r="I81" s="187">
        <v>60</v>
      </c>
      <c r="J81" s="182">
        <f t="shared" ref="J81" si="30">I81</f>
        <v>60</v>
      </c>
      <c r="K81" s="20"/>
      <c r="L81" s="183">
        <v>138</v>
      </c>
      <c r="M81" s="184">
        <f>138/2</f>
        <v>69</v>
      </c>
      <c r="N81" s="184">
        <f>163/3</f>
        <v>54.333333333333336</v>
      </c>
      <c r="O81" s="184">
        <f>188/4</f>
        <v>47</v>
      </c>
      <c r="P81" s="185">
        <f>O81</f>
        <v>47</v>
      </c>
      <c r="Q81" s="17"/>
    </row>
    <row r="82" spans="1:17" s="16" customFormat="1" ht="15.75">
      <c r="A82" s="70"/>
      <c r="B82" s="179"/>
      <c r="C82" s="59"/>
      <c r="D82" s="25"/>
      <c r="E82" s="69">
        <v>2014</v>
      </c>
      <c r="F82" s="224"/>
      <c r="G82" s="224"/>
      <c r="H82" s="225"/>
      <c r="I82" s="225"/>
      <c r="J82" s="226"/>
      <c r="K82" s="69"/>
      <c r="L82" s="227">
        <v>140</v>
      </c>
      <c r="M82" s="228">
        <f>140/2</f>
        <v>70</v>
      </c>
      <c r="N82" s="228">
        <f>165/3</f>
        <v>55</v>
      </c>
      <c r="O82" s="228">
        <f>190/4</f>
        <v>47.5</v>
      </c>
      <c r="P82" s="221">
        <f>N82</f>
        <v>55</v>
      </c>
      <c r="Q82" s="17"/>
    </row>
    <row r="83" spans="1:17" ht="31.5">
      <c r="A83" s="28">
        <v>2790</v>
      </c>
      <c r="B83" s="21" t="s">
        <v>42</v>
      </c>
      <c r="C83" s="33" t="s">
        <v>54</v>
      </c>
      <c r="D83" s="25"/>
      <c r="F83" s="40">
        <v>70</v>
      </c>
      <c r="G83" s="40">
        <v>35</v>
      </c>
      <c r="H83" s="41">
        <v>29.666666666666668</v>
      </c>
      <c r="I83" s="41">
        <v>25</v>
      </c>
      <c r="J83" s="19">
        <f t="shared" si="26"/>
        <v>25</v>
      </c>
      <c r="L83" s="47">
        <v>45</v>
      </c>
      <c r="M83" s="49">
        <v>22.5</v>
      </c>
      <c r="N83" s="49">
        <v>16.670000000000002</v>
      </c>
      <c r="O83" s="49">
        <v>13.75</v>
      </c>
      <c r="P83" s="18">
        <f t="shared" si="27"/>
        <v>13.75</v>
      </c>
      <c r="Q83" s="17" t="s">
        <v>8</v>
      </c>
    </row>
    <row r="84" spans="1:17" s="16" customFormat="1" ht="15.75">
      <c r="A84" s="28"/>
      <c r="B84" s="104"/>
      <c r="C84" s="33"/>
      <c r="D84" s="25"/>
      <c r="E84" s="69">
        <v>2014</v>
      </c>
      <c r="F84" s="224"/>
      <c r="G84" s="224"/>
      <c r="H84" s="225"/>
      <c r="I84" s="225"/>
      <c r="J84" s="226"/>
      <c r="K84" s="69"/>
      <c r="L84" s="227">
        <v>45</v>
      </c>
      <c r="M84" s="228">
        <f>45/2</f>
        <v>22.5</v>
      </c>
      <c r="N84" s="228">
        <f>50/3</f>
        <v>16.666666666666668</v>
      </c>
      <c r="O84" s="228">
        <f>55/4</f>
        <v>13.75</v>
      </c>
      <c r="P84" s="221">
        <f>N84</f>
        <v>16.666666666666668</v>
      </c>
      <c r="Q84" s="17"/>
    </row>
    <row r="85" spans="1:17" ht="31.5">
      <c r="A85" s="28">
        <v>2790</v>
      </c>
      <c r="B85" s="21" t="s">
        <v>43</v>
      </c>
      <c r="C85" s="33" t="s">
        <v>54</v>
      </c>
      <c r="D85" s="25"/>
      <c r="F85" s="40">
        <v>128</v>
      </c>
      <c r="G85" s="40">
        <v>64</v>
      </c>
      <c r="H85" s="41">
        <v>49</v>
      </c>
      <c r="I85" s="41">
        <v>39.5</v>
      </c>
      <c r="J85" s="19">
        <v>25</v>
      </c>
      <c r="L85" s="47">
        <v>85</v>
      </c>
      <c r="M85" s="49">
        <v>42.5</v>
      </c>
      <c r="N85" s="49">
        <v>30</v>
      </c>
      <c r="O85" s="49">
        <v>23.75</v>
      </c>
      <c r="P85" s="18">
        <v>13.75</v>
      </c>
      <c r="Q85" s="17" t="s">
        <v>8</v>
      </c>
    </row>
    <row r="86" spans="1:17" s="16" customFormat="1" ht="15.75">
      <c r="A86" s="28"/>
      <c r="B86" s="104"/>
      <c r="C86" s="33"/>
      <c r="D86" s="25"/>
      <c r="E86" s="69">
        <v>2014</v>
      </c>
      <c r="F86" s="224"/>
      <c r="G86" s="224"/>
      <c r="H86" s="225"/>
      <c r="I86" s="225"/>
      <c r="J86" s="226"/>
      <c r="K86" s="69"/>
      <c r="L86" s="227">
        <v>85</v>
      </c>
      <c r="M86" s="228">
        <f>85/2</f>
        <v>42.5</v>
      </c>
      <c r="N86" s="228">
        <f>90/3</f>
        <v>30</v>
      </c>
      <c r="O86" s="228">
        <f>95/4</f>
        <v>23.75</v>
      </c>
      <c r="P86" s="221">
        <f>N86</f>
        <v>30</v>
      </c>
      <c r="Q86" s="17"/>
    </row>
    <row r="87" spans="1:17" ht="15.75">
      <c r="A87" s="26">
        <v>1622</v>
      </c>
      <c r="B87" s="22" t="s">
        <v>44</v>
      </c>
      <c r="C87" s="36" t="s">
        <v>55</v>
      </c>
      <c r="D87" s="25"/>
      <c r="F87" s="40">
        <v>90</v>
      </c>
      <c r="G87" s="40">
        <v>45</v>
      </c>
      <c r="H87" s="41">
        <v>36.333333333333336</v>
      </c>
      <c r="I87" s="41">
        <v>30</v>
      </c>
      <c r="J87" s="19">
        <f t="shared" si="26"/>
        <v>30</v>
      </c>
      <c r="L87" s="47">
        <v>65</v>
      </c>
      <c r="M87" s="49">
        <v>32.5</v>
      </c>
      <c r="N87" s="49">
        <v>25</v>
      </c>
      <c r="O87" s="49">
        <v>21.25</v>
      </c>
      <c r="P87" s="18">
        <f t="shared" si="27"/>
        <v>21.25</v>
      </c>
      <c r="Q87" s="5" t="s">
        <v>60</v>
      </c>
    </row>
    <row r="88" spans="1:17" ht="25.5">
      <c r="A88" s="27" t="s">
        <v>51</v>
      </c>
      <c r="B88" s="22" t="s">
        <v>45</v>
      </c>
      <c r="C88" s="37" t="s">
        <v>56</v>
      </c>
      <c r="D88" s="25"/>
      <c r="F88" s="34">
        <v>119</v>
      </c>
      <c r="G88" s="34">
        <v>59.5</v>
      </c>
      <c r="H88" s="35">
        <v>46</v>
      </c>
      <c r="I88" s="35">
        <v>37.25</v>
      </c>
      <c r="J88" s="61">
        <f t="shared" si="26"/>
        <v>37.25</v>
      </c>
      <c r="K88" s="62"/>
      <c r="L88" s="63">
        <v>85</v>
      </c>
      <c r="M88" s="64">
        <v>42.5</v>
      </c>
      <c r="N88" s="64">
        <v>31.67</v>
      </c>
      <c r="O88" s="64">
        <v>26.25</v>
      </c>
      <c r="P88" s="65">
        <f t="shared" si="27"/>
        <v>26.25</v>
      </c>
      <c r="Q88" s="17" t="s">
        <v>59</v>
      </c>
    </row>
    <row r="89" spans="1:17" ht="15.75">
      <c r="A89" s="27">
        <v>2963</v>
      </c>
      <c r="B89" s="22" t="s">
        <v>46</v>
      </c>
      <c r="C89" s="37" t="s">
        <v>56</v>
      </c>
      <c r="D89" s="25"/>
      <c r="F89" s="46">
        <v>119</v>
      </c>
      <c r="G89" s="60">
        <v>60</v>
      </c>
      <c r="H89" s="46">
        <v>46</v>
      </c>
      <c r="I89" s="46">
        <v>38</v>
      </c>
      <c r="J89" s="19">
        <f t="shared" si="26"/>
        <v>38</v>
      </c>
      <c r="L89" s="48">
        <v>85</v>
      </c>
      <c r="M89" s="52">
        <v>42.5</v>
      </c>
      <c r="N89" s="52">
        <v>31.666666666666668</v>
      </c>
      <c r="O89" s="52">
        <v>26.25</v>
      </c>
      <c r="P89" s="18">
        <f t="shared" si="27"/>
        <v>26.25</v>
      </c>
      <c r="Q89" s="17" t="s">
        <v>8</v>
      </c>
    </row>
    <row r="90" spans="1:17" ht="15.75">
      <c r="A90" s="29" t="s">
        <v>52</v>
      </c>
      <c r="B90" s="22" t="s">
        <v>47</v>
      </c>
      <c r="C90" s="39" t="s">
        <v>57</v>
      </c>
      <c r="D90" s="25"/>
      <c r="F90" s="34">
        <v>119</v>
      </c>
      <c r="G90" s="34">
        <v>59.5</v>
      </c>
      <c r="H90" s="35">
        <v>43</v>
      </c>
      <c r="I90" s="35">
        <v>34.75</v>
      </c>
      <c r="J90" s="61">
        <f t="shared" si="26"/>
        <v>34.75</v>
      </c>
      <c r="K90" s="62"/>
      <c r="L90" s="63">
        <v>85</v>
      </c>
      <c r="M90" s="64">
        <v>42.5</v>
      </c>
      <c r="N90" s="64">
        <v>31.67</v>
      </c>
      <c r="O90" s="64">
        <v>26.25</v>
      </c>
      <c r="P90" s="65">
        <f t="shared" si="27"/>
        <v>26.25</v>
      </c>
      <c r="Q90" s="17" t="s">
        <v>59</v>
      </c>
    </row>
    <row r="91" spans="1:17" ht="15.75">
      <c r="A91" s="26">
        <v>1624</v>
      </c>
      <c r="B91" s="22" t="s">
        <v>48</v>
      </c>
      <c r="C91" s="38" t="s">
        <v>57</v>
      </c>
      <c r="D91" s="25"/>
      <c r="F91" s="34">
        <v>98</v>
      </c>
      <c r="G91" s="34">
        <v>49</v>
      </c>
      <c r="H91" s="35">
        <v>39</v>
      </c>
      <c r="I91" s="35">
        <v>32</v>
      </c>
      <c r="J91" s="61">
        <f t="shared" si="26"/>
        <v>32</v>
      </c>
      <c r="K91" s="62"/>
      <c r="L91" s="63">
        <v>75</v>
      </c>
      <c r="M91" s="64">
        <v>37.5</v>
      </c>
      <c r="N91" s="64">
        <v>28.33</v>
      </c>
      <c r="O91" s="64">
        <v>23.75</v>
      </c>
      <c r="P91" s="65">
        <f t="shared" si="27"/>
        <v>23.75</v>
      </c>
      <c r="Q91" s="17" t="s">
        <v>61</v>
      </c>
    </row>
    <row r="93" spans="1:17" s="16" customFormat="1"/>
    <row r="94" spans="1:17" ht="28.5">
      <c r="D94" s="68" t="s">
        <v>72</v>
      </c>
    </row>
    <row r="95" spans="1:17" ht="31.5">
      <c r="A95" s="70">
        <v>569</v>
      </c>
      <c r="B95" s="78" t="s">
        <v>66</v>
      </c>
      <c r="C95" s="73" t="s">
        <v>57</v>
      </c>
      <c r="D95" s="69"/>
      <c r="F95" s="79">
        <v>140</v>
      </c>
      <c r="G95" s="79">
        <v>70</v>
      </c>
      <c r="H95" s="80">
        <v>53</v>
      </c>
      <c r="I95" s="80">
        <v>42.5</v>
      </c>
      <c r="J95" s="66">
        <f>I95</f>
        <v>42.5</v>
      </c>
      <c r="L95" s="85">
        <v>100</v>
      </c>
      <c r="M95" s="87">
        <v>50</v>
      </c>
      <c r="N95" s="87">
        <f>36.67</f>
        <v>36.67</v>
      </c>
      <c r="O95" s="87">
        <v>31.25</v>
      </c>
      <c r="P95" s="67">
        <f>O95</f>
        <v>31.25</v>
      </c>
      <c r="Q95" s="17" t="s">
        <v>8</v>
      </c>
    </row>
    <row r="96" spans="1:17" ht="31.5">
      <c r="A96" s="70">
        <v>569</v>
      </c>
      <c r="B96" s="78" t="s">
        <v>67</v>
      </c>
      <c r="C96" s="73" t="s">
        <v>57</v>
      </c>
      <c r="D96" s="69"/>
      <c r="F96" s="79">
        <v>154</v>
      </c>
      <c r="G96" s="79">
        <v>77</v>
      </c>
      <c r="H96" s="80">
        <v>57.666666666666664</v>
      </c>
      <c r="I96" s="80">
        <v>46</v>
      </c>
      <c r="J96" s="66"/>
      <c r="L96" s="85">
        <v>110</v>
      </c>
      <c r="M96" s="87">
        <v>55</v>
      </c>
      <c r="N96" s="87">
        <v>40</v>
      </c>
      <c r="O96" s="87">
        <v>33.75</v>
      </c>
      <c r="P96" s="67"/>
      <c r="Q96" s="17" t="s">
        <v>8</v>
      </c>
    </row>
    <row r="97" spans="1:29" ht="31.5">
      <c r="A97" s="70">
        <v>569</v>
      </c>
      <c r="B97" s="78" t="s">
        <v>68</v>
      </c>
      <c r="C97" s="73" t="s">
        <v>57</v>
      </c>
      <c r="D97" s="69"/>
      <c r="F97" s="79">
        <v>168</v>
      </c>
      <c r="G97" s="79">
        <v>84</v>
      </c>
      <c r="H97" s="80">
        <v>62.333333333333336</v>
      </c>
      <c r="I97" s="80">
        <v>49.5</v>
      </c>
      <c r="J97" s="66"/>
      <c r="L97" s="85">
        <v>120</v>
      </c>
      <c r="M97" s="87">
        <v>60</v>
      </c>
      <c r="N97" s="87">
        <v>43.33</v>
      </c>
      <c r="O97" s="87">
        <v>36.25</v>
      </c>
      <c r="P97" s="67"/>
      <c r="Q97" s="17" t="s">
        <v>8</v>
      </c>
    </row>
    <row r="98" spans="1:29" ht="16.5" customHeight="1">
      <c r="A98" s="71" t="s">
        <v>63</v>
      </c>
      <c r="B98" s="74" t="s">
        <v>73</v>
      </c>
      <c r="C98" s="73" t="s">
        <v>57</v>
      </c>
      <c r="D98" s="69"/>
      <c r="F98" s="93">
        <v>168</v>
      </c>
      <c r="G98" s="93">
        <v>84</v>
      </c>
      <c r="H98" s="92">
        <v>62</v>
      </c>
      <c r="I98" s="92">
        <v>50</v>
      </c>
      <c r="J98" s="66">
        <f t="shared" ref="J98:J101" si="31">I98</f>
        <v>50</v>
      </c>
      <c r="L98" s="94">
        <v>120</v>
      </c>
      <c r="M98" s="95">
        <v>60</v>
      </c>
      <c r="N98" s="95">
        <f>130/3</f>
        <v>43.333333333333336</v>
      </c>
      <c r="O98" s="95">
        <f>145/4</f>
        <v>36.25</v>
      </c>
      <c r="P98" s="67">
        <f t="shared" ref="P98:P101" si="32">O98</f>
        <v>36.25</v>
      </c>
      <c r="Q98" s="17" t="s">
        <v>74</v>
      </c>
    </row>
    <row r="99" spans="1:29" ht="15.75">
      <c r="A99" s="71" t="s">
        <v>64</v>
      </c>
      <c r="B99" s="76" t="s">
        <v>69</v>
      </c>
      <c r="C99" s="73" t="s">
        <v>57</v>
      </c>
      <c r="D99" s="69"/>
      <c r="F99" s="81">
        <v>140</v>
      </c>
      <c r="G99" s="81">
        <v>70</v>
      </c>
      <c r="H99" s="82">
        <v>53</v>
      </c>
      <c r="I99" s="82">
        <v>42.5</v>
      </c>
      <c r="J99" s="66">
        <f t="shared" si="31"/>
        <v>42.5</v>
      </c>
      <c r="L99" s="89">
        <v>100</v>
      </c>
      <c r="M99" s="90">
        <v>50</v>
      </c>
      <c r="N99" s="90">
        <v>36.67</v>
      </c>
      <c r="O99" s="90">
        <v>31.25</v>
      </c>
      <c r="P99" s="67">
        <f t="shared" si="32"/>
        <v>31.25</v>
      </c>
      <c r="Q99" s="17" t="s">
        <v>74</v>
      </c>
    </row>
    <row r="100" spans="1:29" ht="15.75">
      <c r="A100" s="72" t="s">
        <v>65</v>
      </c>
      <c r="B100" s="75" t="s">
        <v>70</v>
      </c>
      <c r="C100" s="73" t="s">
        <v>57</v>
      </c>
      <c r="D100" s="69"/>
      <c r="F100" s="83">
        <v>116</v>
      </c>
      <c r="G100" s="83">
        <v>58</v>
      </c>
      <c r="H100" s="84">
        <v>45</v>
      </c>
      <c r="I100" s="84">
        <v>36.5</v>
      </c>
      <c r="J100" s="66">
        <f t="shared" si="31"/>
        <v>36.5</v>
      </c>
      <c r="L100" s="86">
        <v>80</v>
      </c>
      <c r="M100" s="88">
        <v>42.5</v>
      </c>
      <c r="N100" s="88">
        <v>31.67</v>
      </c>
      <c r="O100" s="88">
        <v>27.5</v>
      </c>
      <c r="P100" s="67">
        <f t="shared" si="32"/>
        <v>27.5</v>
      </c>
      <c r="Q100" s="17" t="s">
        <v>59</v>
      </c>
    </row>
    <row r="101" spans="1:29" ht="18.75">
      <c r="A101" s="70">
        <v>1895</v>
      </c>
      <c r="B101" s="77" t="s">
        <v>71</v>
      </c>
      <c r="C101" s="91" t="s">
        <v>53</v>
      </c>
      <c r="D101" s="69"/>
      <c r="F101" s="79">
        <v>98</v>
      </c>
      <c r="G101" s="79">
        <v>49</v>
      </c>
      <c r="H101" s="80">
        <v>36</v>
      </c>
      <c r="I101" s="80">
        <v>29.5</v>
      </c>
      <c r="J101" s="66">
        <f t="shared" si="31"/>
        <v>29.5</v>
      </c>
      <c r="L101" s="85">
        <v>75</v>
      </c>
      <c r="M101" s="87">
        <v>37.5</v>
      </c>
      <c r="N101" s="87">
        <v>28.33</v>
      </c>
      <c r="O101" s="87">
        <v>23.75</v>
      </c>
      <c r="P101" s="67">
        <f t="shared" si="32"/>
        <v>23.75</v>
      </c>
      <c r="Q101" s="17" t="s">
        <v>8</v>
      </c>
    </row>
    <row r="102" spans="1:29" ht="15.75">
      <c r="C102" s="108" t="s">
        <v>53</v>
      </c>
      <c r="E102" s="17">
        <v>2014</v>
      </c>
      <c r="F102" s="211">
        <v>116</v>
      </c>
      <c r="G102" s="211">
        <v>58</v>
      </c>
      <c r="H102" s="212">
        <v>45</v>
      </c>
      <c r="I102" s="212">
        <v>36.5</v>
      </c>
      <c r="J102" s="213">
        <f t="shared" ref="J102:J103" si="33">I102</f>
        <v>36.5</v>
      </c>
      <c r="L102" s="214">
        <v>80</v>
      </c>
      <c r="M102" s="215">
        <f>80/2</f>
        <v>40</v>
      </c>
      <c r="N102" s="215">
        <f>90/3</f>
        <v>30</v>
      </c>
      <c r="O102" s="215">
        <f>100/4</f>
        <v>25</v>
      </c>
      <c r="P102" s="216">
        <f>O102</f>
        <v>25</v>
      </c>
      <c r="R102" t="s">
        <v>88</v>
      </c>
    </row>
    <row r="103" spans="1:29" ht="15.75">
      <c r="B103" t="s">
        <v>186</v>
      </c>
      <c r="C103" s="108" t="s">
        <v>53</v>
      </c>
      <c r="E103" s="17">
        <v>2014</v>
      </c>
      <c r="F103" s="211">
        <v>116</v>
      </c>
      <c r="G103" s="211">
        <v>58</v>
      </c>
      <c r="H103" s="212">
        <v>45</v>
      </c>
      <c r="I103" s="212">
        <v>36.5</v>
      </c>
      <c r="J103" s="213">
        <f t="shared" si="33"/>
        <v>36.5</v>
      </c>
      <c r="L103" s="214">
        <v>80</v>
      </c>
      <c r="M103" s="215">
        <f>80/2</f>
        <v>40</v>
      </c>
      <c r="N103" s="215">
        <f>90/3</f>
        <v>30</v>
      </c>
      <c r="O103" s="215">
        <f>100/4</f>
        <v>25</v>
      </c>
      <c r="P103" s="216">
        <f>O103</f>
        <v>25</v>
      </c>
      <c r="R103" t="s">
        <v>93</v>
      </c>
      <c r="X103" t="s">
        <v>27</v>
      </c>
    </row>
    <row r="104" spans="1:29" s="16" customFormat="1"/>
    <row r="105" spans="1:29" ht="28.5">
      <c r="D105" s="96">
        <v>209</v>
      </c>
      <c r="R105" s="8" t="s">
        <v>2</v>
      </c>
      <c r="S105" s="8" t="s">
        <v>3</v>
      </c>
      <c r="T105" s="8" t="s">
        <v>4</v>
      </c>
      <c r="U105" s="8" t="s">
        <v>5</v>
      </c>
      <c r="V105" s="8" t="s">
        <v>6</v>
      </c>
      <c r="X105" s="8" t="s">
        <v>2</v>
      </c>
      <c r="Y105" s="8" t="s">
        <v>3</v>
      </c>
      <c r="Z105" s="8" t="s">
        <v>4</v>
      </c>
      <c r="AA105" s="8" t="s">
        <v>5</v>
      </c>
      <c r="AB105" s="8" t="s">
        <v>6</v>
      </c>
    </row>
    <row r="106" spans="1:29" ht="15.75">
      <c r="A106" s="99">
        <v>542</v>
      </c>
      <c r="B106" s="104" t="s">
        <v>78</v>
      </c>
      <c r="C106" s="98" t="s">
        <v>53</v>
      </c>
      <c r="D106" s="97"/>
      <c r="F106" s="109">
        <v>98</v>
      </c>
      <c r="G106" s="110">
        <v>49</v>
      </c>
      <c r="H106" s="111">
        <v>36</v>
      </c>
      <c r="I106" s="111">
        <v>29.5</v>
      </c>
      <c r="J106" s="19">
        <f>I106</f>
        <v>29.5</v>
      </c>
      <c r="K106" s="12"/>
      <c r="L106" s="115">
        <v>70</v>
      </c>
      <c r="M106" s="117">
        <v>35</v>
      </c>
      <c r="N106" s="117">
        <v>23.333333333333332</v>
      </c>
      <c r="O106" s="117">
        <v>17.5</v>
      </c>
      <c r="P106" s="18">
        <f>O106</f>
        <v>17.5</v>
      </c>
      <c r="Q106" s="17" t="s">
        <v>92</v>
      </c>
    </row>
    <row r="107" spans="1:29" ht="15.75">
      <c r="A107" s="99">
        <v>696</v>
      </c>
      <c r="B107" s="107" t="s">
        <v>79</v>
      </c>
      <c r="C107" s="98" t="s">
        <v>53</v>
      </c>
      <c r="D107" s="97"/>
      <c r="F107" s="112">
        <v>154</v>
      </c>
      <c r="G107" s="112">
        <v>77</v>
      </c>
      <c r="H107" s="113">
        <v>61</v>
      </c>
      <c r="I107" s="113">
        <v>54</v>
      </c>
      <c r="J107" s="19">
        <f t="shared" ref="J107:J116" si="34">I107</f>
        <v>54</v>
      </c>
      <c r="L107" s="115">
        <v>110</v>
      </c>
      <c r="M107" s="117">
        <v>55</v>
      </c>
      <c r="N107" s="117">
        <f>130/3</f>
        <v>43.333333333333336</v>
      </c>
      <c r="O107" s="117">
        <f>150/4</f>
        <v>37.5</v>
      </c>
      <c r="P107" s="18">
        <f t="shared" ref="P107:P117" si="35">O107</f>
        <v>37.5</v>
      </c>
      <c r="Q107" s="17" t="s">
        <v>8</v>
      </c>
      <c r="R107" s="17">
        <f>X107*1.4</f>
        <v>273</v>
      </c>
      <c r="S107" s="17">
        <v>137</v>
      </c>
      <c r="T107" s="17">
        <v>101</v>
      </c>
      <c r="U107" s="17">
        <v>83</v>
      </c>
      <c r="V107" s="17">
        <v>83</v>
      </c>
      <c r="X107">
        <v>195</v>
      </c>
      <c r="Y107">
        <v>97.5</v>
      </c>
      <c r="Z107" s="66">
        <f>215/3</f>
        <v>71.666666666666671</v>
      </c>
      <c r="AA107">
        <f>235/4</f>
        <v>58.75</v>
      </c>
      <c r="AB107">
        <f>AA107</f>
        <v>58.75</v>
      </c>
      <c r="AC107" t="s">
        <v>90</v>
      </c>
    </row>
    <row r="108" spans="1:29" ht="15.75">
      <c r="A108" s="100">
        <v>448</v>
      </c>
      <c r="B108" s="107" t="s">
        <v>80</v>
      </c>
      <c r="C108" s="98" t="s">
        <v>53</v>
      </c>
      <c r="D108" s="97"/>
      <c r="F108" s="112">
        <v>145</v>
      </c>
      <c r="G108" s="112">
        <v>73</v>
      </c>
      <c r="H108" s="113">
        <v>52</v>
      </c>
      <c r="I108" s="113">
        <v>41</v>
      </c>
      <c r="J108" s="19">
        <f t="shared" si="34"/>
        <v>41</v>
      </c>
      <c r="L108" s="115">
        <v>110</v>
      </c>
      <c r="M108" s="117">
        <f>L108/2</f>
        <v>55</v>
      </c>
      <c r="N108" s="117">
        <f>110/3</f>
        <v>36.666666666666664</v>
      </c>
      <c r="O108" s="117">
        <f>110/4</f>
        <v>27.5</v>
      </c>
      <c r="P108" s="18">
        <f t="shared" si="35"/>
        <v>27.5</v>
      </c>
      <c r="Q108" s="17" t="s">
        <v>74</v>
      </c>
      <c r="R108" s="17">
        <f>X108*1.4</f>
        <v>189</v>
      </c>
      <c r="S108" s="17">
        <v>95</v>
      </c>
      <c r="T108" s="17">
        <f>Z108*1.4</f>
        <v>62.999999999999993</v>
      </c>
      <c r="U108" s="17">
        <v>48</v>
      </c>
      <c r="V108" s="17">
        <v>48</v>
      </c>
      <c r="X108">
        <v>135</v>
      </c>
      <c r="Y108">
        <f>135/2</f>
        <v>67.5</v>
      </c>
      <c r="Z108">
        <f>X108/3</f>
        <v>45</v>
      </c>
      <c r="AA108">
        <f>135/4</f>
        <v>33.75</v>
      </c>
      <c r="AB108">
        <f>AA108</f>
        <v>33.75</v>
      </c>
      <c r="AC108" s="119" t="s">
        <v>91</v>
      </c>
    </row>
    <row r="109" spans="1:29" ht="31.5">
      <c r="A109" s="99">
        <v>567</v>
      </c>
      <c r="B109" s="107" t="s">
        <v>81</v>
      </c>
      <c r="C109" s="98" t="s">
        <v>53</v>
      </c>
      <c r="D109" s="97"/>
      <c r="F109" s="109">
        <v>105</v>
      </c>
      <c r="G109" s="110">
        <v>53</v>
      </c>
      <c r="H109" s="111">
        <v>38.333333333333336</v>
      </c>
      <c r="I109" s="111">
        <v>31.25</v>
      </c>
      <c r="J109" s="19">
        <f t="shared" si="34"/>
        <v>31.25</v>
      </c>
      <c r="L109" s="114">
        <v>75</v>
      </c>
      <c r="M109" s="116">
        <v>37.5</v>
      </c>
      <c r="N109" s="116">
        <v>25</v>
      </c>
      <c r="O109" s="116">
        <v>18.75</v>
      </c>
      <c r="P109" s="18">
        <f t="shared" si="35"/>
        <v>18.75</v>
      </c>
      <c r="Q109" s="17" t="s">
        <v>74</v>
      </c>
      <c r="R109" s="120">
        <f>X109*1.4</f>
        <v>168</v>
      </c>
      <c r="S109" s="120">
        <f t="shared" ref="S109:V109" si="36">Y109*1.4</f>
        <v>84</v>
      </c>
      <c r="T109" s="120">
        <f t="shared" si="36"/>
        <v>56</v>
      </c>
      <c r="U109" s="120">
        <f t="shared" si="36"/>
        <v>42</v>
      </c>
      <c r="V109" s="120">
        <f t="shared" si="36"/>
        <v>42</v>
      </c>
      <c r="X109">
        <f>120</f>
        <v>120</v>
      </c>
      <c r="Y109">
        <f>120/2</f>
        <v>60</v>
      </c>
      <c r="Z109">
        <f>120/3</f>
        <v>40</v>
      </c>
      <c r="AA109">
        <f>120/4</f>
        <v>30</v>
      </c>
      <c r="AB109" s="16">
        <f>AA109</f>
        <v>30</v>
      </c>
      <c r="AC109" t="s">
        <v>94</v>
      </c>
    </row>
    <row r="110" spans="1:29" ht="25.5">
      <c r="A110" s="102" t="s">
        <v>75</v>
      </c>
      <c r="B110" s="104" t="s">
        <v>82</v>
      </c>
      <c r="C110" s="98" t="s">
        <v>53</v>
      </c>
      <c r="D110" s="97"/>
      <c r="F110" s="112">
        <v>89</v>
      </c>
      <c r="G110" s="112">
        <v>44.5</v>
      </c>
      <c r="H110" s="113">
        <v>33</v>
      </c>
      <c r="I110" s="113">
        <v>27.25</v>
      </c>
      <c r="J110" s="19">
        <f t="shared" si="34"/>
        <v>27.25</v>
      </c>
      <c r="L110" s="115">
        <v>60</v>
      </c>
      <c r="M110" s="117">
        <v>30</v>
      </c>
      <c r="N110" s="117">
        <v>20</v>
      </c>
      <c r="O110" s="117">
        <v>15</v>
      </c>
      <c r="P110" s="18">
        <f t="shared" si="35"/>
        <v>15</v>
      </c>
      <c r="Q110" s="17" t="s">
        <v>89</v>
      </c>
    </row>
    <row r="111" spans="1:29" ht="15.75">
      <c r="A111" s="99">
        <v>1894</v>
      </c>
      <c r="B111" s="104" t="s">
        <v>83</v>
      </c>
      <c r="C111" s="98" t="s">
        <v>53</v>
      </c>
      <c r="D111" s="97"/>
      <c r="F111" s="110">
        <v>105</v>
      </c>
      <c r="G111" s="112">
        <v>53</v>
      </c>
      <c r="H111" s="113">
        <v>41.333333333333336</v>
      </c>
      <c r="I111" s="113">
        <v>33.75</v>
      </c>
      <c r="J111" s="19">
        <f t="shared" si="34"/>
        <v>33.75</v>
      </c>
      <c r="L111" s="115">
        <v>75</v>
      </c>
      <c r="M111" s="117">
        <v>37.5</v>
      </c>
      <c r="N111" s="117">
        <v>29.33</v>
      </c>
      <c r="O111" s="117">
        <v>25.25</v>
      </c>
      <c r="P111" s="18">
        <f t="shared" si="35"/>
        <v>25.25</v>
      </c>
      <c r="Q111" s="17" t="s">
        <v>8</v>
      </c>
    </row>
    <row r="112" spans="1:29" ht="15.75">
      <c r="A112" s="103">
        <v>1350</v>
      </c>
      <c r="B112" s="104" t="s">
        <v>84</v>
      </c>
      <c r="C112" s="98" t="s">
        <v>53</v>
      </c>
      <c r="D112" s="97"/>
      <c r="F112" s="110">
        <v>105</v>
      </c>
      <c r="G112" s="112">
        <v>53</v>
      </c>
      <c r="H112" s="111">
        <v>41.333333333333336</v>
      </c>
      <c r="I112" s="111">
        <v>33.75</v>
      </c>
      <c r="J112" s="19">
        <f t="shared" si="34"/>
        <v>33.75</v>
      </c>
      <c r="L112" s="114">
        <v>75</v>
      </c>
      <c r="M112" s="116">
        <v>37.5</v>
      </c>
      <c r="N112" s="116">
        <v>25</v>
      </c>
      <c r="O112" s="116">
        <v>18.75</v>
      </c>
      <c r="P112" s="18">
        <f t="shared" si="35"/>
        <v>18.75</v>
      </c>
      <c r="Q112" s="17" t="s">
        <v>8</v>
      </c>
    </row>
    <row r="113" spans="1:29" ht="15.75">
      <c r="A113" s="103">
        <v>713</v>
      </c>
      <c r="B113" s="104" t="s">
        <v>36</v>
      </c>
      <c r="C113" s="98" t="s">
        <v>53</v>
      </c>
      <c r="D113" s="97"/>
      <c r="F113" s="110">
        <v>210</v>
      </c>
      <c r="G113" s="110">
        <v>105</v>
      </c>
      <c r="H113" s="111">
        <v>76.333333333333329</v>
      </c>
      <c r="I113" s="111">
        <v>60</v>
      </c>
      <c r="J113" s="19">
        <f t="shared" si="34"/>
        <v>60</v>
      </c>
      <c r="L113" s="114">
        <v>150</v>
      </c>
      <c r="M113" s="116">
        <v>75</v>
      </c>
      <c r="N113" s="116">
        <v>50</v>
      </c>
      <c r="O113" s="116">
        <v>37.5</v>
      </c>
      <c r="P113" s="18">
        <f t="shared" si="35"/>
        <v>37.5</v>
      </c>
      <c r="Q113" s="17" t="s">
        <v>8</v>
      </c>
    </row>
    <row r="114" spans="1:29" ht="25.5">
      <c r="A114" s="101" t="s">
        <v>76</v>
      </c>
      <c r="B114" s="105" t="s">
        <v>85</v>
      </c>
      <c r="C114" s="98" t="s">
        <v>54</v>
      </c>
      <c r="D114" s="97"/>
      <c r="F114" s="112">
        <v>91</v>
      </c>
      <c r="G114" s="112">
        <v>45.5</v>
      </c>
      <c r="H114" s="113">
        <v>36.666666666666664</v>
      </c>
      <c r="I114" s="113">
        <v>30.25</v>
      </c>
      <c r="J114" s="19">
        <f t="shared" si="34"/>
        <v>30.25</v>
      </c>
      <c r="L114" s="115">
        <v>65</v>
      </c>
      <c r="M114" s="117">
        <v>32.5</v>
      </c>
      <c r="N114" s="117">
        <v>21.666666666666668</v>
      </c>
      <c r="O114" s="117">
        <v>16.25</v>
      </c>
      <c r="P114" s="18">
        <f t="shared" si="35"/>
        <v>16.25</v>
      </c>
      <c r="Q114" s="17" t="s">
        <v>89</v>
      </c>
    </row>
    <row r="115" spans="1:29" ht="25.5">
      <c r="A115" s="101" t="s">
        <v>76</v>
      </c>
      <c r="B115" s="106" t="s">
        <v>86</v>
      </c>
      <c r="C115" s="98" t="s">
        <v>54</v>
      </c>
      <c r="D115" s="97"/>
      <c r="F115" s="112">
        <v>154</v>
      </c>
      <c r="G115" s="112">
        <v>77</v>
      </c>
      <c r="H115" s="113">
        <v>57.666666666666664</v>
      </c>
      <c r="I115" s="113">
        <v>46</v>
      </c>
      <c r="J115" s="19">
        <f t="shared" si="34"/>
        <v>46</v>
      </c>
      <c r="L115" s="115">
        <v>110</v>
      </c>
      <c r="M115" s="117">
        <v>55</v>
      </c>
      <c r="N115" s="117">
        <v>36.666666666666664</v>
      </c>
      <c r="O115" s="117">
        <v>27.5</v>
      </c>
      <c r="P115" s="18">
        <f t="shared" si="35"/>
        <v>27.5</v>
      </c>
      <c r="Q115" s="17" t="s">
        <v>89</v>
      </c>
    </row>
    <row r="116" spans="1:29" ht="25.5">
      <c r="A116" s="101" t="s">
        <v>77</v>
      </c>
      <c r="B116" s="105" t="s">
        <v>87</v>
      </c>
      <c r="C116" s="108" t="s">
        <v>57</v>
      </c>
      <c r="D116" s="97"/>
      <c r="F116" s="112">
        <v>139</v>
      </c>
      <c r="G116" s="112">
        <v>69.5</v>
      </c>
      <c r="H116" s="113">
        <v>49.666666666666664</v>
      </c>
      <c r="I116" s="113">
        <v>39.75</v>
      </c>
      <c r="J116" s="19">
        <f t="shared" si="34"/>
        <v>39.75</v>
      </c>
      <c r="L116" s="115">
        <v>95</v>
      </c>
      <c r="M116" s="117">
        <v>47.5</v>
      </c>
      <c r="N116" s="117">
        <v>31.666666666666668</v>
      </c>
      <c r="O116" s="117">
        <v>23.75</v>
      </c>
      <c r="P116" s="18">
        <f t="shared" si="35"/>
        <v>23.75</v>
      </c>
      <c r="Q116" s="17" t="s">
        <v>89</v>
      </c>
    </row>
    <row r="117" spans="1:29" ht="15.75">
      <c r="A117" s="123">
        <v>3019</v>
      </c>
      <c r="B117" s="121" t="s">
        <v>95</v>
      </c>
      <c r="C117" s="98" t="s">
        <v>53</v>
      </c>
      <c r="D117" s="124" t="s">
        <v>98</v>
      </c>
      <c r="F117" s="110">
        <v>125</v>
      </c>
      <c r="G117" s="110">
        <v>63</v>
      </c>
      <c r="H117" s="111">
        <v>46</v>
      </c>
      <c r="I117" s="111">
        <v>38</v>
      </c>
      <c r="J117" s="19">
        <v>38</v>
      </c>
      <c r="L117" s="122">
        <v>90</v>
      </c>
      <c r="M117" s="12">
        <f>90/2</f>
        <v>45</v>
      </c>
      <c r="N117" s="12">
        <f>90/3</f>
        <v>30</v>
      </c>
      <c r="O117" s="12">
        <f>90/4</f>
        <v>22.5</v>
      </c>
      <c r="P117" s="18">
        <f t="shared" si="35"/>
        <v>22.5</v>
      </c>
      <c r="Q117" s="17" t="s">
        <v>97</v>
      </c>
      <c r="R117" s="110">
        <v>125</v>
      </c>
      <c r="S117" s="110">
        <v>63</v>
      </c>
      <c r="T117" s="111">
        <v>46</v>
      </c>
      <c r="U117" s="111">
        <v>38</v>
      </c>
      <c r="V117" s="19">
        <v>38</v>
      </c>
      <c r="X117">
        <v>95</v>
      </c>
      <c r="Y117">
        <f>95/2</f>
        <v>47.5</v>
      </c>
      <c r="Z117" s="67">
        <f>95/3</f>
        <v>31.666666666666668</v>
      </c>
      <c r="AA117">
        <f>95/4</f>
        <v>23.75</v>
      </c>
      <c r="AB117">
        <f>AA117</f>
        <v>23.75</v>
      </c>
      <c r="AC117" t="s">
        <v>96</v>
      </c>
    </row>
    <row r="119" spans="1:29" ht="28.5">
      <c r="B119" s="171" t="s">
        <v>163</v>
      </c>
      <c r="C119" s="194" t="s">
        <v>132</v>
      </c>
      <c r="D119" s="192">
        <v>234</v>
      </c>
      <c r="F119" s="171">
        <f t="shared" ref="F119:I120" si="37">ROUNDUP(L119*1.4,0)</f>
        <v>135</v>
      </c>
      <c r="G119" s="171">
        <f t="shared" si="37"/>
        <v>68</v>
      </c>
      <c r="H119" s="171">
        <f t="shared" si="37"/>
        <v>51</v>
      </c>
      <c r="I119" s="171">
        <f t="shared" si="37"/>
        <v>42</v>
      </c>
      <c r="J119" s="191">
        <f>P119*1.4</f>
        <v>41.527499999999996</v>
      </c>
      <c r="K119" s="190"/>
      <c r="L119" s="188">
        <f>85*1.13</f>
        <v>96.05</v>
      </c>
      <c r="M119" s="188">
        <f>L119/2</f>
        <v>48.024999999999999</v>
      </c>
      <c r="N119" s="188">
        <f>95*1.13/3</f>
        <v>35.783333333333331</v>
      </c>
      <c r="O119" s="188">
        <f>105*1.13/4</f>
        <v>29.662499999999998</v>
      </c>
      <c r="P119" s="189">
        <f>O119</f>
        <v>29.662499999999998</v>
      </c>
      <c r="Q119" s="168" t="s">
        <v>165</v>
      </c>
    </row>
    <row r="120" spans="1:29">
      <c r="B120" s="171" t="s">
        <v>164</v>
      </c>
      <c r="C120" s="194" t="s">
        <v>132</v>
      </c>
      <c r="D120" s="193"/>
      <c r="F120" s="171">
        <f t="shared" si="37"/>
        <v>151</v>
      </c>
      <c r="G120" s="171">
        <f t="shared" si="37"/>
        <v>76</v>
      </c>
      <c r="H120" s="171">
        <f t="shared" si="37"/>
        <v>56</v>
      </c>
      <c r="I120" s="171">
        <f t="shared" si="37"/>
        <v>46</v>
      </c>
      <c r="J120" s="191">
        <v>46</v>
      </c>
      <c r="K120" s="190"/>
      <c r="L120" s="188">
        <f>95*1.13</f>
        <v>107.35</v>
      </c>
      <c r="M120" s="188">
        <f t="shared" ref="M120" si="38">L120/2</f>
        <v>53.674999999999997</v>
      </c>
      <c r="N120" s="188">
        <f>105*1.13/3</f>
        <v>39.549999999999997</v>
      </c>
      <c r="O120" s="188">
        <f>115*1.13/4</f>
        <v>32.487499999999997</v>
      </c>
      <c r="P120" s="189">
        <f t="shared" ref="P120" si="39">O120</f>
        <v>32.487499999999997</v>
      </c>
      <c r="Q120" s="168" t="s">
        <v>165</v>
      </c>
    </row>
    <row r="124" spans="1:29" ht="28.5">
      <c r="D124" s="3">
        <v>235</v>
      </c>
    </row>
    <row r="125" spans="1:29">
      <c r="A125" s="12">
        <v>2995</v>
      </c>
      <c r="B125" s="6" t="s">
        <v>7</v>
      </c>
      <c r="D125" s="20"/>
      <c r="E125" s="6"/>
      <c r="F125" s="10">
        <v>91</v>
      </c>
      <c r="G125" s="10">
        <v>46</v>
      </c>
      <c r="H125" s="10">
        <v>33</v>
      </c>
      <c r="I125" s="10">
        <v>27</v>
      </c>
      <c r="J125" s="10">
        <v>27</v>
      </c>
      <c r="L125" s="12">
        <v>65</v>
      </c>
      <c r="M125" s="12">
        <v>32.5</v>
      </c>
      <c r="N125" s="10">
        <v>23.333333333333332</v>
      </c>
      <c r="O125" s="10">
        <v>18.75</v>
      </c>
      <c r="P125" s="12">
        <v>18.75</v>
      </c>
      <c r="Q125" s="9" t="s">
        <v>8</v>
      </c>
      <c r="R125" s="15" t="s">
        <v>29</v>
      </c>
    </row>
    <row r="126" spans="1:29">
      <c r="A126" s="12">
        <v>2997</v>
      </c>
      <c r="B126" s="6" t="s">
        <v>9</v>
      </c>
      <c r="D126" s="20"/>
      <c r="E126" s="6"/>
      <c r="F126" s="10">
        <v>98</v>
      </c>
      <c r="G126" s="10">
        <v>49</v>
      </c>
      <c r="H126" s="10">
        <v>36</v>
      </c>
      <c r="I126" s="10">
        <v>30</v>
      </c>
      <c r="J126" s="10">
        <v>30</v>
      </c>
      <c r="L126" s="12">
        <v>65</v>
      </c>
      <c r="M126" s="12">
        <v>32.5</v>
      </c>
      <c r="N126" s="10">
        <v>23.333333333333332</v>
      </c>
      <c r="O126" s="12">
        <v>18.75</v>
      </c>
      <c r="P126" s="12">
        <v>18.75</v>
      </c>
      <c r="Q126" s="17" t="s">
        <v>8</v>
      </c>
    </row>
    <row r="127" spans="1:29">
      <c r="A127" s="12">
        <v>2994</v>
      </c>
      <c r="B127" s="6" t="s">
        <v>10</v>
      </c>
      <c r="D127" s="20"/>
      <c r="E127" s="6"/>
      <c r="F127" s="10">
        <v>98</v>
      </c>
      <c r="G127" s="10">
        <v>49</v>
      </c>
      <c r="H127" s="10">
        <v>36</v>
      </c>
      <c r="I127" s="10">
        <v>30</v>
      </c>
      <c r="J127" s="10">
        <v>30</v>
      </c>
      <c r="L127" s="12">
        <v>65</v>
      </c>
      <c r="M127" s="12">
        <v>32.5</v>
      </c>
      <c r="N127" s="10">
        <v>23.333333333333332</v>
      </c>
      <c r="O127" s="12">
        <v>18.75</v>
      </c>
      <c r="P127" s="12">
        <v>18.75</v>
      </c>
      <c r="Q127" s="17" t="s">
        <v>8</v>
      </c>
    </row>
    <row r="128" spans="1:29">
      <c r="A128" s="12">
        <v>2998</v>
      </c>
      <c r="B128" s="6" t="s">
        <v>11</v>
      </c>
      <c r="D128" s="20"/>
      <c r="E128" s="6"/>
      <c r="F128" s="10">
        <v>95</v>
      </c>
      <c r="G128" s="10">
        <v>48</v>
      </c>
      <c r="H128" s="10">
        <v>35</v>
      </c>
      <c r="I128" s="10">
        <v>29</v>
      </c>
      <c r="J128" s="10">
        <v>29</v>
      </c>
      <c r="L128" s="12">
        <v>65</v>
      </c>
      <c r="M128" s="12">
        <v>32.5</v>
      </c>
      <c r="N128" s="10">
        <v>23.333333333333332</v>
      </c>
      <c r="O128" s="12">
        <v>18.75</v>
      </c>
      <c r="P128" s="12">
        <v>18.75</v>
      </c>
      <c r="Q128" s="17" t="s">
        <v>8</v>
      </c>
    </row>
    <row r="129" spans="1:18">
      <c r="A129" s="12">
        <v>2999</v>
      </c>
      <c r="B129" s="6" t="s">
        <v>12</v>
      </c>
      <c r="D129" s="20"/>
      <c r="E129" s="6"/>
      <c r="F129" s="10">
        <v>98</v>
      </c>
      <c r="G129" s="10">
        <v>49</v>
      </c>
      <c r="H129" s="10">
        <v>36</v>
      </c>
      <c r="I129" s="10">
        <v>30</v>
      </c>
      <c r="J129" s="10">
        <v>30</v>
      </c>
      <c r="L129" s="12">
        <v>65</v>
      </c>
      <c r="M129" s="12">
        <v>32.5</v>
      </c>
      <c r="N129" s="10">
        <v>23.333333333333332</v>
      </c>
      <c r="O129" s="12">
        <v>18.75</v>
      </c>
      <c r="P129" s="12">
        <v>18.75</v>
      </c>
      <c r="Q129" s="17" t="s">
        <v>8</v>
      </c>
    </row>
    <row r="130" spans="1:18">
      <c r="A130" s="12">
        <v>3000</v>
      </c>
      <c r="B130" s="6" t="s">
        <v>13</v>
      </c>
      <c r="D130" s="20"/>
      <c r="E130" s="6"/>
      <c r="F130" s="10">
        <v>98</v>
      </c>
      <c r="G130" s="10">
        <v>49</v>
      </c>
      <c r="H130" s="10">
        <v>36</v>
      </c>
      <c r="I130" s="10">
        <v>30</v>
      </c>
      <c r="J130" s="10">
        <v>30</v>
      </c>
      <c r="L130" s="12">
        <v>65</v>
      </c>
      <c r="M130" s="12">
        <v>32.5</v>
      </c>
      <c r="N130" s="10">
        <v>23.333333333333332</v>
      </c>
      <c r="O130" s="12">
        <v>18.75</v>
      </c>
      <c r="P130" s="12">
        <v>18.75</v>
      </c>
      <c r="Q130" s="17" t="s">
        <v>8</v>
      </c>
    </row>
    <row r="131" spans="1:18">
      <c r="A131" s="13">
        <v>3001</v>
      </c>
      <c r="B131" s="6" t="s">
        <v>14</v>
      </c>
      <c r="D131" s="20"/>
      <c r="E131" s="6"/>
      <c r="F131" s="10">
        <v>98</v>
      </c>
      <c r="G131" s="10">
        <v>49</v>
      </c>
      <c r="H131" s="10">
        <v>39</v>
      </c>
      <c r="I131" s="10">
        <v>32</v>
      </c>
      <c r="J131" s="10">
        <v>32</v>
      </c>
      <c r="L131" s="12">
        <v>75</v>
      </c>
      <c r="M131" s="12">
        <v>37.5</v>
      </c>
      <c r="N131" s="10">
        <v>28.333333333333332</v>
      </c>
      <c r="O131" s="12">
        <v>23.75</v>
      </c>
      <c r="P131" s="12">
        <v>23.75</v>
      </c>
      <c r="Q131" s="9" t="s">
        <v>8</v>
      </c>
    </row>
    <row r="132" spans="1:18">
      <c r="A132" s="12">
        <v>3002</v>
      </c>
      <c r="B132" s="6" t="s">
        <v>15</v>
      </c>
      <c r="D132" s="20"/>
      <c r="E132" s="6"/>
      <c r="F132" s="10">
        <v>105</v>
      </c>
      <c r="G132" s="10">
        <v>53</v>
      </c>
      <c r="H132" s="10">
        <v>41</v>
      </c>
      <c r="I132" s="10">
        <v>34</v>
      </c>
      <c r="J132" s="10">
        <v>34</v>
      </c>
      <c r="L132" s="12">
        <v>75</v>
      </c>
      <c r="M132" s="12">
        <v>37.5</v>
      </c>
      <c r="N132" s="10">
        <v>28.333333333333332</v>
      </c>
      <c r="O132" s="12">
        <v>23.75</v>
      </c>
      <c r="P132" s="12">
        <v>23.75</v>
      </c>
      <c r="Q132" s="9" t="s">
        <v>8</v>
      </c>
    </row>
    <row r="133" spans="1:18" s="16" customFormat="1">
      <c r="A133" s="12"/>
      <c r="B133" s="198" t="s">
        <v>167</v>
      </c>
      <c r="D133" s="20"/>
      <c r="F133" s="18">
        <v>125</v>
      </c>
      <c r="G133" s="18">
        <v>63</v>
      </c>
      <c r="H133" s="18">
        <v>46</v>
      </c>
      <c r="I133" s="18">
        <v>38</v>
      </c>
      <c r="J133" s="18">
        <v>38</v>
      </c>
      <c r="K133" s="12"/>
      <c r="L133" s="12">
        <f>L132+10</f>
        <v>85</v>
      </c>
      <c r="M133" s="12">
        <f>M132+5</f>
        <v>42.5</v>
      </c>
      <c r="N133" s="18">
        <f>N132+3.33</f>
        <v>31.663333333333334</v>
      </c>
      <c r="O133" s="12">
        <f>O132+2.5</f>
        <v>26.25</v>
      </c>
      <c r="P133" s="12">
        <f>P132+2.5</f>
        <v>26.25</v>
      </c>
      <c r="Q133" s="17" t="s">
        <v>8</v>
      </c>
    </row>
    <row r="134" spans="1:18">
      <c r="A134" s="13">
        <v>3003</v>
      </c>
      <c r="B134" s="6" t="s">
        <v>16</v>
      </c>
      <c r="D134" s="20"/>
      <c r="E134" s="18"/>
      <c r="F134" s="18">
        <v>98</v>
      </c>
      <c r="G134" s="18">
        <v>49</v>
      </c>
      <c r="H134" s="18">
        <v>39</v>
      </c>
      <c r="I134" s="18">
        <v>32</v>
      </c>
      <c r="J134" s="18">
        <v>32</v>
      </c>
      <c r="L134" s="12">
        <v>75</v>
      </c>
      <c r="M134" s="12">
        <v>37.5</v>
      </c>
      <c r="N134" s="10">
        <v>28.333333333333332</v>
      </c>
      <c r="O134" s="12">
        <v>23.75</v>
      </c>
      <c r="P134" s="12">
        <v>23.75</v>
      </c>
      <c r="Q134" s="9" t="s">
        <v>8</v>
      </c>
    </row>
    <row r="135" spans="1:18">
      <c r="A135" s="13">
        <v>3004</v>
      </c>
      <c r="B135" s="6" t="s">
        <v>17</v>
      </c>
      <c r="D135" s="20"/>
      <c r="E135" s="6"/>
      <c r="F135" s="10">
        <v>98</v>
      </c>
      <c r="G135" s="10">
        <v>49</v>
      </c>
      <c r="H135" s="10">
        <v>39</v>
      </c>
      <c r="I135" s="10">
        <v>32</v>
      </c>
      <c r="J135" s="10">
        <v>32</v>
      </c>
      <c r="L135" s="12">
        <v>75</v>
      </c>
      <c r="M135" s="12">
        <v>37.5</v>
      </c>
      <c r="N135" s="10">
        <v>28.333333333333332</v>
      </c>
      <c r="O135" s="12">
        <v>23.75</v>
      </c>
      <c r="P135" s="12">
        <v>23.75</v>
      </c>
      <c r="Q135" s="9" t="s">
        <v>8</v>
      </c>
    </row>
    <row r="136" spans="1:18" s="16" customFormat="1">
      <c r="A136" s="13"/>
      <c r="B136" s="210" t="s">
        <v>167</v>
      </c>
      <c r="D136" s="20"/>
      <c r="F136" s="185">
        <v>125</v>
      </c>
      <c r="G136" s="185">
        <v>63</v>
      </c>
      <c r="H136" s="185">
        <v>46</v>
      </c>
      <c r="I136" s="185">
        <v>38</v>
      </c>
      <c r="J136" s="185">
        <v>38</v>
      </c>
      <c r="K136" s="20"/>
      <c r="L136" s="20">
        <f>L135+10</f>
        <v>85</v>
      </c>
      <c r="M136" s="20">
        <f>M135+5</f>
        <v>42.5</v>
      </c>
      <c r="N136" s="185">
        <f>N135+3.33</f>
        <v>31.663333333333334</v>
      </c>
      <c r="O136" s="20">
        <f>O135+2.5</f>
        <v>26.25</v>
      </c>
      <c r="P136" s="20">
        <f>P135+2.5</f>
        <v>26.25</v>
      </c>
      <c r="Q136" s="17"/>
    </row>
    <row r="137" spans="1:18">
      <c r="A137" s="12">
        <v>2996</v>
      </c>
      <c r="B137" s="6" t="s">
        <v>18</v>
      </c>
      <c r="D137" s="20"/>
      <c r="E137" s="6"/>
      <c r="F137" s="10">
        <v>98</v>
      </c>
      <c r="G137" s="10">
        <v>49</v>
      </c>
      <c r="H137" s="10">
        <v>39</v>
      </c>
      <c r="I137" s="10">
        <v>32</v>
      </c>
      <c r="J137" s="10">
        <v>32</v>
      </c>
      <c r="L137" s="12">
        <v>75</v>
      </c>
      <c r="M137" s="12">
        <v>37.5</v>
      </c>
      <c r="N137" s="10">
        <v>28.333333333333332</v>
      </c>
      <c r="O137" s="12">
        <v>23.75</v>
      </c>
      <c r="P137" s="12">
        <v>23.75</v>
      </c>
      <c r="Q137" s="9" t="s">
        <v>8</v>
      </c>
    </row>
    <row r="138" spans="1:18">
      <c r="A138" s="13">
        <v>3005</v>
      </c>
      <c r="B138" s="6" t="s">
        <v>19</v>
      </c>
      <c r="D138" s="20"/>
      <c r="E138" s="6"/>
      <c r="F138" s="10">
        <v>125</v>
      </c>
      <c r="G138" s="10">
        <v>63</v>
      </c>
      <c r="H138" s="10">
        <v>46</v>
      </c>
      <c r="I138" s="10">
        <v>38</v>
      </c>
      <c r="J138" s="10">
        <v>38</v>
      </c>
      <c r="L138" s="12">
        <v>85</v>
      </c>
      <c r="M138" s="12">
        <v>42.5</v>
      </c>
      <c r="N138" s="10">
        <v>31.666666666666668</v>
      </c>
      <c r="O138" s="12">
        <v>26.25</v>
      </c>
      <c r="P138" s="12">
        <v>26.25</v>
      </c>
      <c r="Q138" s="9" t="s">
        <v>8</v>
      </c>
    </row>
    <row r="139" spans="1:18">
      <c r="A139" s="13">
        <v>3006</v>
      </c>
      <c r="B139" s="6" t="s">
        <v>20</v>
      </c>
      <c r="D139" s="20"/>
      <c r="E139" s="6"/>
      <c r="F139" s="10">
        <v>113</v>
      </c>
      <c r="G139" s="10">
        <v>57</v>
      </c>
      <c r="H139" s="10">
        <v>44</v>
      </c>
      <c r="I139" s="10">
        <v>36</v>
      </c>
      <c r="J139" s="10">
        <v>36</v>
      </c>
      <c r="L139" s="12">
        <v>85</v>
      </c>
      <c r="M139" s="12">
        <v>42.5</v>
      </c>
      <c r="N139" s="10">
        <v>31.666666666666668</v>
      </c>
      <c r="O139" s="12">
        <v>26.25</v>
      </c>
      <c r="P139" s="12">
        <v>26.25</v>
      </c>
      <c r="Q139" s="9" t="s">
        <v>8</v>
      </c>
    </row>
    <row r="140" spans="1:18">
      <c r="A140" s="14">
        <v>3007</v>
      </c>
      <c r="B140" s="6" t="s">
        <v>21</v>
      </c>
      <c r="D140" s="20"/>
      <c r="E140" s="6"/>
      <c r="F140" s="10">
        <v>169</v>
      </c>
      <c r="G140" s="10">
        <v>85</v>
      </c>
      <c r="H140" s="10">
        <v>63</v>
      </c>
      <c r="I140" s="10">
        <v>50</v>
      </c>
      <c r="J140" s="10">
        <v>50</v>
      </c>
      <c r="L140" s="12">
        <v>120</v>
      </c>
      <c r="M140" s="12">
        <v>60</v>
      </c>
      <c r="N140" s="10">
        <v>43.333333333333336</v>
      </c>
      <c r="O140" s="12">
        <v>35</v>
      </c>
      <c r="P140" s="12">
        <v>35</v>
      </c>
      <c r="Q140" s="9" t="s">
        <v>8</v>
      </c>
    </row>
    <row r="141" spans="1:18">
      <c r="A141" s="14">
        <v>3008</v>
      </c>
      <c r="B141" s="6" t="s">
        <v>22</v>
      </c>
      <c r="D141" s="20"/>
      <c r="E141" s="6"/>
      <c r="F141" s="10">
        <v>210</v>
      </c>
      <c r="G141" s="10">
        <v>105</v>
      </c>
      <c r="H141" s="10">
        <v>76</v>
      </c>
      <c r="I141" s="10">
        <v>60</v>
      </c>
      <c r="J141" s="10">
        <v>60</v>
      </c>
      <c r="L141" s="12">
        <v>145</v>
      </c>
      <c r="M141" s="12">
        <v>72.5</v>
      </c>
      <c r="N141" s="10">
        <v>51.666666666666664</v>
      </c>
      <c r="O141" s="12">
        <v>41.25</v>
      </c>
      <c r="P141" s="12">
        <v>41.25</v>
      </c>
      <c r="Q141" s="9" t="s">
        <v>8</v>
      </c>
    </row>
    <row r="142" spans="1:18">
      <c r="A142" s="14">
        <v>3009</v>
      </c>
      <c r="B142" s="6" t="s">
        <v>23</v>
      </c>
      <c r="D142" s="20"/>
      <c r="E142" s="6" t="s">
        <v>24</v>
      </c>
      <c r="F142" s="10">
        <v>70</v>
      </c>
      <c r="G142" s="10">
        <v>35</v>
      </c>
      <c r="H142" s="10">
        <v>28</v>
      </c>
      <c r="I142" s="11">
        <v>24.5</v>
      </c>
      <c r="J142" s="11">
        <v>24.5</v>
      </c>
      <c r="L142" s="12">
        <v>50</v>
      </c>
      <c r="M142" s="12">
        <v>25</v>
      </c>
      <c r="N142" s="10">
        <v>20</v>
      </c>
      <c r="O142" s="12">
        <v>17.5</v>
      </c>
      <c r="P142" s="12">
        <v>17.5</v>
      </c>
      <c r="Q142" s="9" t="s">
        <v>8</v>
      </c>
      <c r="R142" s="16" t="s">
        <v>29</v>
      </c>
    </row>
    <row r="143" spans="1:18" ht="15.75">
      <c r="B143" t="s">
        <v>166</v>
      </c>
      <c r="D143" s="20"/>
      <c r="F143" s="112">
        <v>119</v>
      </c>
      <c r="G143" s="112">
        <v>60</v>
      </c>
      <c r="H143" s="113">
        <v>46</v>
      </c>
      <c r="I143" s="113">
        <v>37.25</v>
      </c>
      <c r="J143" s="19">
        <f t="shared" ref="J143" si="40">I143</f>
        <v>37.25</v>
      </c>
      <c r="K143" s="12"/>
      <c r="L143" s="12">
        <v>75</v>
      </c>
      <c r="M143" s="12">
        <f>75/2</f>
        <v>37.5</v>
      </c>
      <c r="N143" s="18">
        <f>85/3</f>
        <v>28.333333333333332</v>
      </c>
      <c r="O143" s="12">
        <f>95/4</f>
        <v>23.75</v>
      </c>
      <c r="P143" s="12">
        <f>O143</f>
        <v>23.75</v>
      </c>
    </row>
    <row r="145" spans="1:16" ht="28.5">
      <c r="D145" s="125">
        <v>233</v>
      </c>
    </row>
    <row r="146" spans="1:16" ht="20.25" customHeight="1">
      <c r="B146" t="s">
        <v>169</v>
      </c>
      <c r="D146" s="125"/>
      <c r="F146" s="25">
        <f>ROUNDUP(L146*1.4,0)</f>
        <v>138</v>
      </c>
      <c r="G146" s="25">
        <f t="shared" ref="G146:J149" si="41">ROUNDUP(M146*1.4,0)</f>
        <v>69</v>
      </c>
      <c r="H146" s="25">
        <f>ROUNDUP(N146*1.4,0)</f>
        <v>63</v>
      </c>
      <c r="I146" s="25">
        <f>ROUNDUP(O146*1.4,0)</f>
        <v>59</v>
      </c>
      <c r="J146" s="25">
        <f t="shared" si="41"/>
        <v>59</v>
      </c>
      <c r="L146" s="25">
        <v>98</v>
      </c>
      <c r="M146" s="25">
        <f>L146/2</f>
        <v>49</v>
      </c>
      <c r="N146" s="25">
        <f>(98+35)/3</f>
        <v>44.333333333333336</v>
      </c>
      <c r="O146" s="25">
        <f>(98+35*2)/4</f>
        <v>42</v>
      </c>
      <c r="P146" s="25">
        <f>O146</f>
        <v>42</v>
      </c>
    </row>
    <row r="147" spans="1:16" s="16" customFormat="1" ht="20.25" customHeight="1">
      <c r="B147" s="16" t="s">
        <v>172</v>
      </c>
      <c r="D147" s="125"/>
      <c r="F147" s="25">
        <f>ROUNDUP(L147*1.4,0)</f>
        <v>138</v>
      </c>
      <c r="G147" s="25">
        <f t="shared" ref="G147" si="42">ROUNDUP(M147*1.4,0)</f>
        <v>69</v>
      </c>
      <c r="H147" s="25">
        <f>ROUNDUP(N147*1.4,0)</f>
        <v>63</v>
      </c>
      <c r="I147" s="25">
        <f>ROUNDUP(O147*1.4,0)</f>
        <v>59</v>
      </c>
      <c r="J147" s="25">
        <f t="shared" ref="J147" si="43">ROUNDUP(P147*1.4,0)</f>
        <v>59</v>
      </c>
      <c r="L147" s="25">
        <v>98</v>
      </c>
      <c r="M147" s="25">
        <f>L147/2</f>
        <v>49</v>
      </c>
      <c r="N147" s="25">
        <f>(98+35)/3</f>
        <v>44.333333333333336</v>
      </c>
      <c r="O147" s="25">
        <f>(98+35*2)/4</f>
        <v>42</v>
      </c>
      <c r="P147" s="25">
        <f>O147</f>
        <v>42</v>
      </c>
    </row>
    <row r="148" spans="1:16" ht="19.5" customHeight="1">
      <c r="B148" t="s">
        <v>170</v>
      </c>
      <c r="D148" s="125"/>
      <c r="F148" s="25">
        <f t="shared" ref="F148:F149" si="44">ROUNDUP(L148*1.4,0)</f>
        <v>119</v>
      </c>
      <c r="G148" s="25">
        <f t="shared" si="41"/>
        <v>60</v>
      </c>
      <c r="H148" s="25">
        <f t="shared" si="41"/>
        <v>49</v>
      </c>
      <c r="I148" s="25">
        <f t="shared" si="41"/>
        <v>44</v>
      </c>
      <c r="J148" s="25">
        <f t="shared" si="41"/>
        <v>44</v>
      </c>
      <c r="L148" s="25">
        <v>85</v>
      </c>
      <c r="M148" s="25">
        <f t="shared" ref="M148:M149" si="45">L148/2</f>
        <v>42.5</v>
      </c>
      <c r="N148" s="25">
        <f>(85+20)/3</f>
        <v>35</v>
      </c>
      <c r="O148" s="25">
        <f>(85+20*2)/4</f>
        <v>31.25</v>
      </c>
      <c r="P148" s="25">
        <f>O148</f>
        <v>31.25</v>
      </c>
    </row>
    <row r="149" spans="1:16" ht="28.5">
      <c r="B149" t="s">
        <v>171</v>
      </c>
      <c r="D149" s="125"/>
      <c r="F149" s="25">
        <f t="shared" si="44"/>
        <v>119</v>
      </c>
      <c r="G149" s="25">
        <f t="shared" si="41"/>
        <v>60</v>
      </c>
      <c r="H149" s="25">
        <f t="shared" si="41"/>
        <v>49</v>
      </c>
      <c r="I149" s="25">
        <f t="shared" si="41"/>
        <v>44</v>
      </c>
      <c r="J149" s="25">
        <f t="shared" si="41"/>
        <v>44</v>
      </c>
      <c r="L149" s="25">
        <v>85</v>
      </c>
      <c r="M149" s="25">
        <f t="shared" si="45"/>
        <v>42.5</v>
      </c>
      <c r="N149" s="25">
        <f>(85+20)/3</f>
        <v>35</v>
      </c>
      <c r="O149" s="25">
        <f>(85+20*2)/4</f>
        <v>31.25</v>
      </c>
      <c r="P149" s="25">
        <f>O149</f>
        <v>31.25</v>
      </c>
    </row>
    <row r="151" spans="1:16" ht="28.5">
      <c r="D151" s="192">
        <v>246</v>
      </c>
    </row>
    <row r="152" spans="1:16" ht="15.75">
      <c r="B152" t="s">
        <v>181</v>
      </c>
      <c r="C152" s="16" t="s">
        <v>182</v>
      </c>
      <c r="D152" s="193"/>
      <c r="E152" t="s">
        <v>183</v>
      </c>
      <c r="F152" s="206">
        <v>140</v>
      </c>
      <c r="G152" s="206">
        <v>70</v>
      </c>
      <c r="H152" s="207">
        <v>53</v>
      </c>
      <c r="I152" s="207">
        <v>42.5</v>
      </c>
      <c r="J152" s="208">
        <f t="shared" ref="J152:J154" si="46">I152</f>
        <v>42.5</v>
      </c>
      <c r="L152" s="209">
        <v>85</v>
      </c>
      <c r="M152" s="209">
        <f>L152/2</f>
        <v>42.5</v>
      </c>
      <c r="N152" s="209">
        <f>L152/3</f>
        <v>28.333333333333332</v>
      </c>
      <c r="O152" s="209">
        <f>L152/4</f>
        <v>21.25</v>
      </c>
      <c r="P152" s="209">
        <f>N152</f>
        <v>28.333333333333332</v>
      </c>
    </row>
    <row r="153" spans="1:16" ht="15.75">
      <c r="E153" t="s">
        <v>184</v>
      </c>
      <c r="F153" s="206">
        <v>140</v>
      </c>
      <c r="G153" s="206">
        <v>70</v>
      </c>
      <c r="H153" s="207">
        <v>53</v>
      </c>
      <c r="I153" s="207">
        <v>42.5</v>
      </c>
      <c r="J153" s="208">
        <f t="shared" si="46"/>
        <v>42.5</v>
      </c>
      <c r="L153" s="209">
        <v>95</v>
      </c>
      <c r="M153" s="209">
        <f>L153/2</f>
        <v>47.5</v>
      </c>
      <c r="N153" s="209">
        <f>L153/3</f>
        <v>31.666666666666668</v>
      </c>
      <c r="O153" s="209">
        <f>L153/4</f>
        <v>23.75</v>
      </c>
      <c r="P153" s="209">
        <f>N153</f>
        <v>31.666666666666668</v>
      </c>
    </row>
    <row r="154" spans="1:16" ht="15.75">
      <c r="E154" t="s">
        <v>185</v>
      </c>
      <c r="F154" s="206">
        <v>140</v>
      </c>
      <c r="G154" s="206">
        <v>70</v>
      </c>
      <c r="H154" s="207">
        <v>53</v>
      </c>
      <c r="I154" s="207">
        <v>42.5</v>
      </c>
      <c r="J154" s="208">
        <f t="shared" si="46"/>
        <v>42.5</v>
      </c>
      <c r="L154" s="209">
        <v>76</v>
      </c>
      <c r="M154" s="209">
        <f>L154/2</f>
        <v>38</v>
      </c>
      <c r="N154" s="209">
        <f>L154/3</f>
        <v>25.333333333333332</v>
      </c>
      <c r="O154" s="209">
        <f>L154/4</f>
        <v>19</v>
      </c>
      <c r="P154" s="209">
        <f>N154</f>
        <v>25.333333333333332</v>
      </c>
    </row>
    <row r="156" spans="1:16" ht="15.75">
      <c r="A156">
        <v>300</v>
      </c>
      <c r="B156" t="s">
        <v>194</v>
      </c>
      <c r="C156" s="16" t="s">
        <v>195</v>
      </c>
      <c r="D156" s="218">
        <v>213</v>
      </c>
      <c r="E156" t="s">
        <v>196</v>
      </c>
      <c r="F156" s="219">
        <v>109</v>
      </c>
      <c r="G156" s="219">
        <v>55</v>
      </c>
      <c r="H156" s="220">
        <v>40</v>
      </c>
      <c r="I156" s="220">
        <v>32</v>
      </c>
      <c r="J156" s="69">
        <v>10</v>
      </c>
      <c r="K156" s="69"/>
      <c r="L156" s="221">
        <v>78.319999999999993</v>
      </c>
      <c r="M156" s="69">
        <v>39.159999999999997</v>
      </c>
      <c r="N156" s="69">
        <v>26.11</v>
      </c>
      <c r="O156" s="69">
        <v>19.579999999999998</v>
      </c>
      <c r="P156" s="69"/>
    </row>
    <row r="157" spans="1:16">
      <c r="E157" s="20" t="s">
        <v>197</v>
      </c>
      <c r="F157" s="20">
        <f>F156+21</f>
        <v>130</v>
      </c>
      <c r="G157" s="20">
        <f>ROUNDUP(G156+21/2,0)</f>
        <v>66</v>
      </c>
      <c r="H157" s="20">
        <f>ROUNDUP(H156+21/3,0)</f>
        <v>47</v>
      </c>
      <c r="I157" s="20">
        <f>ROUNDUP(I156+21/4,0)</f>
        <v>38</v>
      </c>
      <c r="J157" s="20">
        <f>ROUNDUP(J156+21/3,0)</f>
        <v>17</v>
      </c>
      <c r="K157" s="20"/>
      <c r="L157" s="185">
        <f>L156+15</f>
        <v>93.32</v>
      </c>
      <c r="M157" s="20">
        <f>M156+15/2</f>
        <v>46.66</v>
      </c>
      <c r="N157" s="20">
        <f>N156+15/3</f>
        <v>31.11</v>
      </c>
      <c r="O157" s="20">
        <f>O156+15/4</f>
        <v>23.33</v>
      </c>
      <c r="P157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workbookViewId="0">
      <selection activeCell="R20" sqref="R20"/>
    </sheetView>
  </sheetViews>
  <sheetFormatPr defaultRowHeight="15"/>
  <cols>
    <col min="1" max="1" width="10.7109375" customWidth="1"/>
    <col min="2" max="2" width="35.5703125" customWidth="1"/>
    <col min="3" max="3" width="21.5703125" bestFit="1" customWidth="1"/>
    <col min="4" max="4" width="13.5703125" customWidth="1"/>
    <col min="5" max="5" width="23" customWidth="1"/>
  </cols>
  <sheetData>
    <row r="2" spans="1:17">
      <c r="F2" t="s">
        <v>226</v>
      </c>
      <c r="L2" t="s">
        <v>27</v>
      </c>
    </row>
    <row r="3" spans="1:17" ht="37.5">
      <c r="A3" s="12" t="s">
        <v>0</v>
      </c>
      <c r="B3" s="236" t="s">
        <v>1</v>
      </c>
      <c r="C3" s="235" t="s">
        <v>49</v>
      </c>
      <c r="D3" s="235" t="s">
        <v>28</v>
      </c>
      <c r="E3" s="237" t="s">
        <v>25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16"/>
      <c r="L3" s="8" t="s">
        <v>2</v>
      </c>
      <c r="M3" s="8" t="s">
        <v>3</v>
      </c>
      <c r="N3" s="8" t="s">
        <v>4</v>
      </c>
      <c r="O3" s="8" t="s">
        <v>5</v>
      </c>
      <c r="P3" s="8" t="s">
        <v>6</v>
      </c>
    </row>
    <row r="4" spans="1:17" ht="15.75">
      <c r="A4">
        <v>287</v>
      </c>
      <c r="B4" t="s">
        <v>211</v>
      </c>
      <c r="C4" s="243" t="s">
        <v>53</v>
      </c>
      <c r="D4" s="245">
        <v>217</v>
      </c>
      <c r="E4">
        <v>2014</v>
      </c>
      <c r="F4" s="241">
        <f t="shared" ref="F4" si="0">ROUNDUP(L4*1.4,0)</f>
        <v>112</v>
      </c>
      <c r="G4" s="241">
        <f t="shared" ref="G4" si="1">ROUNDUP(M4*1.4,0)</f>
        <v>56</v>
      </c>
      <c r="H4" s="241">
        <f t="shared" ref="H4" si="2">ROUNDUP(N4*1.4,0)</f>
        <v>42</v>
      </c>
      <c r="I4" s="241">
        <f t="shared" ref="I4" si="3">ROUNDUP(O4*1.4,0)</f>
        <v>35</v>
      </c>
      <c r="J4" s="241">
        <f t="shared" ref="J4" si="4">ROUNDUP(P4*1.4,0)</f>
        <v>42</v>
      </c>
      <c r="L4" s="239">
        <v>80</v>
      </c>
      <c r="M4" s="240">
        <f>80/2</f>
        <v>40</v>
      </c>
      <c r="N4" s="240">
        <f>90/3</f>
        <v>30</v>
      </c>
      <c r="O4" s="240">
        <f>100/4</f>
        <v>25</v>
      </c>
      <c r="P4" s="238">
        <f>N4</f>
        <v>30</v>
      </c>
      <c r="Q4" s="17" t="s">
        <v>8</v>
      </c>
    </row>
    <row r="5" spans="1:17">
      <c r="A5">
        <v>2887</v>
      </c>
      <c r="B5" t="s">
        <v>19</v>
      </c>
      <c r="C5" s="244"/>
      <c r="D5" s="246"/>
      <c r="E5">
        <v>2014</v>
      </c>
      <c r="F5" s="241">
        <f t="shared" ref="F5:F18" si="5">ROUNDUP(L5*1.4,0)</f>
        <v>140</v>
      </c>
      <c r="G5" s="241">
        <f t="shared" ref="G5:G18" si="6">ROUNDUP(M5*1.4,0)</f>
        <v>70</v>
      </c>
      <c r="H5" s="241">
        <f t="shared" ref="H5:H18" si="7">ROUNDUP(N5*1.4,0)</f>
        <v>49</v>
      </c>
      <c r="I5" s="241">
        <f t="shared" ref="I5:I18" si="8">ROUNDUP(O5*1.4,0)</f>
        <v>39</v>
      </c>
      <c r="J5" s="241">
        <f t="shared" ref="J5:J18" si="9">ROUNDUP(P5*1.4,0)</f>
        <v>49</v>
      </c>
      <c r="L5">
        <v>100</v>
      </c>
      <c r="M5">
        <f>100/2</f>
        <v>50</v>
      </c>
      <c r="N5">
        <f>105/3</f>
        <v>35</v>
      </c>
      <c r="O5">
        <f>110/4</f>
        <v>27.5</v>
      </c>
      <c r="P5" s="238">
        <f t="shared" ref="P5:P18" si="10">N5</f>
        <v>35</v>
      </c>
      <c r="Q5" s="17" t="s">
        <v>8</v>
      </c>
    </row>
    <row r="6" spans="1:17">
      <c r="A6">
        <v>2838</v>
      </c>
      <c r="B6" t="s">
        <v>212</v>
      </c>
      <c r="C6" s="244"/>
      <c r="D6" s="246"/>
      <c r="E6" t="s">
        <v>219</v>
      </c>
      <c r="F6" s="241">
        <f t="shared" si="5"/>
        <v>133</v>
      </c>
      <c r="G6" s="241">
        <f t="shared" si="6"/>
        <v>67</v>
      </c>
      <c r="H6" s="241">
        <f t="shared" si="7"/>
        <v>52</v>
      </c>
      <c r="I6" s="241">
        <f t="shared" si="8"/>
        <v>44</v>
      </c>
      <c r="J6" s="241">
        <f t="shared" si="9"/>
        <v>52</v>
      </c>
      <c r="L6">
        <v>95</v>
      </c>
      <c r="M6">
        <f>95/2</f>
        <v>47.5</v>
      </c>
      <c r="N6">
        <f>110/3</f>
        <v>36.666666666666664</v>
      </c>
      <c r="O6">
        <f>125/4</f>
        <v>31.25</v>
      </c>
      <c r="P6" s="238">
        <f t="shared" si="10"/>
        <v>36.666666666666664</v>
      </c>
      <c r="Q6" s="17" t="s">
        <v>74</v>
      </c>
    </row>
    <row r="7" spans="1:17">
      <c r="C7" s="244"/>
      <c r="D7" s="246"/>
      <c r="E7" t="s">
        <v>220</v>
      </c>
      <c r="F7" s="241">
        <f t="shared" si="5"/>
        <v>154</v>
      </c>
      <c r="G7" s="241">
        <f t="shared" si="6"/>
        <v>77</v>
      </c>
      <c r="H7" s="241">
        <f t="shared" si="7"/>
        <v>59</v>
      </c>
      <c r="I7" s="241">
        <f t="shared" si="8"/>
        <v>49</v>
      </c>
      <c r="J7" s="241">
        <f t="shared" si="9"/>
        <v>59</v>
      </c>
      <c r="L7">
        <v>110</v>
      </c>
      <c r="M7">
        <f>110/2</f>
        <v>55</v>
      </c>
      <c r="N7">
        <f>125/3</f>
        <v>41.666666666666664</v>
      </c>
      <c r="O7">
        <f>140/4</f>
        <v>35</v>
      </c>
      <c r="P7" s="238">
        <f t="shared" si="10"/>
        <v>41.666666666666664</v>
      </c>
      <c r="Q7" s="17" t="s">
        <v>74</v>
      </c>
    </row>
    <row r="8" spans="1:17">
      <c r="A8">
        <v>386</v>
      </c>
      <c r="B8" t="s">
        <v>213</v>
      </c>
      <c r="C8" s="244"/>
      <c r="D8" s="246"/>
      <c r="E8">
        <v>2014</v>
      </c>
      <c r="F8" s="241">
        <f t="shared" si="5"/>
        <v>91</v>
      </c>
      <c r="G8" s="241">
        <f t="shared" si="6"/>
        <v>46</v>
      </c>
      <c r="H8" s="241">
        <f t="shared" si="7"/>
        <v>33</v>
      </c>
      <c r="I8" s="241">
        <f t="shared" si="8"/>
        <v>27</v>
      </c>
      <c r="J8" s="241">
        <f t="shared" si="9"/>
        <v>33</v>
      </c>
      <c r="L8">
        <v>65</v>
      </c>
      <c r="M8">
        <f>65/2</f>
        <v>32.5</v>
      </c>
      <c r="N8">
        <f>70/3</f>
        <v>23.333333333333332</v>
      </c>
      <c r="O8">
        <f>75/4</f>
        <v>18.75</v>
      </c>
      <c r="P8" s="238">
        <f t="shared" si="10"/>
        <v>23.333333333333332</v>
      </c>
      <c r="Q8" s="17" t="s">
        <v>74</v>
      </c>
    </row>
    <row r="9" spans="1:17">
      <c r="A9">
        <v>389</v>
      </c>
      <c r="B9" t="s">
        <v>155</v>
      </c>
      <c r="C9" s="244"/>
      <c r="D9" s="246"/>
      <c r="E9">
        <v>2014</v>
      </c>
      <c r="F9" s="241">
        <f t="shared" si="5"/>
        <v>119</v>
      </c>
      <c r="G9" s="241">
        <f t="shared" si="6"/>
        <v>60</v>
      </c>
      <c r="H9" s="241">
        <f t="shared" si="7"/>
        <v>45</v>
      </c>
      <c r="I9" s="241">
        <f t="shared" si="8"/>
        <v>37</v>
      </c>
      <c r="J9" s="241">
        <f t="shared" si="9"/>
        <v>45</v>
      </c>
      <c r="L9">
        <v>85</v>
      </c>
      <c r="M9">
        <f>85/2</f>
        <v>42.5</v>
      </c>
      <c r="N9">
        <f>95/3</f>
        <v>31.666666666666668</v>
      </c>
      <c r="O9">
        <f>105/4</f>
        <v>26.25</v>
      </c>
      <c r="P9" s="238">
        <f t="shared" si="10"/>
        <v>31.666666666666668</v>
      </c>
      <c r="Q9" s="17" t="s">
        <v>74</v>
      </c>
    </row>
    <row r="10" spans="1:17">
      <c r="A10">
        <v>1663</v>
      </c>
      <c r="B10" t="s">
        <v>214</v>
      </c>
      <c r="C10" s="244"/>
      <c r="D10" s="246"/>
      <c r="E10">
        <v>2014</v>
      </c>
      <c r="F10" s="241">
        <f t="shared" si="5"/>
        <v>119</v>
      </c>
      <c r="G10" s="241">
        <f t="shared" si="6"/>
        <v>60</v>
      </c>
      <c r="H10" s="241">
        <f t="shared" si="7"/>
        <v>45</v>
      </c>
      <c r="I10" s="241">
        <f t="shared" si="8"/>
        <v>37</v>
      </c>
      <c r="J10" s="241">
        <f t="shared" si="9"/>
        <v>45</v>
      </c>
      <c r="L10">
        <v>85</v>
      </c>
      <c r="M10">
        <f>85/2</f>
        <v>42.5</v>
      </c>
      <c r="N10">
        <f>95/3</f>
        <v>31.666666666666668</v>
      </c>
      <c r="O10">
        <f>105/4</f>
        <v>26.25</v>
      </c>
      <c r="P10" s="238">
        <f t="shared" si="10"/>
        <v>31.666666666666668</v>
      </c>
      <c r="Q10" s="17" t="s">
        <v>74</v>
      </c>
    </row>
    <row r="11" spans="1:17">
      <c r="A11">
        <v>455</v>
      </c>
      <c r="B11" t="s">
        <v>14</v>
      </c>
      <c r="C11" s="244"/>
      <c r="D11" s="246"/>
      <c r="E11">
        <v>2014</v>
      </c>
      <c r="F11" s="241">
        <f t="shared" si="5"/>
        <v>119</v>
      </c>
      <c r="G11" s="241">
        <f t="shared" si="6"/>
        <v>60</v>
      </c>
      <c r="H11" s="241">
        <f t="shared" si="7"/>
        <v>45</v>
      </c>
      <c r="I11" s="241">
        <f t="shared" si="8"/>
        <v>37</v>
      </c>
      <c r="J11" s="241">
        <f t="shared" si="9"/>
        <v>45</v>
      </c>
      <c r="L11">
        <v>85</v>
      </c>
      <c r="M11">
        <f>85/2</f>
        <v>42.5</v>
      </c>
      <c r="N11">
        <f>95/3</f>
        <v>31.666666666666668</v>
      </c>
      <c r="O11">
        <f>105/4</f>
        <v>26.25</v>
      </c>
      <c r="P11" s="238">
        <f t="shared" si="10"/>
        <v>31.666666666666668</v>
      </c>
      <c r="Q11" s="17" t="s">
        <v>74</v>
      </c>
    </row>
    <row r="12" spans="1:17">
      <c r="A12">
        <v>2489</v>
      </c>
      <c r="B12" t="s">
        <v>36</v>
      </c>
      <c r="C12" s="244"/>
      <c r="D12" s="246"/>
      <c r="E12">
        <v>2014</v>
      </c>
      <c r="F12" s="241">
        <f t="shared" si="5"/>
        <v>210</v>
      </c>
      <c r="G12" s="241">
        <f t="shared" si="6"/>
        <v>105</v>
      </c>
      <c r="H12" s="241">
        <f t="shared" si="7"/>
        <v>84</v>
      </c>
      <c r="I12" s="241">
        <f t="shared" si="8"/>
        <v>74</v>
      </c>
      <c r="J12" s="241">
        <f t="shared" si="9"/>
        <v>84</v>
      </c>
      <c r="L12">
        <v>150</v>
      </c>
      <c r="M12">
        <f>150/2</f>
        <v>75</v>
      </c>
      <c r="N12">
        <f>180/3</f>
        <v>60</v>
      </c>
      <c r="O12">
        <f>210/4</f>
        <v>52.5</v>
      </c>
      <c r="P12" s="238">
        <f t="shared" si="10"/>
        <v>60</v>
      </c>
      <c r="Q12" s="17" t="s">
        <v>74</v>
      </c>
    </row>
    <row r="13" spans="1:17">
      <c r="A13">
        <v>387</v>
      </c>
      <c r="B13" t="s">
        <v>215</v>
      </c>
      <c r="C13" s="244"/>
      <c r="D13" s="246"/>
      <c r="E13">
        <v>2014</v>
      </c>
      <c r="F13" s="241">
        <f t="shared" si="5"/>
        <v>133</v>
      </c>
      <c r="G13" s="241">
        <f t="shared" si="6"/>
        <v>67</v>
      </c>
      <c r="H13" s="241">
        <f t="shared" si="7"/>
        <v>47</v>
      </c>
      <c r="I13" s="241">
        <f t="shared" si="8"/>
        <v>37</v>
      </c>
      <c r="J13" s="241">
        <f t="shared" si="9"/>
        <v>47</v>
      </c>
      <c r="L13">
        <v>95</v>
      </c>
      <c r="M13">
        <f>95/2</f>
        <v>47.5</v>
      </c>
      <c r="N13">
        <f>100/3</f>
        <v>33.333333333333336</v>
      </c>
      <c r="O13">
        <f>105/4</f>
        <v>26.25</v>
      </c>
      <c r="P13" s="238">
        <f t="shared" si="10"/>
        <v>33.333333333333336</v>
      </c>
      <c r="Q13" s="17" t="s">
        <v>74</v>
      </c>
    </row>
    <row r="14" spans="1:17">
      <c r="A14">
        <v>2965</v>
      </c>
      <c r="B14" t="s">
        <v>154</v>
      </c>
      <c r="C14" s="244"/>
      <c r="D14" s="246"/>
      <c r="E14">
        <v>2014</v>
      </c>
      <c r="F14" s="241">
        <f t="shared" si="5"/>
        <v>154</v>
      </c>
      <c r="G14" s="241">
        <f t="shared" si="6"/>
        <v>77</v>
      </c>
      <c r="H14" s="241">
        <f t="shared" si="7"/>
        <v>59</v>
      </c>
      <c r="I14" s="241">
        <f t="shared" si="8"/>
        <v>49</v>
      </c>
      <c r="J14" s="241">
        <f t="shared" si="9"/>
        <v>59</v>
      </c>
      <c r="L14">
        <f>110</f>
        <v>110</v>
      </c>
      <c r="M14">
        <f>110/2</f>
        <v>55</v>
      </c>
      <c r="N14">
        <f>125/3</f>
        <v>41.666666666666664</v>
      </c>
      <c r="O14">
        <f>140/4</f>
        <v>35</v>
      </c>
      <c r="P14" s="238">
        <f t="shared" si="10"/>
        <v>41.666666666666664</v>
      </c>
      <c r="Q14" s="17" t="s">
        <v>74</v>
      </c>
    </row>
    <row r="15" spans="1:17">
      <c r="A15">
        <v>3054</v>
      </c>
      <c r="B15" t="s">
        <v>216</v>
      </c>
      <c r="C15" s="244"/>
      <c r="D15" s="246"/>
      <c r="E15">
        <v>2014</v>
      </c>
      <c r="F15" s="241">
        <f t="shared" si="5"/>
        <v>126</v>
      </c>
      <c r="G15" s="241">
        <f t="shared" si="6"/>
        <v>63</v>
      </c>
      <c r="H15" s="241">
        <f t="shared" si="7"/>
        <v>49</v>
      </c>
      <c r="I15" s="241">
        <f t="shared" si="8"/>
        <v>42</v>
      </c>
      <c r="J15" s="241">
        <f t="shared" si="9"/>
        <v>49</v>
      </c>
      <c r="L15">
        <v>90</v>
      </c>
      <c r="M15">
        <f>90/2</f>
        <v>45</v>
      </c>
      <c r="N15">
        <f>105/3</f>
        <v>35</v>
      </c>
      <c r="O15">
        <f>120/4</f>
        <v>30</v>
      </c>
      <c r="P15" s="238">
        <f t="shared" si="10"/>
        <v>35</v>
      </c>
      <c r="Q15" s="17" t="s">
        <v>74</v>
      </c>
    </row>
    <row r="16" spans="1:17">
      <c r="A16">
        <v>3087</v>
      </c>
      <c r="B16" t="s">
        <v>217</v>
      </c>
      <c r="C16" s="244"/>
      <c r="D16" s="246"/>
      <c r="E16">
        <v>2014</v>
      </c>
      <c r="F16" s="241">
        <f t="shared" si="5"/>
        <v>196</v>
      </c>
      <c r="G16" s="241">
        <f t="shared" si="6"/>
        <v>98</v>
      </c>
      <c r="H16" s="241">
        <f t="shared" si="7"/>
        <v>77</v>
      </c>
      <c r="I16" s="241">
        <f t="shared" si="8"/>
        <v>67</v>
      </c>
      <c r="J16" s="241">
        <f t="shared" si="9"/>
        <v>77</v>
      </c>
      <c r="L16">
        <v>140</v>
      </c>
      <c r="M16">
        <f>140/2</f>
        <v>70</v>
      </c>
      <c r="N16">
        <f>165/3</f>
        <v>55</v>
      </c>
      <c r="O16">
        <f>190/4</f>
        <v>47.5</v>
      </c>
      <c r="P16" s="238">
        <f t="shared" si="10"/>
        <v>55</v>
      </c>
      <c r="Q16" s="17" t="s">
        <v>74</v>
      </c>
    </row>
    <row r="17" spans="1:24">
      <c r="A17">
        <v>2790</v>
      </c>
      <c r="B17" t="s">
        <v>218</v>
      </c>
      <c r="C17" t="s">
        <v>54</v>
      </c>
      <c r="D17" s="246"/>
      <c r="E17" t="s">
        <v>206</v>
      </c>
      <c r="F17" s="241">
        <f t="shared" si="5"/>
        <v>63</v>
      </c>
      <c r="G17" s="241">
        <f t="shared" si="6"/>
        <v>32</v>
      </c>
      <c r="H17" s="241">
        <f t="shared" si="7"/>
        <v>24</v>
      </c>
      <c r="I17" s="241">
        <f t="shared" si="8"/>
        <v>20</v>
      </c>
      <c r="J17" s="241">
        <f t="shared" si="9"/>
        <v>24</v>
      </c>
      <c r="L17">
        <v>45</v>
      </c>
      <c r="M17">
        <f>45/2</f>
        <v>22.5</v>
      </c>
      <c r="N17">
        <f>50/3</f>
        <v>16.666666666666668</v>
      </c>
      <c r="O17">
        <f>55/4</f>
        <v>13.75</v>
      </c>
      <c r="P17" s="238">
        <f t="shared" si="10"/>
        <v>16.666666666666668</v>
      </c>
      <c r="Q17" s="17" t="s">
        <v>74</v>
      </c>
    </row>
    <row r="18" spans="1:24">
      <c r="D18" s="246"/>
      <c r="E18" t="s">
        <v>221</v>
      </c>
      <c r="F18" s="241">
        <f t="shared" si="5"/>
        <v>119</v>
      </c>
      <c r="G18" s="241">
        <f t="shared" si="6"/>
        <v>60</v>
      </c>
      <c r="H18" s="241">
        <f t="shared" si="7"/>
        <v>42</v>
      </c>
      <c r="I18" s="241">
        <f t="shared" si="8"/>
        <v>34</v>
      </c>
      <c r="J18" s="241">
        <f t="shared" si="9"/>
        <v>42</v>
      </c>
      <c r="L18">
        <v>85</v>
      </c>
      <c r="M18">
        <f>85/2</f>
        <v>42.5</v>
      </c>
      <c r="N18">
        <f>90/3</f>
        <v>30</v>
      </c>
      <c r="O18">
        <f>95/4</f>
        <v>23.75</v>
      </c>
      <c r="P18" s="238">
        <f t="shared" si="10"/>
        <v>30</v>
      </c>
      <c r="Q18" s="17" t="s">
        <v>74</v>
      </c>
    </row>
    <row r="26" spans="1:24" s="241" customFormat="1" ht="18.75">
      <c r="B26" s="77" t="s">
        <v>71</v>
      </c>
      <c r="C26" s="108" t="s">
        <v>53</v>
      </c>
      <c r="D26" s="247">
        <v>207</v>
      </c>
      <c r="E26" s="17">
        <v>2014</v>
      </c>
      <c r="F26" s="211">
        <v>116</v>
      </c>
      <c r="G26" s="211">
        <v>58</v>
      </c>
      <c r="H26" s="212">
        <v>45</v>
      </c>
      <c r="I26" s="212">
        <v>36.5</v>
      </c>
      <c r="J26" s="213">
        <f t="shared" ref="J26:J27" si="11">I26</f>
        <v>36.5</v>
      </c>
      <c r="L26" s="214">
        <v>80</v>
      </c>
      <c r="M26" s="215">
        <f>80/2</f>
        <v>40</v>
      </c>
      <c r="N26" s="215">
        <f>90/3</f>
        <v>30</v>
      </c>
      <c r="O26" s="215">
        <f>100/4</f>
        <v>25</v>
      </c>
      <c r="P26" s="216">
        <f>O26</f>
        <v>25</v>
      </c>
    </row>
    <row r="27" spans="1:24" s="241" customFormat="1" ht="15.75">
      <c r="B27" s="241" t="s">
        <v>186</v>
      </c>
      <c r="C27" s="108" t="s">
        <v>53</v>
      </c>
      <c r="D27" s="247"/>
      <c r="E27" s="17">
        <v>2014</v>
      </c>
      <c r="F27" s="211">
        <v>116</v>
      </c>
      <c r="G27" s="211">
        <v>58</v>
      </c>
      <c r="H27" s="212">
        <v>45</v>
      </c>
      <c r="I27" s="212">
        <v>36.5</v>
      </c>
      <c r="J27" s="213">
        <f t="shared" si="11"/>
        <v>36.5</v>
      </c>
      <c r="L27" s="214">
        <v>80</v>
      </c>
      <c r="M27" s="215">
        <f>80/2</f>
        <v>40</v>
      </c>
      <c r="N27" s="215">
        <f>90/3</f>
        <v>30</v>
      </c>
      <c r="O27" s="215">
        <f>100/4</f>
        <v>25</v>
      </c>
      <c r="P27" s="216">
        <f>O27</f>
        <v>25</v>
      </c>
      <c r="R27" s="241" t="s">
        <v>93</v>
      </c>
      <c r="X27" s="241" t="s">
        <v>27</v>
      </c>
    </row>
    <row r="28" spans="1:24">
      <c r="A28">
        <v>2383</v>
      </c>
      <c r="B28" t="s">
        <v>222</v>
      </c>
      <c r="C28" t="s">
        <v>57</v>
      </c>
      <c r="D28" s="247"/>
      <c r="E28">
        <v>2014</v>
      </c>
      <c r="F28">
        <v>140</v>
      </c>
      <c r="G28">
        <v>70</v>
      </c>
      <c r="H28">
        <v>53</v>
      </c>
      <c r="I28">
        <v>43</v>
      </c>
      <c r="J28">
        <v>43</v>
      </c>
      <c r="L28">
        <v>100</v>
      </c>
      <c r="M28">
        <v>50</v>
      </c>
      <c r="N28">
        <v>36.67</v>
      </c>
      <c r="O28">
        <v>31.25</v>
      </c>
      <c r="P28">
        <v>31.25</v>
      </c>
    </row>
    <row r="35" spans="2:16" s="241" customFormat="1">
      <c r="B35" s="241" t="s">
        <v>187</v>
      </c>
      <c r="C35" s="200" t="s">
        <v>188</v>
      </c>
      <c r="D35" s="217">
        <v>212</v>
      </c>
      <c r="F35" s="241">
        <v>161</v>
      </c>
      <c r="G35" s="241">
        <v>81</v>
      </c>
      <c r="H35" s="241">
        <v>54</v>
      </c>
      <c r="I35" s="241" t="s">
        <v>193</v>
      </c>
      <c r="J35" s="241">
        <v>54</v>
      </c>
      <c r="L35" s="17">
        <v>113</v>
      </c>
      <c r="M35" s="241">
        <f>113/2</f>
        <v>56.5</v>
      </c>
      <c r="N35" s="241">
        <f>149/3</f>
        <v>49.666666666666664</v>
      </c>
      <c r="O35" s="241" t="s">
        <v>192</v>
      </c>
      <c r="P35" s="241">
        <f>N35</f>
        <v>49.666666666666664</v>
      </c>
    </row>
    <row r="36" spans="2:16" s="241" customFormat="1">
      <c r="B36" s="241" t="s">
        <v>189</v>
      </c>
      <c r="C36" s="200"/>
      <c r="D36" s="217">
        <v>212</v>
      </c>
      <c r="F36" s="241">
        <f t="shared" ref="F36:H38" si="12">ROUNDUP(L36*1.4,0)</f>
        <v>231</v>
      </c>
      <c r="G36" s="241">
        <f t="shared" si="12"/>
        <v>116</v>
      </c>
      <c r="H36" s="241">
        <f t="shared" si="12"/>
        <v>96</v>
      </c>
      <c r="I36" s="241" t="s">
        <v>193</v>
      </c>
      <c r="J36" s="241">
        <f t="shared" ref="J36:J38" si="13">ROUNDUP(P36*1.4,0)</f>
        <v>96</v>
      </c>
      <c r="L36" s="17">
        <v>165</v>
      </c>
      <c r="M36" s="241">
        <f>165/2</f>
        <v>82.5</v>
      </c>
      <c r="N36" s="241">
        <f>204/3</f>
        <v>68</v>
      </c>
      <c r="O36" s="241" t="s">
        <v>192</v>
      </c>
      <c r="P36" s="241">
        <f>N36</f>
        <v>68</v>
      </c>
    </row>
    <row r="37" spans="2:16" s="241" customFormat="1">
      <c r="B37" s="241" t="s">
        <v>190</v>
      </c>
      <c r="C37" s="200"/>
      <c r="D37" s="217">
        <v>212</v>
      </c>
      <c r="F37" s="241">
        <f t="shared" si="12"/>
        <v>325</v>
      </c>
      <c r="G37" s="241">
        <f t="shared" si="12"/>
        <v>163</v>
      </c>
      <c r="H37" s="241">
        <f t="shared" si="12"/>
        <v>135</v>
      </c>
      <c r="I37" s="241" t="s">
        <v>193</v>
      </c>
      <c r="J37" s="241">
        <f t="shared" si="13"/>
        <v>135</v>
      </c>
      <c r="L37" s="17">
        <v>232</v>
      </c>
      <c r="M37" s="241">
        <f>232/2</f>
        <v>116</v>
      </c>
      <c r="N37" s="241">
        <f>289/3</f>
        <v>96.333333333333329</v>
      </c>
      <c r="O37" s="241" t="s">
        <v>192</v>
      </c>
      <c r="P37" s="241">
        <f>N37</f>
        <v>96.333333333333329</v>
      </c>
    </row>
    <row r="38" spans="2:16" s="241" customFormat="1">
      <c r="B38" s="241" t="s">
        <v>191</v>
      </c>
      <c r="C38" s="200"/>
      <c r="D38" s="217">
        <v>212</v>
      </c>
      <c r="F38" s="241">
        <f t="shared" si="12"/>
        <v>357</v>
      </c>
      <c r="G38" s="241">
        <f t="shared" si="12"/>
        <v>179</v>
      </c>
      <c r="H38" s="241">
        <f t="shared" si="12"/>
        <v>149</v>
      </c>
      <c r="I38" s="241" t="s">
        <v>193</v>
      </c>
      <c r="J38" s="241">
        <f t="shared" si="13"/>
        <v>149</v>
      </c>
      <c r="L38" s="17">
        <v>255</v>
      </c>
      <c r="M38" s="241">
        <f>255/2</f>
        <v>127.5</v>
      </c>
      <c r="N38" s="241">
        <f>318/3</f>
        <v>106</v>
      </c>
      <c r="O38" s="241" t="s">
        <v>192</v>
      </c>
      <c r="P38" s="241">
        <f>N38</f>
        <v>106</v>
      </c>
    </row>
    <row r="44" spans="2:16" s="241" customFormat="1">
      <c r="B44" s="241" t="s">
        <v>173</v>
      </c>
      <c r="C44" s="200" t="s">
        <v>201</v>
      </c>
      <c r="D44" s="199">
        <v>245</v>
      </c>
      <c r="F44" s="241">
        <f t="shared" ref="F44:J47" si="14">ROUNDUP(L44*1.4,0)</f>
        <v>161</v>
      </c>
      <c r="G44" s="241">
        <f t="shared" si="14"/>
        <v>81</v>
      </c>
      <c r="H44" s="241">
        <f t="shared" si="14"/>
        <v>54</v>
      </c>
      <c r="I44" s="241">
        <f t="shared" si="14"/>
        <v>41</v>
      </c>
      <c r="J44" s="241">
        <f t="shared" si="14"/>
        <v>54</v>
      </c>
      <c r="L44" s="17">
        <v>115</v>
      </c>
      <c r="M44" s="241">
        <f t="shared" ref="M44" si="15">L44/2</f>
        <v>57.5</v>
      </c>
      <c r="N44" s="241">
        <f t="shared" ref="N44:N47" si="16">L44/3</f>
        <v>38.333333333333336</v>
      </c>
      <c r="O44" s="241">
        <f t="shared" ref="O44:O47" si="17">L44/4</f>
        <v>28.75</v>
      </c>
      <c r="P44" s="241">
        <f t="shared" ref="P44:P47" si="18">N44</f>
        <v>38.333333333333336</v>
      </c>
    </row>
    <row r="45" spans="2:16" s="241" customFormat="1">
      <c r="B45" s="69" t="s">
        <v>198</v>
      </c>
      <c r="C45" s="222" t="s">
        <v>201</v>
      </c>
      <c r="D45" s="223">
        <v>245</v>
      </c>
      <c r="E45" s="69"/>
      <c r="F45" s="69">
        <f t="shared" si="14"/>
        <v>231</v>
      </c>
      <c r="G45" s="69">
        <f t="shared" si="14"/>
        <v>116</v>
      </c>
      <c r="H45" s="69">
        <f t="shared" si="14"/>
        <v>77</v>
      </c>
      <c r="I45" s="69">
        <f t="shared" si="14"/>
        <v>58</v>
      </c>
      <c r="J45" s="69">
        <f t="shared" si="14"/>
        <v>77</v>
      </c>
      <c r="K45" s="69"/>
      <c r="L45" s="223">
        <v>165</v>
      </c>
      <c r="M45" s="69">
        <f>L45/2</f>
        <v>82.5</v>
      </c>
      <c r="N45" s="69">
        <f>L45/3</f>
        <v>55</v>
      </c>
      <c r="O45" s="69">
        <f t="shared" si="17"/>
        <v>41.25</v>
      </c>
      <c r="P45" s="69">
        <f t="shared" si="18"/>
        <v>55</v>
      </c>
    </row>
    <row r="46" spans="2:16" s="241" customFormat="1">
      <c r="B46" s="69" t="s">
        <v>199</v>
      </c>
      <c r="C46" s="222" t="s">
        <v>201</v>
      </c>
      <c r="D46" s="223">
        <v>245</v>
      </c>
      <c r="E46" s="69"/>
      <c r="F46" s="69">
        <f t="shared" si="14"/>
        <v>329</v>
      </c>
      <c r="G46" s="69">
        <f t="shared" si="14"/>
        <v>165</v>
      </c>
      <c r="H46" s="69">
        <f t="shared" si="14"/>
        <v>110</v>
      </c>
      <c r="I46" s="69">
        <f t="shared" si="14"/>
        <v>83</v>
      </c>
      <c r="J46" s="69">
        <f t="shared" si="14"/>
        <v>110</v>
      </c>
      <c r="K46" s="69"/>
      <c r="L46" s="223">
        <v>235</v>
      </c>
      <c r="M46" s="69">
        <f>L46/2</f>
        <v>117.5</v>
      </c>
      <c r="N46" s="69">
        <f>L46/3</f>
        <v>78.333333333333329</v>
      </c>
      <c r="O46" s="69">
        <f t="shared" si="17"/>
        <v>58.75</v>
      </c>
      <c r="P46" s="69">
        <f t="shared" si="18"/>
        <v>78.333333333333329</v>
      </c>
    </row>
    <row r="47" spans="2:16" s="241" customFormat="1">
      <c r="B47" s="69" t="s">
        <v>200</v>
      </c>
      <c r="C47" s="222" t="s">
        <v>201</v>
      </c>
      <c r="D47" s="223">
        <v>245</v>
      </c>
      <c r="E47" s="69"/>
      <c r="F47" s="69">
        <f t="shared" si="14"/>
        <v>373</v>
      </c>
      <c r="G47" s="69">
        <f t="shared" si="14"/>
        <v>187</v>
      </c>
      <c r="H47" s="69">
        <f t="shared" si="14"/>
        <v>125</v>
      </c>
      <c r="I47" s="69">
        <f t="shared" si="14"/>
        <v>94</v>
      </c>
      <c r="J47" s="69">
        <f t="shared" si="14"/>
        <v>125</v>
      </c>
      <c r="K47" s="69"/>
      <c r="L47" s="223">
        <v>266</v>
      </c>
      <c r="M47" s="69">
        <f>L47/2</f>
        <v>133</v>
      </c>
      <c r="N47" s="69">
        <f t="shared" si="16"/>
        <v>88.666666666666671</v>
      </c>
      <c r="O47" s="69">
        <f t="shared" si="17"/>
        <v>66.5</v>
      </c>
      <c r="P47" s="69">
        <f t="shared" si="18"/>
        <v>88.666666666666671</v>
      </c>
    </row>
  </sheetData>
  <mergeCells count="3">
    <mergeCell ref="C4:C16"/>
    <mergeCell ref="D4:D18"/>
    <mergeCell ref="D26:D2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58" workbookViewId="0">
      <selection activeCell="E85" sqref="E85:I93"/>
    </sheetView>
  </sheetViews>
  <sheetFormatPr defaultRowHeight="15"/>
  <cols>
    <col min="1" max="1" width="49.140625" customWidth="1"/>
    <col min="2" max="2" width="13.28515625" customWidth="1"/>
    <col min="3" max="3" width="20.85546875" customWidth="1"/>
    <col min="13" max="13" width="9.5703125" bestFit="1" customWidth="1"/>
  </cols>
  <sheetData>
    <row r="1" spans="1:15" s="16" customFormat="1">
      <c r="F1" s="20"/>
      <c r="G1" s="16" t="s">
        <v>158</v>
      </c>
    </row>
    <row r="2" spans="1:15" s="16" customFormat="1"/>
    <row r="3" spans="1:15">
      <c r="E3" s="16"/>
      <c r="F3" s="16"/>
      <c r="G3" s="16"/>
      <c r="H3" s="16"/>
      <c r="I3" s="16"/>
      <c r="J3" s="16"/>
      <c r="K3" s="16" t="s">
        <v>27</v>
      </c>
      <c r="L3" s="16"/>
      <c r="M3" s="16"/>
      <c r="N3" s="16"/>
      <c r="O3" s="16"/>
    </row>
    <row r="4" spans="1:15" ht="24">
      <c r="D4" t="s">
        <v>145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16"/>
      <c r="K4" s="8" t="s">
        <v>2</v>
      </c>
      <c r="L4" s="8" t="s">
        <v>3</v>
      </c>
      <c r="M4" s="8" t="s">
        <v>4</v>
      </c>
      <c r="N4" s="8" t="s">
        <v>5</v>
      </c>
      <c r="O4" s="8" t="s">
        <v>6</v>
      </c>
    </row>
    <row r="5" spans="1:15" s="16" customFormat="1">
      <c r="A5" s="169" t="s">
        <v>155</v>
      </c>
      <c r="B5" s="59" t="s">
        <v>53</v>
      </c>
      <c r="C5" s="16" t="s">
        <v>149</v>
      </c>
      <c r="D5" s="17">
        <v>1</v>
      </c>
      <c r="E5" s="150">
        <f>ROUNDUP(K5*1.8,0)</f>
        <v>36</v>
      </c>
      <c r="F5" s="150">
        <f t="shared" ref="F5" si="0">ROUNDUP(L5*1.8,0)</f>
        <v>18</v>
      </c>
      <c r="G5" s="150">
        <f t="shared" ref="G5" si="1">ROUNDUP(M5*1.8,0)</f>
        <v>12</v>
      </c>
      <c r="H5" s="150">
        <f t="shared" ref="H5" si="2">ROUNDUP(N5*1.8,0)</f>
        <v>9</v>
      </c>
      <c r="I5" s="150">
        <f t="shared" ref="I5" si="3">ROUNDUP(O5*1.8,0)</f>
        <v>9</v>
      </c>
      <c r="J5" s="150"/>
      <c r="K5" s="150">
        <v>20</v>
      </c>
      <c r="L5" s="150">
        <f>K5/2</f>
        <v>10</v>
      </c>
      <c r="M5" s="151">
        <f>K5/3</f>
        <v>6.666666666666667</v>
      </c>
      <c r="N5" s="150">
        <f>K5/4</f>
        <v>5</v>
      </c>
      <c r="O5" s="150">
        <f>N5</f>
        <v>5</v>
      </c>
    </row>
    <row r="6" spans="1:15" s="16" customFormat="1">
      <c r="A6" s="169"/>
      <c r="B6" s="59"/>
      <c r="D6" s="17">
        <v>2</v>
      </c>
      <c r="E6" s="150">
        <f>E5*2</f>
        <v>72</v>
      </c>
      <c r="F6" s="150">
        <f t="shared" ref="F6:I6" si="4">F5*2</f>
        <v>36</v>
      </c>
      <c r="G6" s="150">
        <f t="shared" si="4"/>
        <v>24</v>
      </c>
      <c r="H6" s="150">
        <f t="shared" si="4"/>
        <v>18</v>
      </c>
      <c r="I6" s="150">
        <f t="shared" si="4"/>
        <v>18</v>
      </c>
      <c r="J6" s="150"/>
      <c r="K6" s="150">
        <f>K5*2</f>
        <v>40</v>
      </c>
      <c r="L6" s="150">
        <f t="shared" ref="L6:O6" si="5">L5*2</f>
        <v>20</v>
      </c>
      <c r="M6" s="151">
        <f t="shared" si="5"/>
        <v>13.333333333333334</v>
      </c>
      <c r="N6" s="150">
        <f t="shared" si="5"/>
        <v>10</v>
      </c>
      <c r="O6" s="150">
        <f t="shared" si="5"/>
        <v>10</v>
      </c>
    </row>
    <row r="7" spans="1:15" s="16" customFormat="1">
      <c r="A7" s="169"/>
      <c r="B7" s="59"/>
      <c r="D7" s="17">
        <v>3</v>
      </c>
      <c r="E7" s="150">
        <f>E5*3</f>
        <v>108</v>
      </c>
      <c r="F7" s="150">
        <f t="shared" ref="F7:I7" si="6">F5*3</f>
        <v>54</v>
      </c>
      <c r="G7" s="150">
        <f t="shared" si="6"/>
        <v>36</v>
      </c>
      <c r="H7" s="150">
        <f t="shared" si="6"/>
        <v>27</v>
      </c>
      <c r="I7" s="150">
        <f t="shared" si="6"/>
        <v>27</v>
      </c>
      <c r="J7" s="150"/>
      <c r="K7" s="150">
        <f>K5*3</f>
        <v>60</v>
      </c>
      <c r="L7" s="150">
        <f t="shared" ref="L7:O7" si="7">L5*3</f>
        <v>30</v>
      </c>
      <c r="M7" s="151">
        <f t="shared" si="7"/>
        <v>20</v>
      </c>
      <c r="N7" s="150">
        <f t="shared" si="7"/>
        <v>15</v>
      </c>
      <c r="O7" s="150">
        <f t="shared" si="7"/>
        <v>15</v>
      </c>
    </row>
    <row r="8" spans="1:15" s="16" customFormat="1">
      <c r="A8" s="169"/>
      <c r="B8" s="59"/>
      <c r="D8" s="168">
        <v>4</v>
      </c>
      <c r="E8" s="150">
        <f>E5*4</f>
        <v>144</v>
      </c>
      <c r="F8" s="150">
        <f t="shared" ref="F8:I8" si="8">F5*4</f>
        <v>72</v>
      </c>
      <c r="G8" s="150">
        <f t="shared" si="8"/>
        <v>48</v>
      </c>
      <c r="H8" s="150">
        <f t="shared" si="8"/>
        <v>36</v>
      </c>
      <c r="I8" s="150">
        <f t="shared" si="8"/>
        <v>36</v>
      </c>
      <c r="J8" s="150"/>
      <c r="K8" s="150">
        <f>K5*4</f>
        <v>80</v>
      </c>
      <c r="L8" s="150">
        <f t="shared" ref="L8:O8" si="9">L5*4</f>
        <v>40</v>
      </c>
      <c r="M8" s="151">
        <f t="shared" si="9"/>
        <v>26.666666666666668</v>
      </c>
      <c r="N8" s="150">
        <f t="shared" si="9"/>
        <v>20</v>
      </c>
      <c r="O8" s="150">
        <f t="shared" si="9"/>
        <v>20</v>
      </c>
    </row>
    <row r="9" spans="1:15" s="16" customFormat="1">
      <c r="A9" s="169"/>
      <c r="B9" s="59"/>
      <c r="D9" s="168">
        <v>5</v>
      </c>
      <c r="E9" s="150">
        <f>E5*5</f>
        <v>180</v>
      </c>
      <c r="F9" s="150">
        <f t="shared" ref="F9:I9" si="10">F5*5</f>
        <v>90</v>
      </c>
      <c r="G9" s="150">
        <f t="shared" si="10"/>
        <v>60</v>
      </c>
      <c r="H9" s="150">
        <f t="shared" si="10"/>
        <v>45</v>
      </c>
      <c r="I9" s="150">
        <f t="shared" si="10"/>
        <v>45</v>
      </c>
      <c r="J9" s="150"/>
      <c r="K9" s="150">
        <f>K5*5</f>
        <v>100</v>
      </c>
      <c r="L9" s="150">
        <f t="shared" ref="L9:O9" si="11">L5*5</f>
        <v>50</v>
      </c>
      <c r="M9" s="151">
        <f t="shared" si="11"/>
        <v>33.333333333333336</v>
      </c>
      <c r="N9" s="150">
        <f t="shared" si="11"/>
        <v>25</v>
      </c>
      <c r="O9" s="150">
        <f t="shared" si="11"/>
        <v>25</v>
      </c>
    </row>
    <row r="10" spans="1:15" s="16" customFormat="1">
      <c r="A10" s="169"/>
      <c r="B10" s="59"/>
      <c r="D10" s="168">
        <v>6</v>
      </c>
      <c r="E10" s="150">
        <f>E5*6</f>
        <v>216</v>
      </c>
      <c r="F10" s="150">
        <f t="shared" ref="F10:I10" si="12">F5*6</f>
        <v>108</v>
      </c>
      <c r="G10" s="150">
        <f t="shared" si="12"/>
        <v>72</v>
      </c>
      <c r="H10" s="150">
        <f t="shared" si="12"/>
        <v>54</v>
      </c>
      <c r="I10" s="150">
        <f t="shared" si="12"/>
        <v>54</v>
      </c>
      <c r="J10" s="150"/>
      <c r="K10" s="150">
        <f>K5*6</f>
        <v>120</v>
      </c>
      <c r="L10" s="150">
        <f t="shared" ref="L10:O10" si="13">L5*6</f>
        <v>60</v>
      </c>
      <c r="M10" s="151">
        <f t="shared" si="13"/>
        <v>40</v>
      </c>
      <c r="N10" s="150">
        <f t="shared" si="13"/>
        <v>30</v>
      </c>
      <c r="O10" s="150">
        <f t="shared" si="13"/>
        <v>30</v>
      </c>
    </row>
    <row r="11" spans="1:15" s="16" customFormat="1">
      <c r="A11" s="169"/>
      <c r="B11" s="59"/>
      <c r="D11" s="168">
        <v>7</v>
      </c>
      <c r="E11" s="150">
        <f>E5*7</f>
        <v>252</v>
      </c>
      <c r="F11" s="150">
        <f t="shared" ref="F11:I11" si="14">F5*7</f>
        <v>126</v>
      </c>
      <c r="G11" s="150">
        <f t="shared" si="14"/>
        <v>84</v>
      </c>
      <c r="H11" s="150">
        <f t="shared" si="14"/>
        <v>63</v>
      </c>
      <c r="I11" s="150">
        <f t="shared" si="14"/>
        <v>63</v>
      </c>
      <c r="J11" s="150"/>
      <c r="K11" s="150">
        <f>K5*7</f>
        <v>140</v>
      </c>
      <c r="L11" s="150">
        <f t="shared" ref="L11:O11" si="15">L5*7</f>
        <v>70</v>
      </c>
      <c r="M11" s="151">
        <f t="shared" si="15"/>
        <v>46.666666666666671</v>
      </c>
      <c r="N11" s="150">
        <f t="shared" si="15"/>
        <v>35</v>
      </c>
      <c r="O11" s="150">
        <f t="shared" si="15"/>
        <v>35</v>
      </c>
    </row>
    <row r="12" spans="1:15" s="16" customFormat="1">
      <c r="A12" s="169"/>
      <c r="B12" s="59"/>
      <c r="D12" s="168">
        <v>8</v>
      </c>
      <c r="E12" s="150">
        <f>E5*8</f>
        <v>288</v>
      </c>
      <c r="F12" s="150">
        <f t="shared" ref="F12:I12" si="16">F5*8</f>
        <v>144</v>
      </c>
      <c r="G12" s="150">
        <f t="shared" si="16"/>
        <v>96</v>
      </c>
      <c r="H12" s="150">
        <f t="shared" si="16"/>
        <v>72</v>
      </c>
      <c r="I12" s="150">
        <f t="shared" si="16"/>
        <v>72</v>
      </c>
      <c r="J12" s="150"/>
      <c r="K12" s="150">
        <f>K5*8</f>
        <v>160</v>
      </c>
      <c r="L12" s="150">
        <f t="shared" ref="L12:O12" si="17">L5*8</f>
        <v>80</v>
      </c>
      <c r="M12" s="151">
        <f t="shared" si="17"/>
        <v>53.333333333333336</v>
      </c>
      <c r="N12" s="150">
        <f t="shared" si="17"/>
        <v>40</v>
      </c>
      <c r="O12" s="150">
        <f t="shared" si="17"/>
        <v>40</v>
      </c>
    </row>
    <row r="13" spans="1:15" s="16" customFormat="1">
      <c r="A13" s="169"/>
      <c r="B13" s="59"/>
      <c r="D13" s="168">
        <v>9</v>
      </c>
      <c r="E13" s="150">
        <f>E5*9</f>
        <v>324</v>
      </c>
      <c r="F13" s="150">
        <f t="shared" ref="F13:I13" si="18">F5*9</f>
        <v>162</v>
      </c>
      <c r="G13" s="150">
        <f t="shared" si="18"/>
        <v>108</v>
      </c>
      <c r="H13" s="150">
        <f t="shared" si="18"/>
        <v>81</v>
      </c>
      <c r="I13" s="150">
        <f t="shared" si="18"/>
        <v>81</v>
      </c>
      <c r="J13" s="150"/>
      <c r="K13" s="150">
        <f>K5*9</f>
        <v>180</v>
      </c>
      <c r="L13" s="150">
        <f t="shared" ref="L13:O13" si="19">L5*9</f>
        <v>90</v>
      </c>
      <c r="M13" s="151">
        <f t="shared" si="19"/>
        <v>60</v>
      </c>
      <c r="N13" s="150">
        <f t="shared" si="19"/>
        <v>45</v>
      </c>
      <c r="O13" s="150">
        <f t="shared" si="19"/>
        <v>45</v>
      </c>
    </row>
    <row r="14" spans="1:15" s="16" customFormat="1">
      <c r="E14" s="178"/>
      <c r="F14" s="178"/>
      <c r="G14" s="178"/>
      <c r="H14" s="178"/>
      <c r="I14" s="178"/>
      <c r="K14" s="178"/>
      <c r="L14" s="178"/>
      <c r="M14" s="178"/>
      <c r="N14" s="178"/>
      <c r="O14" s="178"/>
    </row>
    <row r="15" spans="1:15" s="16" customFormat="1">
      <c r="A15" s="169" t="s">
        <v>156</v>
      </c>
      <c r="B15" s="59" t="s">
        <v>53</v>
      </c>
      <c r="C15" s="16" t="s">
        <v>149</v>
      </c>
      <c r="D15" s="17">
        <v>1</v>
      </c>
      <c r="E15" s="150">
        <f>ROUNDUP(K15*1.8,0)</f>
        <v>36</v>
      </c>
      <c r="F15" s="150">
        <f t="shared" ref="F15" si="20">ROUNDUP(L15*1.8,0)</f>
        <v>18</v>
      </c>
      <c r="G15" s="150">
        <f t="shared" ref="G15" si="21">ROUNDUP(M15*1.8,0)</f>
        <v>12</v>
      </c>
      <c r="H15" s="150">
        <f t="shared" ref="H15" si="22">ROUNDUP(N15*1.8,0)</f>
        <v>9</v>
      </c>
      <c r="I15" s="150">
        <f t="shared" ref="I15" si="23">ROUNDUP(O15*1.8,0)</f>
        <v>9</v>
      </c>
      <c r="J15" s="150"/>
      <c r="K15" s="150">
        <v>20</v>
      </c>
      <c r="L15" s="150">
        <f>K15/2</f>
        <v>10</v>
      </c>
      <c r="M15" s="151">
        <f>K15/3</f>
        <v>6.666666666666667</v>
      </c>
      <c r="N15" s="150">
        <f>K15/4</f>
        <v>5</v>
      </c>
      <c r="O15" s="150">
        <f>N15</f>
        <v>5</v>
      </c>
    </row>
    <row r="16" spans="1:15" s="16" customFormat="1">
      <c r="A16" s="169"/>
      <c r="B16" s="59"/>
      <c r="D16" s="17">
        <v>2</v>
      </c>
      <c r="E16" s="150">
        <f>E15*2</f>
        <v>72</v>
      </c>
      <c r="F16" s="150">
        <f t="shared" ref="F16:I16" si="24">F15*2</f>
        <v>36</v>
      </c>
      <c r="G16" s="150">
        <f t="shared" si="24"/>
        <v>24</v>
      </c>
      <c r="H16" s="150">
        <f t="shared" si="24"/>
        <v>18</v>
      </c>
      <c r="I16" s="150">
        <f t="shared" si="24"/>
        <v>18</v>
      </c>
      <c r="J16" s="150"/>
      <c r="K16" s="150">
        <f>K15*2</f>
        <v>40</v>
      </c>
      <c r="L16" s="150">
        <f t="shared" ref="L16:O16" si="25">L15*2</f>
        <v>20</v>
      </c>
      <c r="M16" s="151">
        <f t="shared" si="25"/>
        <v>13.333333333333334</v>
      </c>
      <c r="N16" s="150">
        <f t="shared" si="25"/>
        <v>10</v>
      </c>
      <c r="O16" s="150">
        <f t="shared" si="25"/>
        <v>10</v>
      </c>
    </row>
    <row r="17" spans="1:15" s="16" customFormat="1">
      <c r="A17" s="169"/>
      <c r="B17" s="59"/>
      <c r="D17" s="17">
        <v>3</v>
      </c>
      <c r="E17" s="150">
        <f>E15*3</f>
        <v>108</v>
      </c>
      <c r="F17" s="150">
        <f t="shared" ref="F17:I17" si="26">F15*3</f>
        <v>54</v>
      </c>
      <c r="G17" s="150">
        <f t="shared" si="26"/>
        <v>36</v>
      </c>
      <c r="H17" s="150">
        <f t="shared" si="26"/>
        <v>27</v>
      </c>
      <c r="I17" s="150">
        <f t="shared" si="26"/>
        <v>27</v>
      </c>
      <c r="J17" s="150"/>
      <c r="K17" s="150">
        <f>K15*3</f>
        <v>60</v>
      </c>
      <c r="L17" s="150">
        <f t="shared" ref="L17:O17" si="27">L15*3</f>
        <v>30</v>
      </c>
      <c r="M17" s="151">
        <f t="shared" si="27"/>
        <v>20</v>
      </c>
      <c r="N17" s="150">
        <f t="shared" si="27"/>
        <v>15</v>
      </c>
      <c r="O17" s="150">
        <f t="shared" si="27"/>
        <v>15</v>
      </c>
    </row>
    <row r="18" spans="1:15" s="16" customFormat="1">
      <c r="A18" s="169"/>
      <c r="B18" s="59"/>
      <c r="D18" s="168">
        <v>4</v>
      </c>
      <c r="E18" s="150">
        <f>E15*4</f>
        <v>144</v>
      </c>
      <c r="F18" s="150">
        <f t="shared" ref="F18:I18" si="28">F15*4</f>
        <v>72</v>
      </c>
      <c r="G18" s="150">
        <f t="shared" si="28"/>
        <v>48</v>
      </c>
      <c r="H18" s="150">
        <f t="shared" si="28"/>
        <v>36</v>
      </c>
      <c r="I18" s="150">
        <f t="shared" si="28"/>
        <v>36</v>
      </c>
      <c r="J18" s="150"/>
      <c r="K18" s="150">
        <f>K15*4</f>
        <v>80</v>
      </c>
      <c r="L18" s="150">
        <f t="shared" ref="L18:O18" si="29">L15*4</f>
        <v>40</v>
      </c>
      <c r="M18" s="151">
        <f t="shared" si="29"/>
        <v>26.666666666666668</v>
      </c>
      <c r="N18" s="150">
        <f t="shared" si="29"/>
        <v>20</v>
      </c>
      <c r="O18" s="150">
        <f t="shared" si="29"/>
        <v>20</v>
      </c>
    </row>
    <row r="19" spans="1:15" s="16" customFormat="1">
      <c r="A19" s="169"/>
      <c r="B19" s="59"/>
      <c r="D19" s="168">
        <v>5</v>
      </c>
      <c r="E19" s="150">
        <f>E15*5</f>
        <v>180</v>
      </c>
      <c r="F19" s="150">
        <f t="shared" ref="F19:I19" si="30">F15*5</f>
        <v>90</v>
      </c>
      <c r="G19" s="150">
        <f t="shared" si="30"/>
        <v>60</v>
      </c>
      <c r="H19" s="150">
        <f t="shared" si="30"/>
        <v>45</v>
      </c>
      <c r="I19" s="150">
        <f t="shared" si="30"/>
        <v>45</v>
      </c>
      <c r="J19" s="150"/>
      <c r="K19" s="150">
        <f>K15*5</f>
        <v>100</v>
      </c>
      <c r="L19" s="150">
        <f t="shared" ref="L19:O19" si="31">L15*5</f>
        <v>50</v>
      </c>
      <c r="M19" s="151">
        <f t="shared" si="31"/>
        <v>33.333333333333336</v>
      </c>
      <c r="N19" s="150">
        <f t="shared" si="31"/>
        <v>25</v>
      </c>
      <c r="O19" s="150">
        <f t="shared" si="31"/>
        <v>25</v>
      </c>
    </row>
    <row r="20" spans="1:15" s="16" customFormat="1">
      <c r="A20" s="169"/>
      <c r="B20" s="59"/>
      <c r="D20" s="168">
        <v>6</v>
      </c>
      <c r="E20" s="150">
        <f>E15*6</f>
        <v>216</v>
      </c>
      <c r="F20" s="150">
        <f t="shared" ref="F20:I20" si="32">F15*6</f>
        <v>108</v>
      </c>
      <c r="G20" s="150">
        <f t="shared" si="32"/>
        <v>72</v>
      </c>
      <c r="H20" s="150">
        <f t="shared" si="32"/>
        <v>54</v>
      </c>
      <c r="I20" s="150">
        <f t="shared" si="32"/>
        <v>54</v>
      </c>
      <c r="J20" s="150"/>
      <c r="K20" s="150">
        <f>K15*6</f>
        <v>120</v>
      </c>
      <c r="L20" s="150">
        <f t="shared" ref="L20:O20" si="33">L15*6</f>
        <v>60</v>
      </c>
      <c r="M20" s="151">
        <f t="shared" si="33"/>
        <v>40</v>
      </c>
      <c r="N20" s="150">
        <f t="shared" si="33"/>
        <v>30</v>
      </c>
      <c r="O20" s="150">
        <f t="shared" si="33"/>
        <v>30</v>
      </c>
    </row>
    <row r="21" spans="1:15" s="16" customFormat="1">
      <c r="A21" s="169"/>
      <c r="B21" s="59"/>
      <c r="D21" s="168">
        <v>7</v>
      </c>
      <c r="E21" s="150">
        <f>E15*7</f>
        <v>252</v>
      </c>
      <c r="F21" s="150">
        <f t="shared" ref="F21:I21" si="34">F15*7</f>
        <v>126</v>
      </c>
      <c r="G21" s="150">
        <f t="shared" si="34"/>
        <v>84</v>
      </c>
      <c r="H21" s="150">
        <f t="shared" si="34"/>
        <v>63</v>
      </c>
      <c r="I21" s="150">
        <f t="shared" si="34"/>
        <v>63</v>
      </c>
      <c r="J21" s="150"/>
      <c r="K21" s="150">
        <f>K15*7</f>
        <v>140</v>
      </c>
      <c r="L21" s="150">
        <f t="shared" ref="L21:O21" si="35">L15*7</f>
        <v>70</v>
      </c>
      <c r="M21" s="151">
        <f t="shared" si="35"/>
        <v>46.666666666666671</v>
      </c>
      <c r="N21" s="150">
        <f t="shared" si="35"/>
        <v>35</v>
      </c>
      <c r="O21" s="150">
        <f t="shared" si="35"/>
        <v>35</v>
      </c>
    </row>
    <row r="22" spans="1:15" s="16" customFormat="1">
      <c r="A22" s="169"/>
      <c r="B22" s="59"/>
      <c r="D22" s="168">
        <v>8</v>
      </c>
      <c r="E22" s="150">
        <f>E15*8</f>
        <v>288</v>
      </c>
      <c r="F22" s="150">
        <f t="shared" ref="F22:I22" si="36">F15*8</f>
        <v>144</v>
      </c>
      <c r="G22" s="150">
        <f t="shared" si="36"/>
        <v>96</v>
      </c>
      <c r="H22" s="150">
        <f t="shared" si="36"/>
        <v>72</v>
      </c>
      <c r="I22" s="150">
        <f t="shared" si="36"/>
        <v>72</v>
      </c>
      <c r="J22" s="150"/>
      <c r="K22" s="150">
        <f>K15*8</f>
        <v>160</v>
      </c>
      <c r="L22" s="150">
        <f t="shared" ref="L22:O22" si="37">L15*8</f>
        <v>80</v>
      </c>
      <c r="M22" s="151">
        <f t="shared" si="37"/>
        <v>53.333333333333336</v>
      </c>
      <c r="N22" s="150">
        <f t="shared" si="37"/>
        <v>40</v>
      </c>
      <c r="O22" s="150">
        <f t="shared" si="37"/>
        <v>40</v>
      </c>
    </row>
    <row r="23" spans="1:15" s="16" customFormat="1">
      <c r="A23" s="169"/>
      <c r="B23" s="59"/>
      <c r="D23" s="168">
        <v>9</v>
      </c>
      <c r="E23" s="150">
        <f>E15*9</f>
        <v>324</v>
      </c>
      <c r="F23" s="150">
        <f t="shared" ref="F23:I23" si="38">F15*9</f>
        <v>162</v>
      </c>
      <c r="G23" s="150">
        <f t="shared" si="38"/>
        <v>108</v>
      </c>
      <c r="H23" s="150">
        <f t="shared" si="38"/>
        <v>81</v>
      </c>
      <c r="I23" s="150">
        <f t="shared" si="38"/>
        <v>81</v>
      </c>
      <c r="J23" s="150"/>
      <c r="K23" s="150">
        <f>K15*9</f>
        <v>180</v>
      </c>
      <c r="L23" s="150">
        <f t="shared" ref="L23:O23" si="39">L15*9</f>
        <v>90</v>
      </c>
      <c r="M23" s="151">
        <f t="shared" si="39"/>
        <v>60</v>
      </c>
      <c r="N23" s="150">
        <f t="shared" si="39"/>
        <v>45</v>
      </c>
      <c r="O23" s="150">
        <f t="shared" si="39"/>
        <v>45</v>
      </c>
    </row>
    <row r="24" spans="1:15" s="16" customFormat="1">
      <c r="E24" s="178"/>
      <c r="F24" s="178"/>
      <c r="G24" s="178"/>
      <c r="H24" s="178"/>
      <c r="I24" s="178"/>
      <c r="K24" s="178"/>
      <c r="L24" s="178"/>
      <c r="M24" s="178"/>
      <c r="N24" s="178"/>
      <c r="O24" s="178"/>
    </row>
    <row r="25" spans="1:15" s="16" customFormat="1">
      <c r="A25" s="169" t="s">
        <v>157</v>
      </c>
      <c r="B25" s="59" t="s">
        <v>53</v>
      </c>
      <c r="C25" s="16" t="s">
        <v>149</v>
      </c>
      <c r="D25" s="17">
        <v>1</v>
      </c>
      <c r="E25" s="150">
        <f>ROUNDUP(K25*1.8,0)</f>
        <v>36</v>
      </c>
      <c r="F25" s="150">
        <f t="shared" ref="F25" si="40">ROUNDUP(L25*1.8,0)</f>
        <v>18</v>
      </c>
      <c r="G25" s="150">
        <f t="shared" ref="G25" si="41">ROUNDUP(M25*1.8,0)</f>
        <v>12</v>
      </c>
      <c r="H25" s="150">
        <f t="shared" ref="H25" si="42">ROUNDUP(N25*1.8,0)</f>
        <v>9</v>
      </c>
      <c r="I25" s="150">
        <f t="shared" ref="I25" si="43">ROUNDUP(O25*1.8,0)</f>
        <v>9</v>
      </c>
      <c r="J25" s="150"/>
      <c r="K25" s="150">
        <v>20</v>
      </c>
      <c r="L25" s="150">
        <f>K25/2</f>
        <v>10</v>
      </c>
      <c r="M25" s="151">
        <f>K25/3</f>
        <v>6.666666666666667</v>
      </c>
      <c r="N25" s="150">
        <f>K25/4</f>
        <v>5</v>
      </c>
      <c r="O25" s="150">
        <f>N25</f>
        <v>5</v>
      </c>
    </row>
    <row r="26" spans="1:15" s="16" customFormat="1">
      <c r="A26" s="169"/>
      <c r="B26" s="59"/>
      <c r="D26" s="17">
        <v>2</v>
      </c>
      <c r="E26" s="150">
        <f>E25*2</f>
        <v>72</v>
      </c>
      <c r="F26" s="150">
        <f t="shared" ref="F26:I26" si="44">F25*2</f>
        <v>36</v>
      </c>
      <c r="G26" s="150">
        <f t="shared" si="44"/>
        <v>24</v>
      </c>
      <c r="H26" s="150">
        <f t="shared" si="44"/>
        <v>18</v>
      </c>
      <c r="I26" s="150">
        <f t="shared" si="44"/>
        <v>18</v>
      </c>
      <c r="J26" s="150"/>
      <c r="K26" s="150">
        <f>K25*2</f>
        <v>40</v>
      </c>
      <c r="L26" s="150">
        <f t="shared" ref="L26:O26" si="45">L25*2</f>
        <v>20</v>
      </c>
      <c r="M26" s="151">
        <f t="shared" si="45"/>
        <v>13.333333333333334</v>
      </c>
      <c r="N26" s="150">
        <f t="shared" si="45"/>
        <v>10</v>
      </c>
      <c r="O26" s="150">
        <f t="shared" si="45"/>
        <v>10</v>
      </c>
    </row>
    <row r="27" spans="1:15" s="16" customFormat="1">
      <c r="A27" s="169"/>
      <c r="B27" s="59"/>
      <c r="D27" s="17">
        <v>3</v>
      </c>
      <c r="E27" s="150">
        <f>E25*3</f>
        <v>108</v>
      </c>
      <c r="F27" s="150">
        <f t="shared" ref="F27:I27" si="46">F25*3</f>
        <v>54</v>
      </c>
      <c r="G27" s="150">
        <f t="shared" si="46"/>
        <v>36</v>
      </c>
      <c r="H27" s="150">
        <f t="shared" si="46"/>
        <v>27</v>
      </c>
      <c r="I27" s="150">
        <f t="shared" si="46"/>
        <v>27</v>
      </c>
      <c r="J27" s="150"/>
      <c r="K27" s="150">
        <f>K25*3</f>
        <v>60</v>
      </c>
      <c r="L27" s="150">
        <f t="shared" ref="L27:O27" si="47">L25*3</f>
        <v>30</v>
      </c>
      <c r="M27" s="151">
        <f t="shared" si="47"/>
        <v>20</v>
      </c>
      <c r="N27" s="150">
        <f t="shared" si="47"/>
        <v>15</v>
      </c>
      <c r="O27" s="150">
        <f t="shared" si="47"/>
        <v>15</v>
      </c>
    </row>
    <row r="28" spans="1:15" s="16" customFormat="1">
      <c r="A28" s="169"/>
      <c r="B28" s="59"/>
      <c r="D28" s="168">
        <v>4</v>
      </c>
      <c r="E28" s="150">
        <f>E25*4</f>
        <v>144</v>
      </c>
      <c r="F28" s="150">
        <f t="shared" ref="F28:I28" si="48">F25*4</f>
        <v>72</v>
      </c>
      <c r="G28" s="150">
        <f t="shared" si="48"/>
        <v>48</v>
      </c>
      <c r="H28" s="150">
        <f t="shared" si="48"/>
        <v>36</v>
      </c>
      <c r="I28" s="150">
        <f t="shared" si="48"/>
        <v>36</v>
      </c>
      <c r="J28" s="150"/>
      <c r="K28" s="150">
        <f>K25*4</f>
        <v>80</v>
      </c>
      <c r="L28" s="150">
        <f t="shared" ref="L28:O28" si="49">L25*4</f>
        <v>40</v>
      </c>
      <c r="M28" s="151">
        <f t="shared" si="49"/>
        <v>26.666666666666668</v>
      </c>
      <c r="N28" s="150">
        <f t="shared" si="49"/>
        <v>20</v>
      </c>
      <c r="O28" s="150">
        <f t="shared" si="49"/>
        <v>20</v>
      </c>
    </row>
    <row r="29" spans="1:15" s="16" customFormat="1">
      <c r="A29" s="169"/>
      <c r="B29" s="59"/>
      <c r="D29" s="168">
        <v>5</v>
      </c>
      <c r="E29" s="150">
        <f>E25*5</f>
        <v>180</v>
      </c>
      <c r="F29" s="150">
        <f t="shared" ref="F29:I29" si="50">F25*5</f>
        <v>90</v>
      </c>
      <c r="G29" s="150">
        <f t="shared" si="50"/>
        <v>60</v>
      </c>
      <c r="H29" s="150">
        <f t="shared" si="50"/>
        <v>45</v>
      </c>
      <c r="I29" s="150">
        <f t="shared" si="50"/>
        <v>45</v>
      </c>
      <c r="J29" s="150"/>
      <c r="K29" s="150">
        <f>K25*5</f>
        <v>100</v>
      </c>
      <c r="L29" s="150">
        <f t="shared" ref="L29:O29" si="51">L25*5</f>
        <v>50</v>
      </c>
      <c r="M29" s="151">
        <f t="shared" si="51"/>
        <v>33.333333333333336</v>
      </c>
      <c r="N29" s="150">
        <f t="shared" si="51"/>
        <v>25</v>
      </c>
      <c r="O29" s="150">
        <f t="shared" si="51"/>
        <v>25</v>
      </c>
    </row>
    <row r="30" spans="1:15" s="16" customFormat="1">
      <c r="A30" s="169"/>
      <c r="B30" s="59"/>
      <c r="D30" s="168">
        <v>6</v>
      </c>
      <c r="E30" s="150">
        <f>E25*6</f>
        <v>216</v>
      </c>
      <c r="F30" s="150">
        <f t="shared" ref="F30:I30" si="52">F25*6</f>
        <v>108</v>
      </c>
      <c r="G30" s="150">
        <f t="shared" si="52"/>
        <v>72</v>
      </c>
      <c r="H30" s="150">
        <f t="shared" si="52"/>
        <v>54</v>
      </c>
      <c r="I30" s="150">
        <f t="shared" si="52"/>
        <v>54</v>
      </c>
      <c r="J30" s="150"/>
      <c r="K30" s="150">
        <f>K25*6</f>
        <v>120</v>
      </c>
      <c r="L30" s="150">
        <f t="shared" ref="L30:O30" si="53">L25*6</f>
        <v>60</v>
      </c>
      <c r="M30" s="151">
        <f t="shared" si="53"/>
        <v>40</v>
      </c>
      <c r="N30" s="150">
        <f t="shared" si="53"/>
        <v>30</v>
      </c>
      <c r="O30" s="150">
        <f t="shared" si="53"/>
        <v>30</v>
      </c>
    </row>
    <row r="31" spans="1:15" s="16" customFormat="1">
      <c r="A31" s="169"/>
      <c r="B31" s="59"/>
      <c r="D31" s="168">
        <v>7</v>
      </c>
      <c r="E31" s="150">
        <f>E25*7</f>
        <v>252</v>
      </c>
      <c r="F31" s="150">
        <f t="shared" ref="F31:I31" si="54">F25*7</f>
        <v>126</v>
      </c>
      <c r="G31" s="150">
        <f t="shared" si="54"/>
        <v>84</v>
      </c>
      <c r="H31" s="150">
        <f t="shared" si="54"/>
        <v>63</v>
      </c>
      <c r="I31" s="150">
        <f t="shared" si="54"/>
        <v>63</v>
      </c>
      <c r="J31" s="150"/>
      <c r="K31" s="150">
        <f>K25*7</f>
        <v>140</v>
      </c>
      <c r="L31" s="150">
        <f t="shared" ref="L31:O31" si="55">L25*7</f>
        <v>70</v>
      </c>
      <c r="M31" s="151">
        <f t="shared" si="55"/>
        <v>46.666666666666671</v>
      </c>
      <c r="N31" s="150">
        <f t="shared" si="55"/>
        <v>35</v>
      </c>
      <c r="O31" s="150">
        <f t="shared" si="55"/>
        <v>35</v>
      </c>
    </row>
    <row r="32" spans="1:15" s="16" customFormat="1">
      <c r="A32" s="169"/>
      <c r="B32" s="59"/>
      <c r="D32" s="168">
        <v>8</v>
      </c>
      <c r="E32" s="150">
        <f>E25*8</f>
        <v>288</v>
      </c>
      <c r="F32" s="150">
        <f t="shared" ref="F32:I32" si="56">F25*8</f>
        <v>144</v>
      </c>
      <c r="G32" s="150">
        <f t="shared" si="56"/>
        <v>96</v>
      </c>
      <c r="H32" s="150">
        <f t="shared" si="56"/>
        <v>72</v>
      </c>
      <c r="I32" s="150">
        <f t="shared" si="56"/>
        <v>72</v>
      </c>
      <c r="J32" s="150"/>
      <c r="K32" s="150">
        <f>K25*8</f>
        <v>160</v>
      </c>
      <c r="L32" s="150">
        <f t="shared" ref="L32:O32" si="57">L25*8</f>
        <v>80</v>
      </c>
      <c r="M32" s="151">
        <f t="shared" si="57"/>
        <v>53.333333333333336</v>
      </c>
      <c r="N32" s="150">
        <f t="shared" si="57"/>
        <v>40</v>
      </c>
      <c r="O32" s="150">
        <f t="shared" si="57"/>
        <v>40</v>
      </c>
    </row>
    <row r="33" spans="1:15" s="16" customFormat="1">
      <c r="A33" s="169"/>
      <c r="B33" s="59"/>
      <c r="D33" s="168">
        <v>9</v>
      </c>
      <c r="E33" s="150">
        <f>E25*9</f>
        <v>324</v>
      </c>
      <c r="F33" s="150">
        <f t="shared" ref="F33:I33" si="58">F25*9</f>
        <v>162</v>
      </c>
      <c r="G33" s="150">
        <f t="shared" si="58"/>
        <v>108</v>
      </c>
      <c r="H33" s="150">
        <f t="shared" si="58"/>
        <v>81</v>
      </c>
      <c r="I33" s="150">
        <f t="shared" si="58"/>
        <v>81</v>
      </c>
      <c r="J33" s="150"/>
      <c r="K33" s="150">
        <f>K25*9</f>
        <v>180</v>
      </c>
      <c r="L33" s="150">
        <f t="shared" ref="L33:O33" si="59">L25*9</f>
        <v>90</v>
      </c>
      <c r="M33" s="151">
        <f t="shared" si="59"/>
        <v>60</v>
      </c>
      <c r="N33" s="150">
        <f t="shared" si="59"/>
        <v>45</v>
      </c>
      <c r="O33" s="150">
        <f t="shared" si="59"/>
        <v>45</v>
      </c>
    </row>
    <row r="34" spans="1:15" s="16" customFormat="1">
      <c r="E34" s="178"/>
      <c r="F34" s="178"/>
      <c r="G34" s="178"/>
      <c r="H34" s="178"/>
      <c r="I34" s="178"/>
      <c r="K34" s="178"/>
      <c r="L34" s="178"/>
      <c r="M34" s="178"/>
      <c r="N34" s="178"/>
      <c r="O34" s="178"/>
    </row>
    <row r="35" spans="1:15">
      <c r="A35" s="169" t="s">
        <v>138</v>
      </c>
      <c r="B35" s="59" t="s">
        <v>53</v>
      </c>
      <c r="C35" t="s">
        <v>149</v>
      </c>
      <c r="D35" s="17">
        <v>1</v>
      </c>
      <c r="E35" s="150">
        <f>ROUNDUP(K35*1.8,0)</f>
        <v>36</v>
      </c>
      <c r="F35" s="150">
        <f t="shared" ref="F35:I35" si="60">ROUNDUP(L35*1.8,0)</f>
        <v>18</v>
      </c>
      <c r="G35" s="150">
        <f t="shared" si="60"/>
        <v>12</v>
      </c>
      <c r="H35" s="150">
        <f t="shared" si="60"/>
        <v>9</v>
      </c>
      <c r="I35" s="150">
        <f t="shared" si="60"/>
        <v>9</v>
      </c>
      <c r="J35" s="150"/>
      <c r="K35" s="150">
        <v>20</v>
      </c>
      <c r="L35" s="150">
        <f>K35/2</f>
        <v>10</v>
      </c>
      <c r="M35" s="151">
        <f>K35/3</f>
        <v>6.666666666666667</v>
      </c>
      <c r="N35" s="150">
        <f>K35/4</f>
        <v>5</v>
      </c>
      <c r="O35" s="150">
        <f>N35</f>
        <v>5</v>
      </c>
    </row>
    <row r="36" spans="1:15" s="16" customFormat="1">
      <c r="A36" s="169"/>
      <c r="B36" s="59"/>
      <c r="D36" s="17">
        <v>2</v>
      </c>
      <c r="E36" s="150">
        <f>E35*2</f>
        <v>72</v>
      </c>
      <c r="F36" s="150">
        <f t="shared" ref="F36:I36" si="61">F35*2</f>
        <v>36</v>
      </c>
      <c r="G36" s="150">
        <f t="shared" si="61"/>
        <v>24</v>
      </c>
      <c r="H36" s="150">
        <f t="shared" si="61"/>
        <v>18</v>
      </c>
      <c r="I36" s="150">
        <f t="shared" si="61"/>
        <v>18</v>
      </c>
      <c r="J36" s="150"/>
      <c r="K36" s="150">
        <f>K35*2</f>
        <v>40</v>
      </c>
      <c r="L36" s="150">
        <f t="shared" ref="L36" si="62">L35*2</f>
        <v>20</v>
      </c>
      <c r="M36" s="151">
        <f t="shared" ref="M36" si="63">M35*2</f>
        <v>13.333333333333334</v>
      </c>
      <c r="N36" s="150">
        <f t="shared" ref="N36" si="64">N35*2</f>
        <v>10</v>
      </c>
      <c r="O36" s="150">
        <f t="shared" ref="O36" si="65">O35*2</f>
        <v>10</v>
      </c>
    </row>
    <row r="37" spans="1:15" s="16" customFormat="1">
      <c r="A37" s="169"/>
      <c r="B37" s="59"/>
      <c r="D37" s="17">
        <v>3</v>
      </c>
      <c r="E37" s="150">
        <f>E35*3</f>
        <v>108</v>
      </c>
      <c r="F37" s="150">
        <f t="shared" ref="F37:I37" si="66">F35*3</f>
        <v>54</v>
      </c>
      <c r="G37" s="150">
        <f t="shared" si="66"/>
        <v>36</v>
      </c>
      <c r="H37" s="150">
        <f t="shared" si="66"/>
        <v>27</v>
      </c>
      <c r="I37" s="150">
        <f t="shared" si="66"/>
        <v>27</v>
      </c>
      <c r="J37" s="150"/>
      <c r="K37" s="150">
        <f>K35*3</f>
        <v>60</v>
      </c>
      <c r="L37" s="150">
        <f t="shared" ref="L37:O37" si="67">L35*3</f>
        <v>30</v>
      </c>
      <c r="M37" s="151">
        <f t="shared" si="67"/>
        <v>20</v>
      </c>
      <c r="N37" s="150">
        <f t="shared" si="67"/>
        <v>15</v>
      </c>
      <c r="O37" s="150">
        <f t="shared" si="67"/>
        <v>15</v>
      </c>
    </row>
    <row r="38" spans="1:15" s="16" customFormat="1">
      <c r="A38" s="169"/>
      <c r="B38" s="59"/>
      <c r="D38" s="168">
        <v>4</v>
      </c>
      <c r="E38" s="150">
        <f>E35*4</f>
        <v>144</v>
      </c>
      <c r="F38" s="150">
        <f t="shared" ref="F38:I38" si="68">F35*4</f>
        <v>72</v>
      </c>
      <c r="G38" s="150">
        <f t="shared" si="68"/>
        <v>48</v>
      </c>
      <c r="H38" s="150">
        <f t="shared" si="68"/>
        <v>36</v>
      </c>
      <c r="I38" s="150">
        <f t="shared" si="68"/>
        <v>36</v>
      </c>
      <c r="J38" s="150"/>
      <c r="K38" s="150">
        <f>K35*4</f>
        <v>80</v>
      </c>
      <c r="L38" s="150">
        <f t="shared" ref="L38:O38" si="69">L35*4</f>
        <v>40</v>
      </c>
      <c r="M38" s="151">
        <f t="shared" si="69"/>
        <v>26.666666666666668</v>
      </c>
      <c r="N38" s="150">
        <f t="shared" si="69"/>
        <v>20</v>
      </c>
      <c r="O38" s="150">
        <f t="shared" si="69"/>
        <v>20</v>
      </c>
    </row>
    <row r="39" spans="1:15" s="16" customFormat="1">
      <c r="A39" s="169"/>
      <c r="B39" s="59"/>
      <c r="D39" s="168">
        <v>5</v>
      </c>
      <c r="E39" s="150">
        <f>E35*5</f>
        <v>180</v>
      </c>
      <c r="F39" s="150">
        <f t="shared" ref="F39:I39" si="70">F35*5</f>
        <v>90</v>
      </c>
      <c r="G39" s="150">
        <f t="shared" si="70"/>
        <v>60</v>
      </c>
      <c r="H39" s="150">
        <f t="shared" si="70"/>
        <v>45</v>
      </c>
      <c r="I39" s="150">
        <f t="shared" si="70"/>
        <v>45</v>
      </c>
      <c r="J39" s="150"/>
      <c r="K39" s="150">
        <f>K35*5</f>
        <v>100</v>
      </c>
      <c r="L39" s="150">
        <f t="shared" ref="L39:O39" si="71">L35*5</f>
        <v>50</v>
      </c>
      <c r="M39" s="151">
        <f t="shared" si="71"/>
        <v>33.333333333333336</v>
      </c>
      <c r="N39" s="150">
        <f t="shared" si="71"/>
        <v>25</v>
      </c>
      <c r="O39" s="150">
        <f t="shared" si="71"/>
        <v>25</v>
      </c>
    </row>
    <row r="40" spans="1:15" s="16" customFormat="1">
      <c r="A40" s="169"/>
      <c r="B40" s="59"/>
      <c r="D40" s="168">
        <v>6</v>
      </c>
      <c r="E40" s="150">
        <f>E35*6</f>
        <v>216</v>
      </c>
      <c r="F40" s="150">
        <f t="shared" ref="F40:I40" si="72">F35*6</f>
        <v>108</v>
      </c>
      <c r="G40" s="150">
        <f t="shared" si="72"/>
        <v>72</v>
      </c>
      <c r="H40" s="150">
        <f t="shared" si="72"/>
        <v>54</v>
      </c>
      <c r="I40" s="150">
        <f t="shared" si="72"/>
        <v>54</v>
      </c>
      <c r="J40" s="150"/>
      <c r="K40" s="150">
        <f>K35*6</f>
        <v>120</v>
      </c>
      <c r="L40" s="150">
        <f t="shared" ref="L40:O40" si="73">L35*6</f>
        <v>60</v>
      </c>
      <c r="M40" s="151">
        <f t="shared" si="73"/>
        <v>40</v>
      </c>
      <c r="N40" s="150">
        <f t="shared" si="73"/>
        <v>30</v>
      </c>
      <c r="O40" s="150">
        <f t="shared" si="73"/>
        <v>30</v>
      </c>
    </row>
    <row r="41" spans="1:15" s="16" customFormat="1">
      <c r="A41" s="169"/>
      <c r="B41" s="59"/>
      <c r="D41" s="168">
        <v>7</v>
      </c>
      <c r="E41" s="150">
        <f>E35*7</f>
        <v>252</v>
      </c>
      <c r="F41" s="150">
        <f t="shared" ref="F41:I41" si="74">F35*7</f>
        <v>126</v>
      </c>
      <c r="G41" s="150">
        <f t="shared" si="74"/>
        <v>84</v>
      </c>
      <c r="H41" s="150">
        <f t="shared" si="74"/>
        <v>63</v>
      </c>
      <c r="I41" s="150">
        <f t="shared" si="74"/>
        <v>63</v>
      </c>
      <c r="J41" s="150"/>
      <c r="K41" s="150">
        <f>K35*7</f>
        <v>140</v>
      </c>
      <c r="L41" s="150">
        <f t="shared" ref="L41:O41" si="75">L35*7</f>
        <v>70</v>
      </c>
      <c r="M41" s="151">
        <f t="shared" si="75"/>
        <v>46.666666666666671</v>
      </c>
      <c r="N41" s="150">
        <f t="shared" si="75"/>
        <v>35</v>
      </c>
      <c r="O41" s="150">
        <f t="shared" si="75"/>
        <v>35</v>
      </c>
    </row>
    <row r="42" spans="1:15" s="16" customFormat="1">
      <c r="A42" s="169"/>
      <c r="B42" s="59"/>
      <c r="D42" s="168">
        <v>8</v>
      </c>
      <c r="E42" s="150">
        <f>E35*8</f>
        <v>288</v>
      </c>
      <c r="F42" s="150">
        <f t="shared" ref="F42:I42" si="76">F35*8</f>
        <v>144</v>
      </c>
      <c r="G42" s="150">
        <f t="shared" si="76"/>
        <v>96</v>
      </c>
      <c r="H42" s="150">
        <f t="shared" si="76"/>
        <v>72</v>
      </c>
      <c r="I42" s="150">
        <f t="shared" si="76"/>
        <v>72</v>
      </c>
      <c r="J42" s="150"/>
      <c r="K42" s="150">
        <f>K35*8</f>
        <v>160</v>
      </c>
      <c r="L42" s="150">
        <f t="shared" ref="L42:O42" si="77">L35*8</f>
        <v>80</v>
      </c>
      <c r="M42" s="151">
        <f t="shared" si="77"/>
        <v>53.333333333333336</v>
      </c>
      <c r="N42" s="150">
        <f t="shared" si="77"/>
        <v>40</v>
      </c>
      <c r="O42" s="150">
        <f t="shared" si="77"/>
        <v>40</v>
      </c>
    </row>
    <row r="43" spans="1:15" s="16" customFormat="1">
      <c r="A43" s="169"/>
      <c r="B43" s="59"/>
      <c r="D43" s="168">
        <v>9</v>
      </c>
      <c r="E43" s="150">
        <f>E35*9</f>
        <v>324</v>
      </c>
      <c r="F43" s="150">
        <f t="shared" ref="F43:I43" si="78">F35*9</f>
        <v>162</v>
      </c>
      <c r="G43" s="150">
        <f t="shared" si="78"/>
        <v>108</v>
      </c>
      <c r="H43" s="150">
        <f t="shared" si="78"/>
        <v>81</v>
      </c>
      <c r="I43" s="150">
        <f t="shared" si="78"/>
        <v>81</v>
      </c>
      <c r="J43" s="150"/>
      <c r="K43" s="150">
        <f>K35*9</f>
        <v>180</v>
      </c>
      <c r="L43" s="150">
        <f t="shared" ref="L43:O43" si="79">L35*9</f>
        <v>90</v>
      </c>
      <c r="M43" s="151">
        <f t="shared" si="79"/>
        <v>60</v>
      </c>
      <c r="N43" s="150">
        <f t="shared" si="79"/>
        <v>45</v>
      </c>
      <c r="O43" s="150">
        <f t="shared" si="79"/>
        <v>45</v>
      </c>
    </row>
    <row r="44" spans="1:15" s="16" customFormat="1">
      <c r="A44" s="169"/>
      <c r="B44" s="59"/>
      <c r="D44" s="168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>
      <c r="A45" s="170" t="s">
        <v>139</v>
      </c>
      <c r="B45" s="59" t="s">
        <v>53</v>
      </c>
      <c r="C45" t="s">
        <v>149</v>
      </c>
      <c r="D45" s="168">
        <v>1</v>
      </c>
      <c r="E45" s="150">
        <f>ROUNDUP(K45*1.8,0)</f>
        <v>36</v>
      </c>
      <c r="F45" s="150">
        <f t="shared" ref="F45:I45" si="80">ROUNDUP(L45*1.8,0)</f>
        <v>18</v>
      </c>
      <c r="G45" s="150">
        <f t="shared" si="80"/>
        <v>12</v>
      </c>
      <c r="H45" s="150">
        <f t="shared" si="80"/>
        <v>9</v>
      </c>
      <c r="I45" s="150">
        <f t="shared" si="80"/>
        <v>9</v>
      </c>
      <c r="J45" s="12"/>
      <c r="K45" s="150">
        <v>20</v>
      </c>
      <c r="L45" s="150">
        <f>K45/2</f>
        <v>10</v>
      </c>
      <c r="M45" s="151">
        <f>K45/3</f>
        <v>6.666666666666667</v>
      </c>
      <c r="N45" s="150">
        <f>K45/4</f>
        <v>5</v>
      </c>
      <c r="O45" s="150">
        <f>N45</f>
        <v>5</v>
      </c>
    </row>
    <row r="46" spans="1:15" s="16" customFormat="1">
      <c r="A46" s="169"/>
      <c r="B46" s="59"/>
      <c r="D46" s="17">
        <v>2</v>
      </c>
      <c r="E46" s="150">
        <f>E45*2</f>
        <v>72</v>
      </c>
      <c r="F46" s="150">
        <f t="shared" ref="F46" si="81">F45*2</f>
        <v>36</v>
      </c>
      <c r="G46" s="150">
        <f t="shared" ref="G46" si="82">G45*2</f>
        <v>24</v>
      </c>
      <c r="H46" s="150">
        <f t="shared" ref="H46" si="83">H45*2</f>
        <v>18</v>
      </c>
      <c r="I46" s="150">
        <f t="shared" ref="I46" si="84">I45*2</f>
        <v>18</v>
      </c>
      <c r="J46" s="12"/>
      <c r="K46" s="176">
        <f>K45*2</f>
        <v>40</v>
      </c>
      <c r="L46" s="176">
        <f t="shared" ref="L46" si="85">L45*2</f>
        <v>20</v>
      </c>
      <c r="M46" s="177">
        <f t="shared" ref="M46" si="86">M45*2</f>
        <v>13.333333333333334</v>
      </c>
      <c r="N46" s="176">
        <f t="shared" ref="N46" si="87">N45*2</f>
        <v>10</v>
      </c>
      <c r="O46" s="176">
        <f t="shared" ref="O46" si="88">O45*2</f>
        <v>10</v>
      </c>
    </row>
    <row r="47" spans="1:15" s="16" customFormat="1">
      <c r="A47" s="169"/>
      <c r="B47" s="59"/>
      <c r="D47" s="17">
        <v>3</v>
      </c>
      <c r="E47" s="150">
        <f>E45*3</f>
        <v>108</v>
      </c>
      <c r="F47" s="150">
        <f t="shared" ref="F47:I47" si="89">F45*3</f>
        <v>54</v>
      </c>
      <c r="G47" s="150">
        <f t="shared" si="89"/>
        <v>36</v>
      </c>
      <c r="H47" s="150">
        <f t="shared" si="89"/>
        <v>27</v>
      </c>
      <c r="I47" s="150">
        <f t="shared" si="89"/>
        <v>27</v>
      </c>
      <c r="J47" s="12"/>
      <c r="K47" s="176">
        <f>K45*3</f>
        <v>60</v>
      </c>
      <c r="L47" s="176">
        <f t="shared" ref="L47:O47" si="90">L45*3</f>
        <v>30</v>
      </c>
      <c r="M47" s="177">
        <f t="shared" si="90"/>
        <v>20</v>
      </c>
      <c r="N47" s="176">
        <f t="shared" si="90"/>
        <v>15</v>
      </c>
      <c r="O47" s="176">
        <f t="shared" si="90"/>
        <v>15</v>
      </c>
    </row>
    <row r="48" spans="1:15" s="16" customFormat="1">
      <c r="A48" s="169"/>
      <c r="B48" s="59"/>
      <c r="D48" s="168">
        <v>4</v>
      </c>
      <c r="E48" s="150">
        <f>E45*4</f>
        <v>144</v>
      </c>
      <c r="F48" s="150">
        <f t="shared" ref="F48:I48" si="91">F45*4</f>
        <v>72</v>
      </c>
      <c r="G48" s="150">
        <f t="shared" si="91"/>
        <v>48</v>
      </c>
      <c r="H48" s="150">
        <f t="shared" si="91"/>
        <v>36</v>
      </c>
      <c r="I48" s="150">
        <f t="shared" si="91"/>
        <v>36</v>
      </c>
      <c r="J48" s="12"/>
      <c r="K48" s="176">
        <f>K45*4</f>
        <v>80</v>
      </c>
      <c r="L48" s="176">
        <f t="shared" ref="L48:O48" si="92">L45*4</f>
        <v>40</v>
      </c>
      <c r="M48" s="177">
        <f t="shared" si="92"/>
        <v>26.666666666666668</v>
      </c>
      <c r="N48" s="176">
        <f t="shared" si="92"/>
        <v>20</v>
      </c>
      <c r="O48" s="176">
        <f t="shared" si="92"/>
        <v>20</v>
      </c>
    </row>
    <row r="49" spans="1:15" s="16" customFormat="1">
      <c r="A49" s="169"/>
      <c r="B49" s="59"/>
      <c r="D49" s="168">
        <v>5</v>
      </c>
      <c r="E49" s="150">
        <f>E45*5</f>
        <v>180</v>
      </c>
      <c r="F49" s="150">
        <f t="shared" ref="F49:I49" si="93">F45*5</f>
        <v>90</v>
      </c>
      <c r="G49" s="150">
        <f t="shared" si="93"/>
        <v>60</v>
      </c>
      <c r="H49" s="150">
        <f t="shared" si="93"/>
        <v>45</v>
      </c>
      <c r="I49" s="150">
        <f t="shared" si="93"/>
        <v>45</v>
      </c>
      <c r="J49" s="12"/>
      <c r="K49" s="176">
        <f>K45*5</f>
        <v>100</v>
      </c>
      <c r="L49" s="176">
        <f t="shared" ref="L49:O49" si="94">L45*5</f>
        <v>50</v>
      </c>
      <c r="M49" s="177">
        <f t="shared" si="94"/>
        <v>33.333333333333336</v>
      </c>
      <c r="N49" s="176">
        <f t="shared" si="94"/>
        <v>25</v>
      </c>
      <c r="O49" s="176">
        <f t="shared" si="94"/>
        <v>25</v>
      </c>
    </row>
    <row r="50" spans="1:15" s="16" customFormat="1">
      <c r="A50" s="169"/>
      <c r="B50" s="59"/>
      <c r="D50" s="168">
        <v>6</v>
      </c>
      <c r="E50" s="150">
        <f>E45*6</f>
        <v>216</v>
      </c>
      <c r="F50" s="150">
        <f t="shared" ref="F50:I50" si="95">F45*6</f>
        <v>108</v>
      </c>
      <c r="G50" s="150">
        <f t="shared" si="95"/>
        <v>72</v>
      </c>
      <c r="H50" s="150">
        <f t="shared" si="95"/>
        <v>54</v>
      </c>
      <c r="I50" s="150">
        <f t="shared" si="95"/>
        <v>54</v>
      </c>
      <c r="J50" s="12"/>
      <c r="K50" s="176">
        <f>K45*6</f>
        <v>120</v>
      </c>
      <c r="L50" s="176">
        <f t="shared" ref="L50:O50" si="96">L45*6</f>
        <v>60</v>
      </c>
      <c r="M50" s="177">
        <f t="shared" si="96"/>
        <v>40</v>
      </c>
      <c r="N50" s="176">
        <f t="shared" si="96"/>
        <v>30</v>
      </c>
      <c r="O50" s="176">
        <f t="shared" si="96"/>
        <v>30</v>
      </c>
    </row>
    <row r="51" spans="1:15" s="16" customFormat="1">
      <c r="A51" s="169"/>
      <c r="B51" s="59"/>
      <c r="D51" s="168">
        <v>7</v>
      </c>
      <c r="E51" s="150">
        <f>E45*7</f>
        <v>252</v>
      </c>
      <c r="F51" s="150">
        <f t="shared" ref="F51:I51" si="97">F45*7</f>
        <v>126</v>
      </c>
      <c r="G51" s="150">
        <f t="shared" si="97"/>
        <v>84</v>
      </c>
      <c r="H51" s="150">
        <f t="shared" si="97"/>
        <v>63</v>
      </c>
      <c r="I51" s="150">
        <f t="shared" si="97"/>
        <v>63</v>
      </c>
      <c r="J51" s="12"/>
      <c r="K51" s="176">
        <f>K45*7</f>
        <v>140</v>
      </c>
      <c r="L51" s="176">
        <f t="shared" ref="L51:O51" si="98">L45*7</f>
        <v>70</v>
      </c>
      <c r="M51" s="177">
        <f t="shared" si="98"/>
        <v>46.666666666666671</v>
      </c>
      <c r="N51" s="176">
        <f t="shared" si="98"/>
        <v>35</v>
      </c>
      <c r="O51" s="176">
        <f t="shared" si="98"/>
        <v>35</v>
      </c>
    </row>
    <row r="52" spans="1:15" s="16" customFormat="1">
      <c r="A52" s="169"/>
      <c r="B52" s="59"/>
      <c r="D52" s="168">
        <v>8</v>
      </c>
      <c r="E52" s="150">
        <f>E45*8</f>
        <v>288</v>
      </c>
      <c r="F52" s="150">
        <f t="shared" ref="F52:I52" si="99">F45*8</f>
        <v>144</v>
      </c>
      <c r="G52" s="150">
        <f t="shared" si="99"/>
        <v>96</v>
      </c>
      <c r="H52" s="150">
        <f t="shared" si="99"/>
        <v>72</v>
      </c>
      <c r="I52" s="150">
        <f t="shared" si="99"/>
        <v>72</v>
      </c>
      <c r="J52" s="12"/>
      <c r="K52" s="176">
        <f>K45*8</f>
        <v>160</v>
      </c>
      <c r="L52" s="176">
        <f t="shared" ref="L52:O52" si="100">L45*8</f>
        <v>80</v>
      </c>
      <c r="M52" s="177">
        <f t="shared" si="100"/>
        <v>53.333333333333336</v>
      </c>
      <c r="N52" s="176">
        <f t="shared" si="100"/>
        <v>40</v>
      </c>
      <c r="O52" s="176">
        <f t="shared" si="100"/>
        <v>40</v>
      </c>
    </row>
    <row r="53" spans="1:15" s="16" customFormat="1">
      <c r="A53" s="169"/>
      <c r="B53" s="59"/>
      <c r="D53" s="168">
        <v>9</v>
      </c>
      <c r="E53" s="150">
        <f>E45*9</f>
        <v>324</v>
      </c>
      <c r="F53" s="150">
        <f t="shared" ref="F53:I53" si="101">F45*9</f>
        <v>162</v>
      </c>
      <c r="G53" s="150">
        <f t="shared" si="101"/>
        <v>108</v>
      </c>
      <c r="H53" s="150">
        <f t="shared" si="101"/>
        <v>81</v>
      </c>
      <c r="I53" s="150">
        <f t="shared" si="101"/>
        <v>81</v>
      </c>
      <c r="J53" s="12"/>
      <c r="K53" s="176">
        <f>K45*9</f>
        <v>180</v>
      </c>
      <c r="L53" s="176">
        <f t="shared" ref="L53:O53" si="102">L45*9</f>
        <v>90</v>
      </c>
      <c r="M53" s="177">
        <f t="shared" si="102"/>
        <v>60</v>
      </c>
      <c r="N53" s="176">
        <f t="shared" si="102"/>
        <v>45</v>
      </c>
      <c r="O53" s="176">
        <f t="shared" si="102"/>
        <v>45</v>
      </c>
    </row>
    <row r="54" spans="1:15" s="16" customFormat="1">
      <c r="A54" s="170"/>
      <c r="B54" s="59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>
      <c r="A55" s="170" t="s">
        <v>140</v>
      </c>
      <c r="B55" s="59" t="s">
        <v>53</v>
      </c>
      <c r="C55" t="s">
        <v>149</v>
      </c>
      <c r="D55" s="168">
        <v>1</v>
      </c>
      <c r="E55" s="150">
        <f>ROUNDUP(K55*1.8,0)</f>
        <v>54</v>
      </c>
      <c r="F55" s="150">
        <f t="shared" ref="F55:I55" si="103">ROUNDUP(L55*1.8,0)</f>
        <v>27</v>
      </c>
      <c r="G55" s="150">
        <f t="shared" si="103"/>
        <v>18</v>
      </c>
      <c r="H55" s="150">
        <f t="shared" si="103"/>
        <v>14</v>
      </c>
      <c r="I55" s="150">
        <f t="shared" si="103"/>
        <v>14</v>
      </c>
      <c r="J55" s="12"/>
      <c r="K55" s="150">
        <v>30</v>
      </c>
      <c r="L55" s="150">
        <f>K55/2</f>
        <v>15</v>
      </c>
      <c r="M55" s="151">
        <f>K55/3</f>
        <v>10</v>
      </c>
      <c r="N55" s="150">
        <f>K55/4</f>
        <v>7.5</v>
      </c>
      <c r="O55" s="150">
        <f>N55</f>
        <v>7.5</v>
      </c>
    </row>
    <row r="56" spans="1:15" s="16" customFormat="1">
      <c r="A56" s="169"/>
      <c r="B56" s="59"/>
      <c r="D56" s="17">
        <v>2</v>
      </c>
      <c r="E56" s="150">
        <f>E55*2</f>
        <v>108</v>
      </c>
      <c r="F56" s="150">
        <f t="shared" ref="F56" si="104">F55*2</f>
        <v>54</v>
      </c>
      <c r="G56" s="150">
        <f t="shared" ref="G56" si="105">G55*2</f>
        <v>36</v>
      </c>
      <c r="H56" s="150">
        <f t="shared" ref="H56" si="106">H55*2</f>
        <v>28</v>
      </c>
      <c r="I56" s="150">
        <f t="shared" ref="I56" si="107">I55*2</f>
        <v>28</v>
      </c>
      <c r="J56" s="12"/>
      <c r="K56" s="176">
        <f>K55*2</f>
        <v>60</v>
      </c>
      <c r="L56" s="176">
        <f t="shared" ref="L56" si="108">L55*2</f>
        <v>30</v>
      </c>
      <c r="M56" s="177">
        <f t="shared" ref="M56" si="109">M55*2</f>
        <v>20</v>
      </c>
      <c r="N56" s="176">
        <f t="shared" ref="N56" si="110">N55*2</f>
        <v>15</v>
      </c>
      <c r="O56" s="176">
        <f t="shared" ref="O56" si="111">O55*2</f>
        <v>15</v>
      </c>
    </row>
    <row r="57" spans="1:15" s="16" customFormat="1">
      <c r="A57" s="169"/>
      <c r="B57" s="59"/>
      <c r="D57" s="17">
        <v>3</v>
      </c>
      <c r="E57" s="150">
        <f>E55*3</f>
        <v>162</v>
      </c>
      <c r="F57" s="150">
        <f t="shared" ref="F57:I57" si="112">F55*3</f>
        <v>81</v>
      </c>
      <c r="G57" s="150">
        <f t="shared" si="112"/>
        <v>54</v>
      </c>
      <c r="H57" s="150">
        <f t="shared" si="112"/>
        <v>42</v>
      </c>
      <c r="I57" s="150">
        <f t="shared" si="112"/>
        <v>42</v>
      </c>
      <c r="J57" s="12"/>
      <c r="K57" s="176">
        <f>K55*3</f>
        <v>90</v>
      </c>
      <c r="L57" s="176">
        <f t="shared" ref="L57:O57" si="113">L55*3</f>
        <v>45</v>
      </c>
      <c r="M57" s="177">
        <f t="shared" si="113"/>
        <v>30</v>
      </c>
      <c r="N57" s="176">
        <f t="shared" si="113"/>
        <v>22.5</v>
      </c>
      <c r="O57" s="176">
        <f t="shared" si="113"/>
        <v>22.5</v>
      </c>
    </row>
    <row r="58" spans="1:15" s="16" customFormat="1">
      <c r="A58" s="169"/>
      <c r="B58" s="59"/>
      <c r="D58" s="168">
        <v>4</v>
      </c>
      <c r="E58" s="150">
        <f>E55*4</f>
        <v>216</v>
      </c>
      <c r="F58" s="150">
        <f t="shared" ref="F58:I58" si="114">F55*4</f>
        <v>108</v>
      </c>
      <c r="G58" s="150">
        <f t="shared" si="114"/>
        <v>72</v>
      </c>
      <c r="H58" s="150">
        <f t="shared" si="114"/>
        <v>56</v>
      </c>
      <c r="I58" s="150">
        <f t="shared" si="114"/>
        <v>56</v>
      </c>
      <c r="J58" s="12"/>
      <c r="K58" s="176">
        <f>K55*4</f>
        <v>120</v>
      </c>
      <c r="L58" s="176">
        <f t="shared" ref="L58:O58" si="115">L55*4</f>
        <v>60</v>
      </c>
      <c r="M58" s="177">
        <f t="shared" si="115"/>
        <v>40</v>
      </c>
      <c r="N58" s="176">
        <f t="shared" si="115"/>
        <v>30</v>
      </c>
      <c r="O58" s="176">
        <f t="shared" si="115"/>
        <v>30</v>
      </c>
    </row>
    <row r="59" spans="1:15" s="16" customFormat="1">
      <c r="A59" s="169"/>
      <c r="B59" s="59"/>
      <c r="D59" s="168">
        <v>5</v>
      </c>
      <c r="E59" s="150">
        <f>E55*5</f>
        <v>270</v>
      </c>
      <c r="F59" s="150">
        <f t="shared" ref="F59:I59" si="116">F55*5</f>
        <v>135</v>
      </c>
      <c r="G59" s="150">
        <f t="shared" si="116"/>
        <v>90</v>
      </c>
      <c r="H59" s="150">
        <f t="shared" si="116"/>
        <v>70</v>
      </c>
      <c r="I59" s="150">
        <f t="shared" si="116"/>
        <v>70</v>
      </c>
      <c r="J59" s="12"/>
      <c r="K59" s="176">
        <f>K55*5</f>
        <v>150</v>
      </c>
      <c r="L59" s="176">
        <f t="shared" ref="L59:O59" si="117">L55*5</f>
        <v>75</v>
      </c>
      <c r="M59" s="177">
        <f t="shared" si="117"/>
        <v>50</v>
      </c>
      <c r="N59" s="176">
        <f t="shared" si="117"/>
        <v>37.5</v>
      </c>
      <c r="O59" s="176">
        <f t="shared" si="117"/>
        <v>37.5</v>
      </c>
    </row>
    <row r="60" spans="1:15" s="16" customFormat="1">
      <c r="A60" s="169"/>
      <c r="B60" s="59"/>
      <c r="D60" s="168">
        <v>6</v>
      </c>
      <c r="E60" s="150">
        <f>E55*6</f>
        <v>324</v>
      </c>
      <c r="F60" s="150">
        <f t="shared" ref="F60:I60" si="118">F55*6</f>
        <v>162</v>
      </c>
      <c r="G60" s="150">
        <f t="shared" si="118"/>
        <v>108</v>
      </c>
      <c r="H60" s="150">
        <f t="shared" si="118"/>
        <v>84</v>
      </c>
      <c r="I60" s="150">
        <f t="shared" si="118"/>
        <v>84</v>
      </c>
      <c r="J60" s="12"/>
      <c r="K60" s="176">
        <f>K55*6</f>
        <v>180</v>
      </c>
      <c r="L60" s="176">
        <f t="shared" ref="L60:O60" si="119">L55*6</f>
        <v>90</v>
      </c>
      <c r="M60" s="177">
        <f t="shared" si="119"/>
        <v>60</v>
      </c>
      <c r="N60" s="176">
        <f t="shared" si="119"/>
        <v>45</v>
      </c>
      <c r="O60" s="176">
        <f t="shared" si="119"/>
        <v>45</v>
      </c>
    </row>
    <row r="61" spans="1:15" s="16" customFormat="1">
      <c r="A61" s="169"/>
      <c r="B61" s="59"/>
      <c r="D61" s="168">
        <v>7</v>
      </c>
      <c r="E61" s="150">
        <f>E55*7</f>
        <v>378</v>
      </c>
      <c r="F61" s="150">
        <f t="shared" ref="F61:I61" si="120">F55*7</f>
        <v>189</v>
      </c>
      <c r="G61" s="150">
        <f t="shared" si="120"/>
        <v>126</v>
      </c>
      <c r="H61" s="150">
        <f t="shared" si="120"/>
        <v>98</v>
      </c>
      <c r="I61" s="150">
        <f t="shared" si="120"/>
        <v>98</v>
      </c>
      <c r="J61" s="12"/>
      <c r="K61" s="176">
        <f>K55*7</f>
        <v>210</v>
      </c>
      <c r="L61" s="176">
        <f t="shared" ref="L61:O61" si="121">L55*7</f>
        <v>105</v>
      </c>
      <c r="M61" s="177">
        <f t="shared" si="121"/>
        <v>70</v>
      </c>
      <c r="N61" s="176">
        <f t="shared" si="121"/>
        <v>52.5</v>
      </c>
      <c r="O61" s="176">
        <f t="shared" si="121"/>
        <v>52.5</v>
      </c>
    </row>
    <row r="62" spans="1:15" s="16" customFormat="1">
      <c r="A62" s="169"/>
      <c r="B62" s="59"/>
      <c r="D62" s="168">
        <v>8</v>
      </c>
      <c r="E62" s="150">
        <f>E55*8</f>
        <v>432</v>
      </c>
      <c r="F62" s="150">
        <f t="shared" ref="F62:I62" si="122">F55*8</f>
        <v>216</v>
      </c>
      <c r="G62" s="150">
        <f t="shared" si="122"/>
        <v>144</v>
      </c>
      <c r="H62" s="150">
        <f t="shared" si="122"/>
        <v>112</v>
      </c>
      <c r="I62" s="150">
        <f t="shared" si="122"/>
        <v>112</v>
      </c>
      <c r="J62" s="12"/>
      <c r="K62" s="176">
        <f>K55*8</f>
        <v>240</v>
      </c>
      <c r="L62" s="176">
        <f t="shared" ref="L62:O62" si="123">L55*8</f>
        <v>120</v>
      </c>
      <c r="M62" s="177">
        <f t="shared" si="123"/>
        <v>80</v>
      </c>
      <c r="N62" s="176">
        <f t="shared" si="123"/>
        <v>60</v>
      </c>
      <c r="O62" s="176">
        <f t="shared" si="123"/>
        <v>60</v>
      </c>
    </row>
    <row r="63" spans="1:15" s="16" customFormat="1">
      <c r="A63" s="169"/>
      <c r="B63" s="59"/>
      <c r="D63" s="168">
        <v>9</v>
      </c>
      <c r="E63" s="150">
        <f>E55*9</f>
        <v>486</v>
      </c>
      <c r="F63" s="150">
        <f t="shared" ref="F63:I63" si="124">F55*9</f>
        <v>243</v>
      </c>
      <c r="G63" s="150">
        <f t="shared" si="124"/>
        <v>162</v>
      </c>
      <c r="H63" s="150">
        <f t="shared" si="124"/>
        <v>126</v>
      </c>
      <c r="I63" s="150">
        <f t="shared" si="124"/>
        <v>126</v>
      </c>
      <c r="J63" s="12"/>
      <c r="K63" s="176">
        <f>K55*9</f>
        <v>270</v>
      </c>
      <c r="L63" s="176">
        <f t="shared" ref="L63:O63" si="125">L55*9</f>
        <v>135</v>
      </c>
      <c r="M63" s="177">
        <f t="shared" si="125"/>
        <v>90</v>
      </c>
      <c r="N63" s="176">
        <f t="shared" si="125"/>
        <v>67.5</v>
      </c>
      <c r="O63" s="176">
        <f t="shared" si="125"/>
        <v>67.5</v>
      </c>
    </row>
    <row r="64" spans="1:15" s="16" customFormat="1">
      <c r="A64" s="169"/>
      <c r="B64" s="59"/>
      <c r="D64" s="168"/>
      <c r="E64" s="150"/>
      <c r="F64" s="150"/>
      <c r="G64" s="150"/>
      <c r="H64" s="150"/>
      <c r="I64" s="150"/>
      <c r="J64" s="12"/>
      <c r="K64" s="176"/>
      <c r="L64" s="176"/>
      <c r="M64" s="177"/>
      <c r="N64" s="176"/>
      <c r="O64" s="176"/>
    </row>
    <row r="65" spans="1:15">
      <c r="A65" s="28" t="s">
        <v>141</v>
      </c>
      <c r="B65" s="59" t="s">
        <v>53</v>
      </c>
      <c r="C65" t="s">
        <v>149</v>
      </c>
      <c r="D65" s="168">
        <v>1</v>
      </c>
      <c r="E65" s="150">
        <f>ROUNDUP(K65*1.8,0)</f>
        <v>54</v>
      </c>
      <c r="F65" s="150">
        <f t="shared" ref="F65:I65" si="126">ROUNDUP(L65*1.8,0)</f>
        <v>27</v>
      </c>
      <c r="G65" s="150">
        <f t="shared" si="126"/>
        <v>18</v>
      </c>
      <c r="H65" s="150">
        <f t="shared" si="126"/>
        <v>14</v>
      </c>
      <c r="I65" s="150">
        <f t="shared" si="126"/>
        <v>14</v>
      </c>
      <c r="J65" s="12"/>
      <c r="K65" s="150">
        <v>30</v>
      </c>
      <c r="L65" s="150">
        <f>K65/2</f>
        <v>15</v>
      </c>
      <c r="M65" s="151">
        <f>K65/3</f>
        <v>10</v>
      </c>
      <c r="N65" s="150">
        <f>K65/4</f>
        <v>7.5</v>
      </c>
      <c r="O65" s="150">
        <f>N65</f>
        <v>7.5</v>
      </c>
    </row>
    <row r="66" spans="1:15" s="16" customFormat="1">
      <c r="A66" s="169"/>
      <c r="B66" s="59"/>
      <c r="D66" s="17">
        <v>2</v>
      </c>
      <c r="E66" s="150">
        <f>E65*2</f>
        <v>108</v>
      </c>
      <c r="F66" s="150">
        <f t="shared" ref="F66" si="127">F65*2</f>
        <v>54</v>
      </c>
      <c r="G66" s="150">
        <f t="shared" ref="G66" si="128">G65*2</f>
        <v>36</v>
      </c>
      <c r="H66" s="150">
        <f t="shared" ref="H66" si="129">H65*2</f>
        <v>28</v>
      </c>
      <c r="I66" s="150">
        <f t="shared" ref="I66" si="130">I65*2</f>
        <v>28</v>
      </c>
      <c r="J66" s="12"/>
      <c r="K66" s="176">
        <f>K65*2</f>
        <v>60</v>
      </c>
      <c r="L66" s="176">
        <f t="shared" ref="L66" si="131">L65*2</f>
        <v>30</v>
      </c>
      <c r="M66" s="177">
        <f t="shared" ref="M66" si="132">M65*2</f>
        <v>20</v>
      </c>
      <c r="N66" s="176">
        <f t="shared" ref="N66" si="133">N65*2</f>
        <v>15</v>
      </c>
      <c r="O66" s="176">
        <f t="shared" ref="O66" si="134">O65*2</f>
        <v>15</v>
      </c>
    </row>
    <row r="67" spans="1:15" s="16" customFormat="1">
      <c r="A67" s="169"/>
      <c r="B67" s="59"/>
      <c r="D67" s="17">
        <v>3</v>
      </c>
      <c r="E67" s="150">
        <f>E65*3</f>
        <v>162</v>
      </c>
      <c r="F67" s="150">
        <f t="shared" ref="F67:I67" si="135">F65*3</f>
        <v>81</v>
      </c>
      <c r="G67" s="150">
        <f t="shared" si="135"/>
        <v>54</v>
      </c>
      <c r="H67" s="150">
        <f t="shared" si="135"/>
        <v>42</v>
      </c>
      <c r="I67" s="150">
        <f t="shared" si="135"/>
        <v>42</v>
      </c>
      <c r="J67" s="12"/>
      <c r="K67" s="176">
        <f>K65*3</f>
        <v>90</v>
      </c>
      <c r="L67" s="176">
        <f t="shared" ref="L67:O67" si="136">L65*3</f>
        <v>45</v>
      </c>
      <c r="M67" s="177">
        <f t="shared" si="136"/>
        <v>30</v>
      </c>
      <c r="N67" s="176">
        <f t="shared" si="136"/>
        <v>22.5</v>
      </c>
      <c r="O67" s="176">
        <f t="shared" si="136"/>
        <v>22.5</v>
      </c>
    </row>
    <row r="68" spans="1:15" s="16" customFormat="1">
      <c r="A68" s="169"/>
      <c r="B68" s="59"/>
      <c r="D68" s="168">
        <v>4</v>
      </c>
      <c r="E68" s="150">
        <f>E65*4</f>
        <v>216</v>
      </c>
      <c r="F68" s="150">
        <f t="shared" ref="F68:I68" si="137">F65*4</f>
        <v>108</v>
      </c>
      <c r="G68" s="150">
        <f t="shared" si="137"/>
        <v>72</v>
      </c>
      <c r="H68" s="150">
        <f t="shared" si="137"/>
        <v>56</v>
      </c>
      <c r="I68" s="150">
        <f t="shared" si="137"/>
        <v>56</v>
      </c>
      <c r="J68" s="12"/>
      <c r="K68" s="176">
        <f>K65*4</f>
        <v>120</v>
      </c>
      <c r="L68" s="176">
        <f t="shared" ref="L68:O68" si="138">L65*4</f>
        <v>60</v>
      </c>
      <c r="M68" s="177">
        <f t="shared" si="138"/>
        <v>40</v>
      </c>
      <c r="N68" s="176">
        <f t="shared" si="138"/>
        <v>30</v>
      </c>
      <c r="O68" s="176">
        <f t="shared" si="138"/>
        <v>30</v>
      </c>
    </row>
    <row r="69" spans="1:15" s="16" customFormat="1">
      <c r="A69" s="169"/>
      <c r="B69" s="59"/>
      <c r="D69" s="168">
        <v>5</v>
      </c>
      <c r="E69" s="150">
        <f>E65*5</f>
        <v>270</v>
      </c>
      <c r="F69" s="150">
        <f t="shared" ref="F69:I69" si="139">F65*5</f>
        <v>135</v>
      </c>
      <c r="G69" s="150">
        <f t="shared" si="139"/>
        <v>90</v>
      </c>
      <c r="H69" s="150">
        <f t="shared" si="139"/>
        <v>70</v>
      </c>
      <c r="I69" s="150">
        <f t="shared" si="139"/>
        <v>70</v>
      </c>
      <c r="J69" s="12"/>
      <c r="K69" s="176">
        <f>K65*5</f>
        <v>150</v>
      </c>
      <c r="L69" s="176">
        <f t="shared" ref="L69:O69" si="140">L65*5</f>
        <v>75</v>
      </c>
      <c r="M69" s="177">
        <f t="shared" si="140"/>
        <v>50</v>
      </c>
      <c r="N69" s="176">
        <f t="shared" si="140"/>
        <v>37.5</v>
      </c>
      <c r="O69" s="176">
        <f t="shared" si="140"/>
        <v>37.5</v>
      </c>
    </row>
    <row r="70" spans="1:15" s="16" customFormat="1">
      <c r="A70" s="169"/>
      <c r="B70" s="59"/>
      <c r="D70" s="168">
        <v>6</v>
      </c>
      <c r="E70" s="150">
        <f>E65*6</f>
        <v>324</v>
      </c>
      <c r="F70" s="150">
        <f t="shared" ref="F70:I70" si="141">F65*6</f>
        <v>162</v>
      </c>
      <c r="G70" s="150">
        <f t="shared" si="141"/>
        <v>108</v>
      </c>
      <c r="H70" s="150">
        <f t="shared" si="141"/>
        <v>84</v>
      </c>
      <c r="I70" s="150">
        <f t="shared" si="141"/>
        <v>84</v>
      </c>
      <c r="J70" s="12"/>
      <c r="K70" s="176">
        <f>K65*6</f>
        <v>180</v>
      </c>
      <c r="L70" s="176">
        <f t="shared" ref="L70:O70" si="142">L65*6</f>
        <v>90</v>
      </c>
      <c r="M70" s="177">
        <f t="shared" si="142"/>
        <v>60</v>
      </c>
      <c r="N70" s="176">
        <f t="shared" si="142"/>
        <v>45</v>
      </c>
      <c r="O70" s="176">
        <f t="shared" si="142"/>
        <v>45</v>
      </c>
    </row>
    <row r="71" spans="1:15" s="16" customFormat="1">
      <c r="A71" s="169"/>
      <c r="B71" s="59"/>
      <c r="D71" s="168">
        <v>7</v>
      </c>
      <c r="E71" s="150">
        <f>E65*7</f>
        <v>378</v>
      </c>
      <c r="F71" s="150">
        <f t="shared" ref="F71:I71" si="143">F65*7</f>
        <v>189</v>
      </c>
      <c r="G71" s="150">
        <f t="shared" si="143"/>
        <v>126</v>
      </c>
      <c r="H71" s="150">
        <f t="shared" si="143"/>
        <v>98</v>
      </c>
      <c r="I71" s="150">
        <f t="shared" si="143"/>
        <v>98</v>
      </c>
      <c r="J71" s="12"/>
      <c r="K71" s="176">
        <f>K65*7</f>
        <v>210</v>
      </c>
      <c r="L71" s="176">
        <f t="shared" ref="L71:O71" si="144">L65*7</f>
        <v>105</v>
      </c>
      <c r="M71" s="177">
        <f t="shared" si="144"/>
        <v>70</v>
      </c>
      <c r="N71" s="176">
        <f t="shared" si="144"/>
        <v>52.5</v>
      </c>
      <c r="O71" s="176">
        <f t="shared" si="144"/>
        <v>52.5</v>
      </c>
    </row>
    <row r="72" spans="1:15" s="16" customFormat="1">
      <c r="A72" s="169"/>
      <c r="B72" s="59"/>
      <c r="D72" s="168">
        <v>8</v>
      </c>
      <c r="E72" s="150">
        <f>E65*8</f>
        <v>432</v>
      </c>
      <c r="F72" s="150">
        <f t="shared" ref="F72:I72" si="145">F65*8</f>
        <v>216</v>
      </c>
      <c r="G72" s="150">
        <f t="shared" si="145"/>
        <v>144</v>
      </c>
      <c r="H72" s="150">
        <f t="shared" si="145"/>
        <v>112</v>
      </c>
      <c r="I72" s="150">
        <f t="shared" si="145"/>
        <v>112</v>
      </c>
      <c r="J72" s="12"/>
      <c r="K72" s="176">
        <f>K65*8</f>
        <v>240</v>
      </c>
      <c r="L72" s="176">
        <f t="shared" ref="L72:O72" si="146">L65*8</f>
        <v>120</v>
      </c>
      <c r="M72" s="177">
        <f t="shared" si="146"/>
        <v>80</v>
      </c>
      <c r="N72" s="176">
        <f t="shared" si="146"/>
        <v>60</v>
      </c>
      <c r="O72" s="176">
        <f t="shared" si="146"/>
        <v>60</v>
      </c>
    </row>
    <row r="73" spans="1:15" s="16" customFormat="1">
      <c r="A73" s="169"/>
      <c r="B73" s="59"/>
      <c r="D73" s="168">
        <v>9</v>
      </c>
      <c r="E73" s="150">
        <f>E65*9</f>
        <v>486</v>
      </c>
      <c r="F73" s="150">
        <f t="shared" ref="F73:I73" si="147">F65*9</f>
        <v>243</v>
      </c>
      <c r="G73" s="150">
        <f t="shared" si="147"/>
        <v>162</v>
      </c>
      <c r="H73" s="150">
        <f t="shared" si="147"/>
        <v>126</v>
      </c>
      <c r="I73" s="150">
        <f t="shared" si="147"/>
        <v>126</v>
      </c>
      <c r="J73" s="12"/>
      <c r="K73" s="176">
        <f>K65*9</f>
        <v>270</v>
      </c>
      <c r="L73" s="176">
        <f t="shared" ref="L73:O73" si="148">L65*9</f>
        <v>135</v>
      </c>
      <c r="M73" s="177">
        <f t="shared" si="148"/>
        <v>90</v>
      </c>
      <c r="N73" s="176">
        <f t="shared" si="148"/>
        <v>67.5</v>
      </c>
      <c r="O73" s="176">
        <f t="shared" si="148"/>
        <v>67.5</v>
      </c>
    </row>
    <row r="74" spans="1:15" s="16" customFormat="1">
      <c r="A74" s="169"/>
      <c r="B74" s="59"/>
      <c r="D74" s="168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>
      <c r="A75" s="170" t="s">
        <v>142</v>
      </c>
      <c r="B75" s="108" t="s">
        <v>53</v>
      </c>
      <c r="C75" s="16" t="s">
        <v>151</v>
      </c>
      <c r="D75" s="168">
        <v>1</v>
      </c>
      <c r="E75" s="150">
        <f>ROUNDUP(K75*1.6,0)</f>
        <v>64</v>
      </c>
      <c r="F75" s="150">
        <f t="shared" ref="F75:I75" si="149">ROUNDUP(L75*1.6,0)</f>
        <v>32</v>
      </c>
      <c r="G75" s="150">
        <f t="shared" si="149"/>
        <v>22</v>
      </c>
      <c r="H75" s="150">
        <f t="shared" si="149"/>
        <v>16</v>
      </c>
      <c r="I75" s="150">
        <f t="shared" si="149"/>
        <v>16</v>
      </c>
      <c r="J75" s="12"/>
      <c r="K75" s="150">
        <v>40</v>
      </c>
      <c r="L75" s="150">
        <f>K75/2</f>
        <v>20</v>
      </c>
      <c r="M75" s="151">
        <f>K75/3</f>
        <v>13.333333333333334</v>
      </c>
      <c r="N75" s="150">
        <f>K75/4</f>
        <v>10</v>
      </c>
      <c r="O75" s="150">
        <f>N75</f>
        <v>10</v>
      </c>
    </row>
    <row r="76" spans="1:15">
      <c r="A76" s="171"/>
      <c r="B76" s="171"/>
      <c r="D76" s="17">
        <v>2</v>
      </c>
      <c r="E76" s="150">
        <f>E75*2</f>
        <v>128</v>
      </c>
      <c r="F76" s="150">
        <f t="shared" ref="F76" si="150">F75*2</f>
        <v>64</v>
      </c>
      <c r="G76" s="150">
        <f t="shared" ref="G76" si="151">G75*2</f>
        <v>44</v>
      </c>
      <c r="H76" s="150">
        <f t="shared" ref="H76" si="152">H75*2</f>
        <v>32</v>
      </c>
      <c r="I76" s="150">
        <f t="shared" ref="I76" si="153">I75*2</f>
        <v>32</v>
      </c>
      <c r="J76" s="12"/>
      <c r="K76" s="176">
        <f>K75*2</f>
        <v>80</v>
      </c>
      <c r="L76" s="176">
        <f t="shared" ref="L76" si="154">L75*2</f>
        <v>40</v>
      </c>
      <c r="M76" s="177">
        <f t="shared" ref="M76" si="155">M75*2</f>
        <v>26.666666666666668</v>
      </c>
      <c r="N76" s="176">
        <f t="shared" ref="N76" si="156">N75*2</f>
        <v>20</v>
      </c>
      <c r="O76" s="176">
        <f t="shared" ref="O76" si="157">O75*2</f>
        <v>20</v>
      </c>
    </row>
    <row r="77" spans="1:15">
      <c r="A77" s="171"/>
      <c r="B77" s="171"/>
      <c r="D77" s="17">
        <v>3</v>
      </c>
      <c r="E77" s="150">
        <f>E75*3</f>
        <v>192</v>
      </c>
      <c r="F77" s="150">
        <f t="shared" ref="F77:I77" si="158">F75*3</f>
        <v>96</v>
      </c>
      <c r="G77" s="150">
        <f t="shared" si="158"/>
        <v>66</v>
      </c>
      <c r="H77" s="150">
        <f t="shared" si="158"/>
        <v>48</v>
      </c>
      <c r="I77" s="150">
        <f t="shared" si="158"/>
        <v>48</v>
      </c>
      <c r="J77" s="12"/>
      <c r="K77" s="176">
        <f>K75*3</f>
        <v>120</v>
      </c>
      <c r="L77" s="176">
        <f t="shared" ref="L77:O77" si="159">L75*3</f>
        <v>60</v>
      </c>
      <c r="M77" s="177">
        <f t="shared" si="159"/>
        <v>40</v>
      </c>
      <c r="N77" s="176">
        <f t="shared" si="159"/>
        <v>30</v>
      </c>
      <c r="O77" s="176">
        <f t="shared" si="159"/>
        <v>30</v>
      </c>
    </row>
    <row r="78" spans="1:15">
      <c r="A78" s="171"/>
      <c r="B78" s="171"/>
      <c r="D78" s="168">
        <v>4</v>
      </c>
      <c r="E78" s="150">
        <f>E75*4</f>
        <v>256</v>
      </c>
      <c r="F78" s="150">
        <f t="shared" ref="F78:I78" si="160">F75*4</f>
        <v>128</v>
      </c>
      <c r="G78" s="150">
        <f t="shared" si="160"/>
        <v>88</v>
      </c>
      <c r="H78" s="150">
        <f t="shared" si="160"/>
        <v>64</v>
      </c>
      <c r="I78" s="150">
        <f t="shared" si="160"/>
        <v>64</v>
      </c>
      <c r="J78" s="12"/>
      <c r="K78" s="176">
        <f>K75*4</f>
        <v>160</v>
      </c>
      <c r="L78" s="176">
        <f t="shared" ref="L78:O78" si="161">L75*4</f>
        <v>80</v>
      </c>
      <c r="M78" s="177">
        <f t="shared" si="161"/>
        <v>53.333333333333336</v>
      </c>
      <c r="N78" s="176">
        <f t="shared" si="161"/>
        <v>40</v>
      </c>
      <c r="O78" s="176">
        <f t="shared" si="161"/>
        <v>40</v>
      </c>
    </row>
    <row r="79" spans="1:15">
      <c r="A79" s="171"/>
      <c r="B79" s="171"/>
      <c r="D79" s="168">
        <v>5</v>
      </c>
      <c r="E79" s="150">
        <f>E75*5</f>
        <v>320</v>
      </c>
      <c r="F79" s="150">
        <f t="shared" ref="F79:I79" si="162">F75*5</f>
        <v>160</v>
      </c>
      <c r="G79" s="150">
        <f t="shared" si="162"/>
        <v>110</v>
      </c>
      <c r="H79" s="150">
        <f t="shared" si="162"/>
        <v>80</v>
      </c>
      <c r="I79" s="150">
        <f t="shared" si="162"/>
        <v>80</v>
      </c>
      <c r="J79" s="12"/>
      <c r="K79" s="176">
        <f>K75*5</f>
        <v>200</v>
      </c>
      <c r="L79" s="176">
        <f t="shared" ref="L79:O79" si="163">L75*5</f>
        <v>100</v>
      </c>
      <c r="M79" s="177">
        <f t="shared" si="163"/>
        <v>66.666666666666671</v>
      </c>
      <c r="N79" s="176">
        <f t="shared" si="163"/>
        <v>50</v>
      </c>
      <c r="O79" s="176">
        <f t="shared" si="163"/>
        <v>50</v>
      </c>
    </row>
    <row r="80" spans="1:15">
      <c r="A80" s="171"/>
      <c r="B80" s="171"/>
      <c r="D80" s="168">
        <v>6</v>
      </c>
      <c r="E80" s="150">
        <f>E75*6</f>
        <v>384</v>
      </c>
      <c r="F80" s="150">
        <f t="shared" ref="F80:I80" si="164">F75*6</f>
        <v>192</v>
      </c>
      <c r="G80" s="150">
        <f t="shared" si="164"/>
        <v>132</v>
      </c>
      <c r="H80" s="150">
        <f t="shared" si="164"/>
        <v>96</v>
      </c>
      <c r="I80" s="150">
        <f t="shared" si="164"/>
        <v>96</v>
      </c>
      <c r="J80" s="12"/>
      <c r="K80" s="176">
        <f>K75*6</f>
        <v>240</v>
      </c>
      <c r="L80" s="176">
        <f t="shared" ref="L80:O80" si="165">L75*6</f>
        <v>120</v>
      </c>
      <c r="M80" s="177">
        <f t="shared" si="165"/>
        <v>80</v>
      </c>
      <c r="N80" s="176">
        <f t="shared" si="165"/>
        <v>60</v>
      </c>
      <c r="O80" s="176">
        <f t="shared" si="165"/>
        <v>60</v>
      </c>
    </row>
    <row r="81" spans="1:15">
      <c r="A81" s="171"/>
      <c r="B81" s="171"/>
      <c r="D81" s="168">
        <v>7</v>
      </c>
      <c r="E81" s="150">
        <f>E75*7</f>
        <v>448</v>
      </c>
      <c r="F81" s="150">
        <f t="shared" ref="F81:I81" si="166">F75*7</f>
        <v>224</v>
      </c>
      <c r="G81" s="150">
        <f t="shared" si="166"/>
        <v>154</v>
      </c>
      <c r="H81" s="150">
        <f t="shared" si="166"/>
        <v>112</v>
      </c>
      <c r="I81" s="150">
        <f t="shared" si="166"/>
        <v>112</v>
      </c>
      <c r="J81" s="12"/>
      <c r="K81" s="176">
        <f>K75*7</f>
        <v>280</v>
      </c>
      <c r="L81" s="176">
        <f t="shared" ref="L81:O81" si="167">L75*7</f>
        <v>140</v>
      </c>
      <c r="M81" s="177">
        <f t="shared" si="167"/>
        <v>93.333333333333343</v>
      </c>
      <c r="N81" s="176">
        <f t="shared" si="167"/>
        <v>70</v>
      </c>
      <c r="O81" s="176">
        <f t="shared" si="167"/>
        <v>70</v>
      </c>
    </row>
    <row r="82" spans="1:15">
      <c r="A82" s="171"/>
      <c r="B82" s="171"/>
      <c r="D82" s="168">
        <v>8</v>
      </c>
      <c r="E82" s="150">
        <f>E75*8</f>
        <v>512</v>
      </c>
      <c r="F82" s="150">
        <f t="shared" ref="F82:I82" si="168">F75*8</f>
        <v>256</v>
      </c>
      <c r="G82" s="150">
        <f t="shared" si="168"/>
        <v>176</v>
      </c>
      <c r="H82" s="150">
        <f t="shared" si="168"/>
        <v>128</v>
      </c>
      <c r="I82" s="150">
        <f t="shared" si="168"/>
        <v>128</v>
      </c>
      <c r="J82" s="12"/>
      <c r="K82" s="176">
        <f>K75*8</f>
        <v>320</v>
      </c>
      <c r="L82" s="176">
        <f t="shared" ref="L82:O82" si="169">L75*8</f>
        <v>160</v>
      </c>
      <c r="M82" s="177">
        <f t="shared" si="169"/>
        <v>106.66666666666667</v>
      </c>
      <c r="N82" s="176">
        <f t="shared" si="169"/>
        <v>80</v>
      </c>
      <c r="O82" s="176">
        <f t="shared" si="169"/>
        <v>80</v>
      </c>
    </row>
    <row r="83" spans="1:15">
      <c r="A83" s="171"/>
      <c r="B83" s="171"/>
      <c r="D83" s="168">
        <v>9</v>
      </c>
      <c r="E83" s="150">
        <f>E75*9</f>
        <v>576</v>
      </c>
      <c r="F83" s="150">
        <f t="shared" ref="F83:H83" si="170">F75*9</f>
        <v>288</v>
      </c>
      <c r="G83" s="150">
        <f t="shared" si="170"/>
        <v>198</v>
      </c>
      <c r="H83" s="150">
        <f t="shared" si="170"/>
        <v>144</v>
      </c>
      <c r="I83" s="150">
        <f>I75*9</f>
        <v>144</v>
      </c>
      <c r="J83" s="12"/>
      <c r="K83" s="176">
        <f>K75*9</f>
        <v>360</v>
      </c>
      <c r="L83" s="176">
        <f t="shared" ref="L83:O83" si="171">L75*9</f>
        <v>180</v>
      </c>
      <c r="M83" s="177">
        <f t="shared" si="171"/>
        <v>120</v>
      </c>
      <c r="N83" s="176">
        <f t="shared" si="171"/>
        <v>90</v>
      </c>
      <c r="O83" s="176">
        <f t="shared" si="171"/>
        <v>90</v>
      </c>
    </row>
    <row r="85" spans="1:15">
      <c r="A85" s="170" t="s">
        <v>36</v>
      </c>
      <c r="B85" s="108" t="s">
        <v>53</v>
      </c>
      <c r="C85" s="16" t="s">
        <v>153</v>
      </c>
      <c r="D85" s="168">
        <v>1</v>
      </c>
      <c r="E85" s="150">
        <f>ROUNDUP(K85*1.25,0)</f>
        <v>113</v>
      </c>
      <c r="F85" s="150">
        <f t="shared" ref="F85:I85" si="172">ROUNDUP(L85*1.25,0)</f>
        <v>57</v>
      </c>
      <c r="G85" s="150">
        <f t="shared" si="172"/>
        <v>46</v>
      </c>
      <c r="H85" s="150">
        <f t="shared" si="172"/>
        <v>41</v>
      </c>
      <c r="I85" s="150">
        <f t="shared" si="172"/>
        <v>41</v>
      </c>
      <c r="J85" s="12"/>
      <c r="K85" s="151">
        <v>90</v>
      </c>
      <c r="L85" s="151">
        <f>K85/2</f>
        <v>45</v>
      </c>
      <c r="M85" s="151">
        <f>110/3</f>
        <v>36.666666666666664</v>
      </c>
      <c r="N85" s="151">
        <f>130/4</f>
        <v>32.5</v>
      </c>
      <c r="O85" s="151">
        <f>N85</f>
        <v>32.5</v>
      </c>
    </row>
    <row r="86" spans="1:15">
      <c r="A86" s="171"/>
      <c r="B86" s="171"/>
      <c r="C86" s="16"/>
      <c r="D86" s="17">
        <v>2</v>
      </c>
      <c r="E86" s="150">
        <f>E85*2</f>
        <v>226</v>
      </c>
      <c r="F86" s="150">
        <f t="shared" ref="F86:I86" si="173">F85*2</f>
        <v>114</v>
      </c>
      <c r="G86" s="150">
        <f t="shared" si="173"/>
        <v>92</v>
      </c>
      <c r="H86" s="150">
        <f t="shared" si="173"/>
        <v>82</v>
      </c>
      <c r="I86" s="150">
        <f t="shared" si="173"/>
        <v>82</v>
      </c>
      <c r="J86" s="12"/>
      <c r="K86" s="177">
        <f>K85*2</f>
        <v>180</v>
      </c>
      <c r="L86" s="177">
        <f t="shared" ref="L86:O86" si="174">L85*2</f>
        <v>90</v>
      </c>
      <c r="M86" s="177">
        <f t="shared" si="174"/>
        <v>73.333333333333329</v>
      </c>
      <c r="N86" s="177">
        <f t="shared" si="174"/>
        <v>65</v>
      </c>
      <c r="O86" s="177">
        <f t="shared" si="174"/>
        <v>65</v>
      </c>
    </row>
    <row r="87" spans="1:15">
      <c r="A87" s="171"/>
      <c r="B87" s="171"/>
      <c r="C87" s="16"/>
      <c r="D87" s="17">
        <v>3</v>
      </c>
      <c r="E87" s="150">
        <f>E85*3</f>
        <v>339</v>
      </c>
      <c r="F87" s="150">
        <f t="shared" ref="F87:I87" si="175">F85*3</f>
        <v>171</v>
      </c>
      <c r="G87" s="150">
        <f t="shared" si="175"/>
        <v>138</v>
      </c>
      <c r="H87" s="150">
        <f t="shared" si="175"/>
        <v>123</v>
      </c>
      <c r="I87" s="150">
        <f t="shared" si="175"/>
        <v>123</v>
      </c>
      <c r="J87" s="12"/>
      <c r="K87" s="177">
        <f>K85*3</f>
        <v>270</v>
      </c>
      <c r="L87" s="177">
        <f t="shared" ref="L87:O87" si="176">L85*3</f>
        <v>135</v>
      </c>
      <c r="M87" s="177">
        <f t="shared" si="176"/>
        <v>110</v>
      </c>
      <c r="N87" s="177">
        <f t="shared" si="176"/>
        <v>97.5</v>
      </c>
      <c r="O87" s="177">
        <f t="shared" si="176"/>
        <v>97.5</v>
      </c>
    </row>
    <row r="88" spans="1:15">
      <c r="A88" s="171"/>
      <c r="B88" s="171"/>
      <c r="C88" s="16"/>
      <c r="D88" s="168">
        <v>4</v>
      </c>
      <c r="E88" s="150">
        <f>E85*4</f>
        <v>452</v>
      </c>
      <c r="F88" s="150">
        <f t="shared" ref="F88:I88" si="177">F85*4</f>
        <v>228</v>
      </c>
      <c r="G88" s="150">
        <f t="shared" si="177"/>
        <v>184</v>
      </c>
      <c r="H88" s="150">
        <f t="shared" si="177"/>
        <v>164</v>
      </c>
      <c r="I88" s="150">
        <f t="shared" si="177"/>
        <v>164</v>
      </c>
      <c r="J88" s="12"/>
      <c r="K88" s="177">
        <f>K85*4</f>
        <v>360</v>
      </c>
      <c r="L88" s="177">
        <f t="shared" ref="L88:O88" si="178">L85*4</f>
        <v>180</v>
      </c>
      <c r="M88" s="177">
        <f t="shared" si="178"/>
        <v>146.66666666666666</v>
      </c>
      <c r="N88" s="177">
        <f t="shared" si="178"/>
        <v>130</v>
      </c>
      <c r="O88" s="177">
        <f t="shared" si="178"/>
        <v>130</v>
      </c>
    </row>
    <row r="89" spans="1:15">
      <c r="A89" s="171"/>
      <c r="B89" s="171"/>
      <c r="C89" s="16"/>
      <c r="D89" s="168">
        <v>5</v>
      </c>
      <c r="E89" s="150">
        <f>E85*5</f>
        <v>565</v>
      </c>
      <c r="F89" s="150">
        <f t="shared" ref="F89:I89" si="179">F85*5</f>
        <v>285</v>
      </c>
      <c r="G89" s="150">
        <f t="shared" si="179"/>
        <v>230</v>
      </c>
      <c r="H89" s="150">
        <f t="shared" si="179"/>
        <v>205</v>
      </c>
      <c r="I89" s="150">
        <f t="shared" si="179"/>
        <v>205</v>
      </c>
      <c r="J89" s="12"/>
      <c r="K89" s="177">
        <f>K85*5</f>
        <v>450</v>
      </c>
      <c r="L89" s="177">
        <f t="shared" ref="L89:O89" si="180">L85*5</f>
        <v>225</v>
      </c>
      <c r="M89" s="177">
        <f t="shared" si="180"/>
        <v>183.33333333333331</v>
      </c>
      <c r="N89" s="177">
        <f t="shared" si="180"/>
        <v>162.5</v>
      </c>
      <c r="O89" s="177">
        <f t="shared" si="180"/>
        <v>162.5</v>
      </c>
    </row>
    <row r="90" spans="1:15">
      <c r="A90" s="171"/>
      <c r="B90" s="171"/>
      <c r="C90" s="16"/>
      <c r="D90" s="168">
        <v>6</v>
      </c>
      <c r="E90" s="150">
        <f>E85*6</f>
        <v>678</v>
      </c>
      <c r="F90" s="150">
        <f t="shared" ref="F90:I90" si="181">F85*6</f>
        <v>342</v>
      </c>
      <c r="G90" s="150">
        <f t="shared" si="181"/>
        <v>276</v>
      </c>
      <c r="H90" s="150">
        <f t="shared" si="181"/>
        <v>246</v>
      </c>
      <c r="I90" s="150">
        <f t="shared" si="181"/>
        <v>246</v>
      </c>
      <c r="J90" s="12"/>
      <c r="K90" s="177">
        <f>K85*6</f>
        <v>540</v>
      </c>
      <c r="L90" s="177">
        <f t="shared" ref="L90:O90" si="182">L85*6</f>
        <v>270</v>
      </c>
      <c r="M90" s="177">
        <f t="shared" si="182"/>
        <v>220</v>
      </c>
      <c r="N90" s="177">
        <f t="shared" si="182"/>
        <v>195</v>
      </c>
      <c r="O90" s="177">
        <f t="shared" si="182"/>
        <v>195</v>
      </c>
    </row>
    <row r="91" spans="1:15">
      <c r="A91" s="171"/>
      <c r="B91" s="171"/>
      <c r="C91" s="16"/>
      <c r="D91" s="168">
        <v>7</v>
      </c>
      <c r="E91" s="150">
        <f>E85*7</f>
        <v>791</v>
      </c>
      <c r="F91" s="150">
        <f t="shared" ref="F91:I91" si="183">F85*7</f>
        <v>399</v>
      </c>
      <c r="G91" s="150">
        <f t="shared" si="183"/>
        <v>322</v>
      </c>
      <c r="H91" s="150">
        <f t="shared" si="183"/>
        <v>287</v>
      </c>
      <c r="I91" s="150">
        <f t="shared" si="183"/>
        <v>287</v>
      </c>
      <c r="J91" s="12"/>
      <c r="K91" s="177">
        <f>K85*7</f>
        <v>630</v>
      </c>
      <c r="L91" s="177">
        <f t="shared" ref="L91:O91" si="184">L85*7</f>
        <v>315</v>
      </c>
      <c r="M91" s="177">
        <f t="shared" si="184"/>
        <v>256.66666666666663</v>
      </c>
      <c r="N91" s="177">
        <f t="shared" si="184"/>
        <v>227.5</v>
      </c>
      <c r="O91" s="177">
        <f t="shared" si="184"/>
        <v>227.5</v>
      </c>
    </row>
    <row r="92" spans="1:15">
      <c r="A92" s="171"/>
      <c r="B92" s="171"/>
      <c r="C92" s="16"/>
      <c r="D92" s="168">
        <v>8</v>
      </c>
      <c r="E92" s="150">
        <f>E85*8</f>
        <v>904</v>
      </c>
      <c r="F92" s="150">
        <f t="shared" ref="F92:I92" si="185">F85*8</f>
        <v>456</v>
      </c>
      <c r="G92" s="150">
        <f t="shared" si="185"/>
        <v>368</v>
      </c>
      <c r="H92" s="150">
        <f t="shared" si="185"/>
        <v>328</v>
      </c>
      <c r="I92" s="150">
        <f t="shared" si="185"/>
        <v>328</v>
      </c>
      <c r="J92" s="12"/>
      <c r="K92" s="177">
        <f>K85*8</f>
        <v>720</v>
      </c>
      <c r="L92" s="177">
        <f t="shared" ref="L92:O92" si="186">L85*8</f>
        <v>360</v>
      </c>
      <c r="M92" s="177">
        <f t="shared" si="186"/>
        <v>293.33333333333331</v>
      </c>
      <c r="N92" s="177">
        <f t="shared" si="186"/>
        <v>260</v>
      </c>
      <c r="O92" s="177">
        <f t="shared" si="186"/>
        <v>260</v>
      </c>
    </row>
    <row r="93" spans="1:15">
      <c r="A93" s="171"/>
      <c r="B93" s="171"/>
      <c r="C93" s="16"/>
      <c r="D93" s="168">
        <v>9</v>
      </c>
      <c r="E93" s="150">
        <f>E85*9</f>
        <v>1017</v>
      </c>
      <c r="F93" s="150">
        <f t="shared" ref="F93:H93" si="187">F85*9</f>
        <v>513</v>
      </c>
      <c r="G93" s="150">
        <f t="shared" si="187"/>
        <v>414</v>
      </c>
      <c r="H93" s="150">
        <f t="shared" si="187"/>
        <v>369</v>
      </c>
      <c r="I93" s="150">
        <f>I85*9</f>
        <v>369</v>
      </c>
      <c r="J93" s="12"/>
      <c r="K93" s="177">
        <f>K85*9</f>
        <v>810</v>
      </c>
      <c r="L93" s="177">
        <f t="shared" ref="L93:O93" si="188">L85*9</f>
        <v>405</v>
      </c>
      <c r="M93" s="177">
        <f t="shared" si="188"/>
        <v>330</v>
      </c>
      <c r="N93" s="177">
        <f t="shared" si="188"/>
        <v>292.5</v>
      </c>
      <c r="O93" s="177">
        <f t="shared" si="188"/>
        <v>292.5</v>
      </c>
    </row>
    <row r="94" spans="1:15" s="16" customFormat="1">
      <c r="A94" s="190"/>
      <c r="B94" s="190"/>
      <c r="C94" s="69">
        <v>2014</v>
      </c>
      <c r="D94" s="230">
        <v>1</v>
      </c>
      <c r="E94" s="223"/>
      <c r="F94" s="223"/>
      <c r="G94" s="223"/>
      <c r="H94" s="223"/>
      <c r="I94" s="223"/>
      <c r="J94" s="69"/>
      <c r="K94" s="231">
        <v>90</v>
      </c>
      <c r="L94" s="231">
        <f>90/2</f>
        <v>45</v>
      </c>
      <c r="M94" s="231">
        <f>120/3</f>
        <v>40</v>
      </c>
      <c r="N94" s="231">
        <f>150/4</f>
        <v>37.5</v>
      </c>
      <c r="O94" s="231">
        <v>37.5</v>
      </c>
    </row>
    <row r="95" spans="1:15" s="16" customFormat="1">
      <c r="A95" s="190"/>
      <c r="B95" s="190"/>
      <c r="D95" s="168"/>
      <c r="E95" s="150"/>
      <c r="F95" s="150"/>
      <c r="G95" s="150"/>
      <c r="H95" s="150"/>
      <c r="I95" s="150"/>
      <c r="J95" s="12"/>
      <c r="K95" s="177"/>
      <c r="L95" s="177"/>
      <c r="M95" s="177"/>
      <c r="N95" s="177"/>
      <c r="O95" s="177"/>
    </row>
    <row r="97" spans="1:15">
      <c r="A97" s="170" t="s">
        <v>154</v>
      </c>
      <c r="B97" s="108" t="s">
        <v>53</v>
      </c>
      <c r="C97" s="16" t="s">
        <v>153</v>
      </c>
      <c r="D97" s="168">
        <v>1</v>
      </c>
      <c r="E97" s="150">
        <f>ROUNDUP(K97*1.25,0)</f>
        <v>100</v>
      </c>
      <c r="F97" s="150">
        <f t="shared" ref="F97:I97" si="189">ROUNDUP(L97*1.25,0)</f>
        <v>50</v>
      </c>
      <c r="G97" s="150">
        <f t="shared" si="189"/>
        <v>34</v>
      </c>
      <c r="H97" s="150">
        <f t="shared" si="189"/>
        <v>25</v>
      </c>
      <c r="I97" s="150">
        <f t="shared" si="189"/>
        <v>25</v>
      </c>
      <c r="J97" s="12"/>
      <c r="K97" s="150">
        <v>80</v>
      </c>
      <c r="L97" s="150">
        <f>K97/2</f>
        <v>40</v>
      </c>
      <c r="M97" s="151">
        <f>K97/3</f>
        <v>26.666666666666668</v>
      </c>
      <c r="N97" s="150">
        <f>K97/4</f>
        <v>20</v>
      </c>
      <c r="O97" s="150">
        <f>N97</f>
        <v>20</v>
      </c>
    </row>
    <row r="98" spans="1:15">
      <c r="A98" s="171"/>
      <c r="B98" s="171"/>
      <c r="C98" s="16"/>
      <c r="D98" s="17">
        <v>2</v>
      </c>
      <c r="E98" s="150">
        <f>E97*2</f>
        <v>200</v>
      </c>
      <c r="F98" s="150">
        <f t="shared" ref="F98:I98" si="190">F97*2</f>
        <v>100</v>
      </c>
      <c r="G98" s="150">
        <f t="shared" si="190"/>
        <v>68</v>
      </c>
      <c r="H98" s="150">
        <f t="shared" si="190"/>
        <v>50</v>
      </c>
      <c r="I98" s="150">
        <f t="shared" si="190"/>
        <v>50</v>
      </c>
      <c r="J98" s="12"/>
      <c r="K98" s="176">
        <f>K97*2</f>
        <v>160</v>
      </c>
      <c r="L98" s="176">
        <f t="shared" ref="L98:O98" si="191">L97*2</f>
        <v>80</v>
      </c>
      <c r="M98" s="177">
        <f t="shared" si="191"/>
        <v>53.333333333333336</v>
      </c>
      <c r="N98" s="176">
        <f t="shared" si="191"/>
        <v>40</v>
      </c>
      <c r="O98" s="176">
        <f t="shared" si="191"/>
        <v>40</v>
      </c>
    </row>
    <row r="99" spans="1:15">
      <c r="A99" s="171"/>
      <c r="B99" s="171"/>
      <c r="C99" s="16"/>
      <c r="D99" s="17">
        <v>3</v>
      </c>
      <c r="E99" s="150">
        <f>E97*3</f>
        <v>300</v>
      </c>
      <c r="F99" s="150">
        <f t="shared" ref="F99:I99" si="192">F97*3</f>
        <v>150</v>
      </c>
      <c r="G99" s="150">
        <f t="shared" si="192"/>
        <v>102</v>
      </c>
      <c r="H99" s="150">
        <f t="shared" si="192"/>
        <v>75</v>
      </c>
      <c r="I99" s="150">
        <f t="shared" si="192"/>
        <v>75</v>
      </c>
      <c r="J99" s="12"/>
      <c r="K99" s="176">
        <f>K97*3</f>
        <v>240</v>
      </c>
      <c r="L99" s="176">
        <f t="shared" ref="L99:O99" si="193">L97*3</f>
        <v>120</v>
      </c>
      <c r="M99" s="177">
        <f t="shared" si="193"/>
        <v>80</v>
      </c>
      <c r="N99" s="176">
        <f t="shared" si="193"/>
        <v>60</v>
      </c>
      <c r="O99" s="176">
        <f t="shared" si="193"/>
        <v>60</v>
      </c>
    </row>
    <row r="100" spans="1:15">
      <c r="A100" s="171"/>
      <c r="B100" s="171"/>
      <c r="C100" s="16"/>
      <c r="D100" s="168">
        <v>4</v>
      </c>
      <c r="E100" s="150">
        <f>E97*4</f>
        <v>400</v>
      </c>
      <c r="F100" s="150">
        <f t="shared" ref="F100:I100" si="194">F97*4</f>
        <v>200</v>
      </c>
      <c r="G100" s="150">
        <f t="shared" si="194"/>
        <v>136</v>
      </c>
      <c r="H100" s="150">
        <f t="shared" si="194"/>
        <v>100</v>
      </c>
      <c r="I100" s="150">
        <f t="shared" si="194"/>
        <v>100</v>
      </c>
      <c r="J100" s="12"/>
      <c r="K100" s="176">
        <f>K97*4</f>
        <v>320</v>
      </c>
      <c r="L100" s="176">
        <f t="shared" ref="L100:O100" si="195">L97*4</f>
        <v>160</v>
      </c>
      <c r="M100" s="177">
        <f t="shared" si="195"/>
        <v>106.66666666666667</v>
      </c>
      <c r="N100" s="176">
        <f t="shared" si="195"/>
        <v>80</v>
      </c>
      <c r="O100" s="176">
        <f t="shared" si="195"/>
        <v>80</v>
      </c>
    </row>
    <row r="101" spans="1:15">
      <c r="A101" s="171"/>
      <c r="B101" s="171"/>
      <c r="C101" s="16"/>
      <c r="D101" s="168">
        <v>5</v>
      </c>
      <c r="E101" s="150">
        <f>E97*5</f>
        <v>500</v>
      </c>
      <c r="F101" s="150">
        <f t="shared" ref="F101:I101" si="196">F97*5</f>
        <v>250</v>
      </c>
      <c r="G101" s="150">
        <f t="shared" si="196"/>
        <v>170</v>
      </c>
      <c r="H101" s="150">
        <f t="shared" si="196"/>
        <v>125</v>
      </c>
      <c r="I101" s="150">
        <f t="shared" si="196"/>
        <v>125</v>
      </c>
      <c r="J101" s="12"/>
      <c r="K101" s="176">
        <f>K97*5</f>
        <v>400</v>
      </c>
      <c r="L101" s="176">
        <f t="shared" ref="L101:O101" si="197">L97*5</f>
        <v>200</v>
      </c>
      <c r="M101" s="177">
        <f t="shared" si="197"/>
        <v>133.33333333333334</v>
      </c>
      <c r="N101" s="176">
        <f t="shared" si="197"/>
        <v>100</v>
      </c>
      <c r="O101" s="176">
        <f t="shared" si="197"/>
        <v>100</v>
      </c>
    </row>
    <row r="102" spans="1:15">
      <c r="A102" s="171"/>
      <c r="B102" s="171"/>
      <c r="C102" s="16"/>
      <c r="D102" s="168">
        <v>6</v>
      </c>
      <c r="E102" s="150">
        <f>E97*6</f>
        <v>600</v>
      </c>
      <c r="F102" s="150">
        <f t="shared" ref="F102:I102" si="198">F97*6</f>
        <v>300</v>
      </c>
      <c r="G102" s="150">
        <f t="shared" si="198"/>
        <v>204</v>
      </c>
      <c r="H102" s="150">
        <f t="shared" si="198"/>
        <v>150</v>
      </c>
      <c r="I102" s="150">
        <f t="shared" si="198"/>
        <v>150</v>
      </c>
      <c r="J102" s="12"/>
      <c r="K102" s="176">
        <f>K97*6</f>
        <v>480</v>
      </c>
      <c r="L102" s="176">
        <f t="shared" ref="L102:O102" si="199">L97*6</f>
        <v>240</v>
      </c>
      <c r="M102" s="177">
        <f t="shared" si="199"/>
        <v>160</v>
      </c>
      <c r="N102" s="176">
        <f t="shared" si="199"/>
        <v>120</v>
      </c>
      <c r="O102" s="176">
        <f t="shared" si="199"/>
        <v>120</v>
      </c>
    </row>
    <row r="103" spans="1:15">
      <c r="A103" s="171"/>
      <c r="B103" s="171"/>
      <c r="C103" s="16"/>
      <c r="D103" s="168">
        <v>7</v>
      </c>
      <c r="E103" s="150">
        <f>E97*7</f>
        <v>700</v>
      </c>
      <c r="F103" s="150">
        <f t="shared" ref="F103:I103" si="200">F97*7</f>
        <v>350</v>
      </c>
      <c r="G103" s="150">
        <f t="shared" si="200"/>
        <v>238</v>
      </c>
      <c r="H103" s="150">
        <f t="shared" si="200"/>
        <v>175</v>
      </c>
      <c r="I103" s="150">
        <f t="shared" si="200"/>
        <v>175</v>
      </c>
      <c r="J103" s="12"/>
      <c r="K103" s="176">
        <f>K97*7</f>
        <v>560</v>
      </c>
      <c r="L103" s="176">
        <f t="shared" ref="L103:O103" si="201">L97*7</f>
        <v>280</v>
      </c>
      <c r="M103" s="177">
        <f t="shared" si="201"/>
        <v>186.66666666666669</v>
      </c>
      <c r="N103" s="176">
        <f t="shared" si="201"/>
        <v>140</v>
      </c>
      <c r="O103" s="176">
        <f t="shared" si="201"/>
        <v>140</v>
      </c>
    </row>
    <row r="104" spans="1:15">
      <c r="A104" s="171"/>
      <c r="B104" s="171"/>
      <c r="C104" s="16"/>
      <c r="D104" s="168">
        <v>8</v>
      </c>
      <c r="E104" s="150">
        <f>E97*8</f>
        <v>800</v>
      </c>
      <c r="F104" s="150">
        <f t="shared" ref="F104:I104" si="202">F97*8</f>
        <v>400</v>
      </c>
      <c r="G104" s="150">
        <f t="shared" si="202"/>
        <v>272</v>
      </c>
      <c r="H104" s="150">
        <f t="shared" si="202"/>
        <v>200</v>
      </c>
      <c r="I104" s="150">
        <f t="shared" si="202"/>
        <v>200</v>
      </c>
      <c r="J104" s="12"/>
      <c r="K104" s="176">
        <f>K97*8</f>
        <v>640</v>
      </c>
      <c r="L104" s="176">
        <f t="shared" ref="L104:O104" si="203">L97*8</f>
        <v>320</v>
      </c>
      <c r="M104" s="177">
        <f t="shared" si="203"/>
        <v>213.33333333333334</v>
      </c>
      <c r="N104" s="176">
        <f t="shared" si="203"/>
        <v>160</v>
      </c>
      <c r="O104" s="176">
        <f t="shared" si="203"/>
        <v>160</v>
      </c>
    </row>
    <row r="105" spans="1:15">
      <c r="A105" s="171"/>
      <c r="B105" s="171"/>
      <c r="C105" s="16"/>
      <c r="D105" s="168">
        <v>9</v>
      </c>
      <c r="E105" s="150">
        <f>E97*9</f>
        <v>900</v>
      </c>
      <c r="F105" s="150">
        <f t="shared" ref="F105:H105" si="204">F97*9</f>
        <v>450</v>
      </c>
      <c r="G105" s="150">
        <f t="shared" si="204"/>
        <v>306</v>
      </c>
      <c r="H105" s="150">
        <f t="shared" si="204"/>
        <v>225</v>
      </c>
      <c r="I105" s="150">
        <f>I97*9</f>
        <v>225</v>
      </c>
      <c r="J105" s="12"/>
      <c r="K105" s="176">
        <f>K97*9</f>
        <v>720</v>
      </c>
      <c r="L105" s="176">
        <f t="shared" ref="L105:O105" si="205">L97*9</f>
        <v>360</v>
      </c>
      <c r="M105" s="177">
        <f t="shared" si="205"/>
        <v>240</v>
      </c>
      <c r="N105" s="176">
        <f t="shared" si="205"/>
        <v>180</v>
      </c>
      <c r="O105" s="176">
        <f t="shared" si="205"/>
        <v>180</v>
      </c>
    </row>
    <row r="107" spans="1:15">
      <c r="A107" s="170" t="s">
        <v>161</v>
      </c>
      <c r="B107" s="108" t="s">
        <v>53</v>
      </c>
      <c r="C107" s="16" t="s">
        <v>149</v>
      </c>
      <c r="D107" s="168">
        <v>1</v>
      </c>
      <c r="E107" s="172">
        <f>ROUNDUP(K107*1.8,0)</f>
        <v>54</v>
      </c>
      <c r="F107" s="172">
        <f t="shared" ref="F107" si="206">ROUNDUP(L107*1.8,0)</f>
        <v>27</v>
      </c>
      <c r="G107" s="172">
        <f t="shared" ref="G107" si="207">ROUNDUP(M107*1.8,0)</f>
        <v>18</v>
      </c>
      <c r="H107" s="172">
        <f t="shared" ref="H107" si="208">ROUNDUP(N107*1.8,0)</f>
        <v>14</v>
      </c>
      <c r="I107" s="172">
        <f t="shared" ref="I107" si="209">ROUNDUP(O107*1.8,0)</f>
        <v>14</v>
      </c>
      <c r="J107" s="12"/>
      <c r="K107" s="172">
        <v>30</v>
      </c>
      <c r="L107" s="172">
        <f>K107/2</f>
        <v>15</v>
      </c>
      <c r="M107" s="173">
        <f>K107/3</f>
        <v>10</v>
      </c>
      <c r="N107" s="172">
        <f>K107/4</f>
        <v>7.5</v>
      </c>
      <c r="O107" s="172">
        <f>N107</f>
        <v>7.5</v>
      </c>
    </row>
    <row r="108" spans="1:15">
      <c r="A108" s="171"/>
      <c r="B108" s="171"/>
      <c r="C108" s="16"/>
      <c r="D108" s="17">
        <v>2</v>
      </c>
      <c r="E108" s="172">
        <f>E107*2</f>
        <v>108</v>
      </c>
      <c r="F108" s="172">
        <f t="shared" ref="F108:I108" si="210">F107*2</f>
        <v>54</v>
      </c>
      <c r="G108" s="172">
        <f t="shared" si="210"/>
        <v>36</v>
      </c>
      <c r="H108" s="172">
        <f t="shared" si="210"/>
        <v>28</v>
      </c>
      <c r="I108" s="172">
        <f t="shared" si="210"/>
        <v>28</v>
      </c>
      <c r="J108" s="12"/>
      <c r="K108" s="174">
        <f>K107*2</f>
        <v>60</v>
      </c>
      <c r="L108" s="174">
        <f t="shared" ref="L108:O108" si="211">L107*2</f>
        <v>30</v>
      </c>
      <c r="M108" s="175">
        <f t="shared" si="211"/>
        <v>20</v>
      </c>
      <c r="N108" s="174">
        <f t="shared" si="211"/>
        <v>15</v>
      </c>
      <c r="O108" s="174">
        <f t="shared" si="211"/>
        <v>15</v>
      </c>
    </row>
    <row r="109" spans="1:15">
      <c r="A109" s="171"/>
      <c r="B109" s="171"/>
      <c r="C109" s="16"/>
      <c r="D109" s="17">
        <v>3</v>
      </c>
      <c r="E109" s="172">
        <f>E107*3</f>
        <v>162</v>
      </c>
      <c r="F109" s="172">
        <f t="shared" ref="F109:I109" si="212">F107*3</f>
        <v>81</v>
      </c>
      <c r="G109" s="172">
        <f t="shared" si="212"/>
        <v>54</v>
      </c>
      <c r="H109" s="172">
        <f t="shared" si="212"/>
        <v>42</v>
      </c>
      <c r="I109" s="172">
        <f t="shared" si="212"/>
        <v>42</v>
      </c>
      <c r="J109" s="12"/>
      <c r="K109" s="174">
        <f>K107*3</f>
        <v>90</v>
      </c>
      <c r="L109" s="174">
        <f t="shared" ref="L109:O109" si="213">L107*3</f>
        <v>45</v>
      </c>
      <c r="M109" s="175">
        <f t="shared" si="213"/>
        <v>30</v>
      </c>
      <c r="N109" s="174">
        <f t="shared" si="213"/>
        <v>22.5</v>
      </c>
      <c r="O109" s="174">
        <f t="shared" si="213"/>
        <v>22.5</v>
      </c>
    </row>
    <row r="110" spans="1:15">
      <c r="A110" s="171"/>
      <c r="B110" s="171"/>
      <c r="C110" s="16"/>
      <c r="D110" s="168">
        <v>4</v>
      </c>
      <c r="E110" s="172">
        <f>E107*4</f>
        <v>216</v>
      </c>
      <c r="F110" s="172">
        <f t="shared" ref="F110:I110" si="214">F107*4</f>
        <v>108</v>
      </c>
      <c r="G110" s="172">
        <f t="shared" si="214"/>
        <v>72</v>
      </c>
      <c r="H110" s="172">
        <f t="shared" si="214"/>
        <v>56</v>
      </c>
      <c r="I110" s="172">
        <f t="shared" si="214"/>
        <v>56</v>
      </c>
      <c r="J110" s="12"/>
      <c r="K110" s="174">
        <f>K107*4</f>
        <v>120</v>
      </c>
      <c r="L110" s="174">
        <f t="shared" ref="L110:O110" si="215">L107*4</f>
        <v>60</v>
      </c>
      <c r="M110" s="175">
        <f t="shared" si="215"/>
        <v>40</v>
      </c>
      <c r="N110" s="174">
        <f t="shared" si="215"/>
        <v>30</v>
      </c>
      <c r="O110" s="174">
        <f t="shared" si="215"/>
        <v>30</v>
      </c>
    </row>
    <row r="111" spans="1:15">
      <c r="A111" s="171"/>
      <c r="B111" s="171"/>
      <c r="C111" s="16"/>
      <c r="D111" s="168">
        <v>5</v>
      </c>
      <c r="E111" s="172">
        <f>E107*5</f>
        <v>270</v>
      </c>
      <c r="F111" s="172">
        <f t="shared" ref="F111:I111" si="216">F107*5</f>
        <v>135</v>
      </c>
      <c r="G111" s="172">
        <f t="shared" si="216"/>
        <v>90</v>
      </c>
      <c r="H111" s="172">
        <f t="shared" si="216"/>
        <v>70</v>
      </c>
      <c r="I111" s="172">
        <f t="shared" si="216"/>
        <v>70</v>
      </c>
      <c r="J111" s="12"/>
      <c r="K111" s="174">
        <f>K107*5</f>
        <v>150</v>
      </c>
      <c r="L111" s="174">
        <f t="shared" ref="L111:O111" si="217">L107*5</f>
        <v>75</v>
      </c>
      <c r="M111" s="175">
        <f t="shared" si="217"/>
        <v>50</v>
      </c>
      <c r="N111" s="174">
        <f t="shared" si="217"/>
        <v>37.5</v>
      </c>
      <c r="O111" s="174">
        <f t="shared" si="217"/>
        <v>37.5</v>
      </c>
    </row>
    <row r="112" spans="1:15">
      <c r="A112" s="171"/>
      <c r="B112" s="171"/>
      <c r="C112" s="16"/>
      <c r="D112" s="168">
        <v>6</v>
      </c>
      <c r="E112" s="172">
        <f>E107*6</f>
        <v>324</v>
      </c>
      <c r="F112" s="172">
        <f t="shared" ref="F112:I112" si="218">F107*6</f>
        <v>162</v>
      </c>
      <c r="G112" s="172">
        <f t="shared" si="218"/>
        <v>108</v>
      </c>
      <c r="H112" s="172">
        <f t="shared" si="218"/>
        <v>84</v>
      </c>
      <c r="I112" s="172">
        <f t="shared" si="218"/>
        <v>84</v>
      </c>
      <c r="J112" s="12"/>
      <c r="K112" s="174">
        <f>K107*6</f>
        <v>180</v>
      </c>
      <c r="L112" s="174">
        <f t="shared" ref="L112:O112" si="219">L107*6</f>
        <v>90</v>
      </c>
      <c r="M112" s="175">
        <f t="shared" si="219"/>
        <v>60</v>
      </c>
      <c r="N112" s="174">
        <f t="shared" si="219"/>
        <v>45</v>
      </c>
      <c r="O112" s="174">
        <f t="shared" si="219"/>
        <v>45</v>
      </c>
    </row>
    <row r="113" spans="1:15">
      <c r="A113" s="171"/>
      <c r="B113" s="171"/>
      <c r="C113" s="16"/>
      <c r="D113" s="168">
        <v>7</v>
      </c>
      <c r="E113" s="172">
        <f>E107*7</f>
        <v>378</v>
      </c>
      <c r="F113" s="172">
        <f t="shared" ref="F113:I113" si="220">F107*7</f>
        <v>189</v>
      </c>
      <c r="G113" s="172">
        <f t="shared" si="220"/>
        <v>126</v>
      </c>
      <c r="H113" s="172">
        <f t="shared" si="220"/>
        <v>98</v>
      </c>
      <c r="I113" s="172">
        <f t="shared" si="220"/>
        <v>98</v>
      </c>
      <c r="J113" s="12"/>
      <c r="K113" s="174">
        <f>K107*7</f>
        <v>210</v>
      </c>
      <c r="L113" s="174">
        <f t="shared" ref="L113:O113" si="221">L107*7</f>
        <v>105</v>
      </c>
      <c r="M113" s="175">
        <f t="shared" si="221"/>
        <v>70</v>
      </c>
      <c r="N113" s="174">
        <f t="shared" si="221"/>
        <v>52.5</v>
      </c>
      <c r="O113" s="174">
        <f t="shared" si="221"/>
        <v>52.5</v>
      </c>
    </row>
    <row r="114" spans="1:15">
      <c r="A114" s="171"/>
      <c r="B114" s="171"/>
      <c r="C114" s="16"/>
      <c r="D114" s="168">
        <v>8</v>
      </c>
      <c r="E114" s="172">
        <f>E107*8</f>
        <v>432</v>
      </c>
      <c r="F114" s="172">
        <f t="shared" ref="F114:I114" si="222">F107*8</f>
        <v>216</v>
      </c>
      <c r="G114" s="172">
        <f t="shared" si="222"/>
        <v>144</v>
      </c>
      <c r="H114" s="172">
        <f t="shared" si="222"/>
        <v>112</v>
      </c>
      <c r="I114" s="172">
        <f t="shared" si="222"/>
        <v>112</v>
      </c>
      <c r="J114" s="12"/>
      <c r="K114" s="174">
        <f>K107*8</f>
        <v>240</v>
      </c>
      <c r="L114" s="174">
        <f t="shared" ref="L114:O114" si="223">L107*8</f>
        <v>120</v>
      </c>
      <c r="M114" s="175">
        <f t="shared" si="223"/>
        <v>80</v>
      </c>
      <c r="N114" s="174">
        <f t="shared" si="223"/>
        <v>60</v>
      </c>
      <c r="O114" s="174">
        <f t="shared" si="223"/>
        <v>60</v>
      </c>
    </row>
    <row r="115" spans="1:15">
      <c r="A115" s="171"/>
      <c r="B115" s="171"/>
      <c r="C115" s="16"/>
      <c r="D115" s="168">
        <v>9</v>
      </c>
      <c r="E115" s="172">
        <f>E107*9</f>
        <v>486</v>
      </c>
      <c r="F115" s="172">
        <f t="shared" ref="F115:I115" si="224">F107*9</f>
        <v>243</v>
      </c>
      <c r="G115" s="172">
        <f t="shared" si="224"/>
        <v>162</v>
      </c>
      <c r="H115" s="172">
        <f t="shared" si="224"/>
        <v>126</v>
      </c>
      <c r="I115" s="172">
        <f t="shared" si="224"/>
        <v>126</v>
      </c>
      <c r="J115" s="12"/>
      <c r="K115" s="174">
        <f>K107*9</f>
        <v>270</v>
      </c>
      <c r="L115" s="174">
        <f t="shared" ref="L115:O115" si="225">L107*9</f>
        <v>135</v>
      </c>
      <c r="M115" s="175">
        <f t="shared" si="225"/>
        <v>90</v>
      </c>
      <c r="N115" s="174">
        <f t="shared" si="225"/>
        <v>67.5</v>
      </c>
      <c r="O115" s="174">
        <f t="shared" si="225"/>
        <v>67.5</v>
      </c>
    </row>
    <row r="116" spans="1:15">
      <c r="C116" s="69">
        <v>2014</v>
      </c>
      <c r="D116" s="230">
        <v>1</v>
      </c>
      <c r="E116" s="69"/>
      <c r="F116" s="69"/>
      <c r="G116" s="69"/>
      <c r="H116" s="69"/>
      <c r="I116" s="69"/>
      <c r="J116" s="69"/>
      <c r="K116" s="69">
        <v>90</v>
      </c>
      <c r="L116" s="69">
        <f>90/2</f>
        <v>45</v>
      </c>
      <c r="M116" s="69">
        <f>120/3</f>
        <v>40</v>
      </c>
      <c r="N116" s="69">
        <f>150/4</f>
        <v>37.5</v>
      </c>
      <c r="O116" s="69">
        <v>37.5</v>
      </c>
    </row>
    <row r="123" spans="1:15">
      <c r="A123" s="232" t="s">
        <v>205</v>
      </c>
      <c r="B123" s="232" t="s">
        <v>54</v>
      </c>
      <c r="C123" s="233" t="s">
        <v>206</v>
      </c>
      <c r="D123" s="233">
        <v>1</v>
      </c>
      <c r="E123" s="233"/>
      <c r="F123" s="233"/>
      <c r="G123" s="233"/>
      <c r="H123" s="233"/>
      <c r="I123" s="233"/>
      <c r="J123" s="233"/>
      <c r="K123" s="233">
        <v>85</v>
      </c>
      <c r="L123" s="233">
        <f>85/2</f>
        <v>42.5</v>
      </c>
      <c r="M123" s="233">
        <f>85/3</f>
        <v>28.333333333333332</v>
      </c>
      <c r="N123" s="233">
        <f>85/4</f>
        <v>21.25</v>
      </c>
      <c r="O123" s="233">
        <v>21.25</v>
      </c>
    </row>
    <row r="124" spans="1:15">
      <c r="A124" s="232"/>
      <c r="B124" s="232"/>
      <c r="C124" s="233" t="s">
        <v>207</v>
      </c>
      <c r="D124" s="233">
        <v>1</v>
      </c>
      <c r="E124" s="233"/>
      <c r="F124" s="233"/>
      <c r="G124" s="233"/>
      <c r="H124" s="233"/>
      <c r="I124" s="233"/>
      <c r="J124" s="233"/>
      <c r="K124" s="233">
        <v>145</v>
      </c>
      <c r="L124" s="233">
        <f>145/2</f>
        <v>72.5</v>
      </c>
      <c r="M124" s="233">
        <f>145/3</f>
        <v>48.333333333333336</v>
      </c>
      <c r="N124" s="233">
        <f>145/4</f>
        <v>36.25</v>
      </c>
      <c r="O124" s="233">
        <v>36.25</v>
      </c>
    </row>
    <row r="125" spans="1:15" ht="30">
      <c r="A125" s="232"/>
      <c r="B125" s="232"/>
      <c r="C125" s="234" t="s">
        <v>208</v>
      </c>
      <c r="D125" s="233">
        <v>1</v>
      </c>
      <c r="E125" s="233"/>
      <c r="F125" s="233"/>
      <c r="G125" s="233"/>
      <c r="H125" s="233"/>
      <c r="I125" s="233"/>
      <c r="J125" s="233"/>
      <c r="K125" s="233">
        <v>140</v>
      </c>
      <c r="L125" s="233">
        <f>140/2</f>
        <v>70</v>
      </c>
      <c r="M125" s="233">
        <f>140/3</f>
        <v>46.666666666666664</v>
      </c>
      <c r="N125" s="233">
        <f>140/4</f>
        <v>35</v>
      </c>
      <c r="O125" s="233">
        <v>35</v>
      </c>
    </row>
    <row r="126" spans="1:15">
      <c r="A126" s="232"/>
      <c r="B126" s="232"/>
      <c r="C126" s="234" t="s">
        <v>209</v>
      </c>
      <c r="D126" s="233">
        <v>1</v>
      </c>
      <c r="E126" s="233"/>
      <c r="F126" s="233"/>
      <c r="G126" s="233"/>
      <c r="H126" s="233"/>
      <c r="I126" s="233"/>
      <c r="J126" s="233"/>
      <c r="K126" s="233">
        <v>155</v>
      </c>
      <c r="L126" s="233">
        <f>155/2</f>
        <v>77.5</v>
      </c>
      <c r="M126" s="233">
        <f>155/3</f>
        <v>51.666666666666664</v>
      </c>
      <c r="N126" s="233">
        <f>155/4</f>
        <v>38.75</v>
      </c>
      <c r="O126" s="233">
        <v>38.75</v>
      </c>
    </row>
    <row r="127" spans="1:15" ht="30">
      <c r="A127" s="232"/>
      <c r="B127" s="232"/>
      <c r="C127" s="234" t="s">
        <v>210</v>
      </c>
      <c r="D127" s="233">
        <v>1</v>
      </c>
      <c r="E127" s="233"/>
      <c r="F127" s="233"/>
      <c r="G127" s="233"/>
      <c r="H127" s="233"/>
      <c r="I127" s="233"/>
      <c r="J127" s="233"/>
      <c r="K127" s="233">
        <v>160</v>
      </c>
      <c r="L127" s="233">
        <f>160/2</f>
        <v>80</v>
      </c>
      <c r="M127" s="233">
        <f>160/3</f>
        <v>53.333333333333336</v>
      </c>
      <c r="N127" s="233">
        <f>160/4</f>
        <v>40</v>
      </c>
      <c r="O127" s="23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abSelected="1" workbookViewId="0">
      <selection activeCell="S19" sqref="S19"/>
    </sheetView>
  </sheetViews>
  <sheetFormatPr defaultRowHeight="15"/>
  <cols>
    <col min="1" max="1" width="24.7109375" customWidth="1"/>
    <col min="2" max="2" width="12" customWidth="1"/>
    <col min="3" max="3" width="16.28515625" customWidth="1"/>
    <col min="5" max="5" width="9.85546875" bestFit="1" customWidth="1"/>
  </cols>
  <sheetData>
    <row r="2" spans="1:15">
      <c r="E2" t="s">
        <v>227</v>
      </c>
      <c r="K2" t="s">
        <v>27</v>
      </c>
    </row>
    <row r="3" spans="1:15" ht="24">
      <c r="A3" t="s">
        <v>1</v>
      </c>
      <c r="B3" t="s">
        <v>224</v>
      </c>
      <c r="D3" s="241" t="s">
        <v>145</v>
      </c>
      <c r="E3" s="242" t="s">
        <v>2</v>
      </c>
      <c r="F3" s="242" t="s">
        <v>3</v>
      </c>
      <c r="G3" s="242" t="s">
        <v>4</v>
      </c>
      <c r="H3" s="242" t="s">
        <v>5</v>
      </c>
      <c r="I3" s="242" t="s">
        <v>6</v>
      </c>
      <c r="J3" s="241"/>
      <c r="K3" s="242" t="s">
        <v>2</v>
      </c>
      <c r="L3" s="242" t="s">
        <v>3</v>
      </c>
      <c r="M3" s="242" t="s">
        <v>4</v>
      </c>
      <c r="N3" s="242" t="s">
        <v>5</v>
      </c>
      <c r="O3" s="242" t="s">
        <v>6</v>
      </c>
    </row>
    <row r="4" spans="1:15">
      <c r="A4" t="s">
        <v>223</v>
      </c>
      <c r="B4" t="s">
        <v>53</v>
      </c>
      <c r="D4">
        <v>1</v>
      </c>
      <c r="E4" s="150">
        <f>ROUNDUP(K4*1.25,0)</f>
        <v>113</v>
      </c>
      <c r="F4" s="150">
        <f t="shared" ref="F4:I4" si="0">ROUNDUP(L4*1.25,0)</f>
        <v>57</v>
      </c>
      <c r="G4" s="150">
        <f>ROUNDUP(M4*1.25,0)</f>
        <v>50</v>
      </c>
      <c r="H4" s="150">
        <f t="shared" si="0"/>
        <v>47</v>
      </c>
      <c r="I4" s="150">
        <f t="shared" si="0"/>
        <v>50</v>
      </c>
      <c r="K4" s="151">
        <v>90</v>
      </c>
      <c r="L4" s="151">
        <f>K4/2</f>
        <v>45</v>
      </c>
      <c r="M4" s="151">
        <f>120/3</f>
        <v>40</v>
      </c>
      <c r="N4" s="151">
        <f>150/4</f>
        <v>37.5</v>
      </c>
      <c r="O4" s="151">
        <f>M4</f>
        <v>40</v>
      </c>
    </row>
    <row r="5" spans="1:15">
      <c r="D5" s="241">
        <v>2</v>
      </c>
      <c r="E5" s="150">
        <f>E4*2</f>
        <v>226</v>
      </c>
      <c r="F5" s="150">
        <f t="shared" ref="F5:I5" si="1">F4*2</f>
        <v>114</v>
      </c>
      <c r="G5" s="150">
        <f t="shared" si="1"/>
        <v>100</v>
      </c>
      <c r="H5" s="150">
        <f t="shared" si="1"/>
        <v>94</v>
      </c>
      <c r="I5" s="150">
        <f t="shared" si="1"/>
        <v>100</v>
      </c>
      <c r="K5" s="177">
        <f>K4*2</f>
        <v>180</v>
      </c>
      <c r="L5" s="177">
        <f t="shared" ref="L5:O5" si="2">L4*2</f>
        <v>90</v>
      </c>
      <c r="M5" s="177">
        <f t="shared" si="2"/>
        <v>80</v>
      </c>
      <c r="N5" s="177">
        <f t="shared" si="2"/>
        <v>75</v>
      </c>
      <c r="O5" s="177">
        <f t="shared" si="2"/>
        <v>80</v>
      </c>
    </row>
    <row r="6" spans="1:15">
      <c r="D6" s="241">
        <v>3</v>
      </c>
      <c r="E6" s="150">
        <f>E4*3</f>
        <v>339</v>
      </c>
      <c r="F6" s="150">
        <f t="shared" ref="F6:I6" si="3">F4*3</f>
        <v>171</v>
      </c>
      <c r="G6" s="150">
        <f t="shared" si="3"/>
        <v>150</v>
      </c>
      <c r="H6" s="150">
        <f t="shared" si="3"/>
        <v>141</v>
      </c>
      <c r="I6" s="150">
        <f t="shared" si="3"/>
        <v>150</v>
      </c>
      <c r="K6" s="177">
        <f>K4*3</f>
        <v>270</v>
      </c>
      <c r="L6" s="177">
        <f t="shared" ref="L6:O6" si="4">L4*3</f>
        <v>135</v>
      </c>
      <c r="M6" s="177">
        <f t="shared" si="4"/>
        <v>120</v>
      </c>
      <c r="N6" s="177">
        <f t="shared" si="4"/>
        <v>112.5</v>
      </c>
      <c r="O6" s="177">
        <f t="shared" si="4"/>
        <v>120</v>
      </c>
    </row>
    <row r="7" spans="1:15">
      <c r="D7" s="241">
        <v>4</v>
      </c>
      <c r="E7" s="150">
        <f>E4*4</f>
        <v>452</v>
      </c>
      <c r="F7" s="150">
        <f t="shared" ref="F7:I7" si="5">F4*4</f>
        <v>228</v>
      </c>
      <c r="G7" s="150">
        <f t="shared" si="5"/>
        <v>200</v>
      </c>
      <c r="H7" s="150">
        <f t="shared" si="5"/>
        <v>188</v>
      </c>
      <c r="I7" s="150">
        <f t="shared" si="5"/>
        <v>200</v>
      </c>
      <c r="K7" s="177">
        <f>K4*4</f>
        <v>360</v>
      </c>
      <c r="L7" s="177">
        <f t="shared" ref="L7:O7" si="6">L4*4</f>
        <v>180</v>
      </c>
      <c r="M7" s="177">
        <f t="shared" si="6"/>
        <v>160</v>
      </c>
      <c r="N7" s="177">
        <f t="shared" si="6"/>
        <v>150</v>
      </c>
      <c r="O7" s="177">
        <f t="shared" si="6"/>
        <v>160</v>
      </c>
    </row>
    <row r="8" spans="1:15">
      <c r="D8" s="241">
        <v>5</v>
      </c>
      <c r="E8" s="150">
        <f>E4*5</f>
        <v>565</v>
      </c>
      <c r="F8" s="150">
        <f t="shared" ref="F8:I8" si="7">F4*5</f>
        <v>285</v>
      </c>
      <c r="G8" s="150">
        <f t="shared" si="7"/>
        <v>250</v>
      </c>
      <c r="H8" s="150">
        <f t="shared" si="7"/>
        <v>235</v>
      </c>
      <c r="I8" s="150">
        <f t="shared" si="7"/>
        <v>250</v>
      </c>
      <c r="K8" s="177">
        <f>K4*5</f>
        <v>450</v>
      </c>
      <c r="L8" s="177">
        <f t="shared" ref="L8:O8" si="8">L4*5</f>
        <v>225</v>
      </c>
      <c r="M8" s="177">
        <f t="shared" si="8"/>
        <v>200</v>
      </c>
      <c r="N8" s="177">
        <f t="shared" si="8"/>
        <v>187.5</v>
      </c>
      <c r="O8" s="177">
        <f t="shared" si="8"/>
        <v>200</v>
      </c>
    </row>
    <row r="9" spans="1:15" s="241" customFormat="1">
      <c r="D9" s="241">
        <v>6</v>
      </c>
      <c r="E9" s="150">
        <f>E4*6</f>
        <v>678</v>
      </c>
      <c r="F9" s="150">
        <f t="shared" ref="F9:I9" si="9">F4*6</f>
        <v>342</v>
      </c>
      <c r="G9" s="150">
        <f t="shared" si="9"/>
        <v>300</v>
      </c>
      <c r="H9" s="150">
        <f t="shared" si="9"/>
        <v>282</v>
      </c>
      <c r="I9" s="150">
        <f t="shared" si="9"/>
        <v>300</v>
      </c>
      <c r="K9" s="177">
        <f>K4*6</f>
        <v>540</v>
      </c>
      <c r="L9" s="177">
        <f t="shared" ref="L9:O9" si="10">L4*6</f>
        <v>270</v>
      </c>
      <c r="M9" s="177">
        <f t="shared" si="10"/>
        <v>240</v>
      </c>
      <c r="N9" s="177">
        <f t="shared" si="10"/>
        <v>225</v>
      </c>
      <c r="O9" s="177">
        <f t="shared" si="10"/>
        <v>240</v>
      </c>
    </row>
    <row r="10" spans="1:15" s="241" customFormat="1">
      <c r="D10" s="241">
        <v>7</v>
      </c>
      <c r="E10" s="150">
        <f>E4*7</f>
        <v>791</v>
      </c>
      <c r="F10" s="150">
        <f t="shared" ref="F10:I10" si="11">F4*7</f>
        <v>399</v>
      </c>
      <c r="G10" s="150">
        <f t="shared" si="11"/>
        <v>350</v>
      </c>
      <c r="H10" s="150">
        <f t="shared" si="11"/>
        <v>329</v>
      </c>
      <c r="I10" s="150">
        <f t="shared" si="11"/>
        <v>350</v>
      </c>
      <c r="K10" s="177">
        <f>K4*7</f>
        <v>630</v>
      </c>
      <c r="L10" s="177">
        <f t="shared" ref="L10:O10" si="12">L4*7</f>
        <v>315</v>
      </c>
      <c r="M10" s="177">
        <f t="shared" si="12"/>
        <v>280</v>
      </c>
      <c r="N10" s="177">
        <f t="shared" si="12"/>
        <v>262.5</v>
      </c>
      <c r="O10" s="177">
        <f t="shared" si="12"/>
        <v>280</v>
      </c>
    </row>
    <row r="11" spans="1:15" s="241" customFormat="1">
      <c r="D11" s="241">
        <v>8</v>
      </c>
      <c r="E11" s="150">
        <f>E4*8</f>
        <v>904</v>
      </c>
      <c r="F11" s="150">
        <f t="shared" ref="F11:I11" si="13">F4*8</f>
        <v>456</v>
      </c>
      <c r="G11" s="150">
        <f t="shared" si="13"/>
        <v>400</v>
      </c>
      <c r="H11" s="150">
        <f t="shared" si="13"/>
        <v>376</v>
      </c>
      <c r="I11" s="150">
        <f t="shared" si="13"/>
        <v>400</v>
      </c>
      <c r="K11" s="177">
        <f>K4*8</f>
        <v>720</v>
      </c>
      <c r="L11" s="177">
        <f t="shared" ref="L11:O11" si="14">L4*8</f>
        <v>360</v>
      </c>
      <c r="M11" s="177">
        <f t="shared" si="14"/>
        <v>320</v>
      </c>
      <c r="N11" s="177">
        <f t="shared" si="14"/>
        <v>300</v>
      </c>
      <c r="O11" s="177">
        <f t="shared" si="14"/>
        <v>320</v>
      </c>
    </row>
    <row r="12" spans="1:15" s="241" customFormat="1">
      <c r="D12" s="241">
        <v>9</v>
      </c>
      <c r="E12" s="150">
        <f>E4*9</f>
        <v>1017</v>
      </c>
      <c r="F12" s="150">
        <f t="shared" ref="F12:H12" si="15">F4*9</f>
        <v>513</v>
      </c>
      <c r="G12" s="150">
        <f t="shared" si="15"/>
        <v>450</v>
      </c>
      <c r="H12" s="150">
        <f t="shared" si="15"/>
        <v>423</v>
      </c>
      <c r="I12" s="150">
        <f>I4*9</f>
        <v>450</v>
      </c>
      <c r="K12" s="177">
        <f>K4*9</f>
        <v>810</v>
      </c>
      <c r="L12" s="177">
        <f t="shared" ref="L12:O12" si="16">L4*9</f>
        <v>405</v>
      </c>
      <c r="M12" s="177">
        <f t="shared" si="16"/>
        <v>360</v>
      </c>
      <c r="N12" s="177">
        <f t="shared" si="16"/>
        <v>337.5</v>
      </c>
      <c r="O12" s="177">
        <f t="shared" si="16"/>
        <v>360</v>
      </c>
    </row>
    <row r="13" spans="1:15" s="241" customFormat="1"/>
    <row r="14" spans="1:15" s="241" customFormat="1">
      <c r="E14" s="241" t="s">
        <v>26</v>
      </c>
    </row>
    <row r="15" spans="1:15">
      <c r="A15" t="s">
        <v>225</v>
      </c>
      <c r="B15" s="241" t="s">
        <v>53</v>
      </c>
      <c r="D15">
        <v>1</v>
      </c>
      <c r="E15" s="150">
        <f>ROUNDUP(K15*1.25,0)</f>
        <v>113</v>
      </c>
      <c r="F15" s="150">
        <f t="shared" ref="F15" si="17">ROUNDUP(L15*1.25,0)</f>
        <v>57</v>
      </c>
      <c r="G15" s="150">
        <f>ROUNDUP(M15*1.25,0)</f>
        <v>50</v>
      </c>
      <c r="H15" s="150">
        <f t="shared" ref="H15" si="18">ROUNDUP(N15*1.25,0)</f>
        <v>47</v>
      </c>
      <c r="I15" s="150">
        <f t="shared" ref="I15" si="19">ROUNDUP(O15*1.25,0)</f>
        <v>50</v>
      </c>
      <c r="K15" s="151">
        <v>90</v>
      </c>
      <c r="L15" s="151">
        <f>K15/2</f>
        <v>45</v>
      </c>
      <c r="M15" s="151">
        <f>120/3</f>
        <v>40</v>
      </c>
      <c r="N15" s="151">
        <f>150/4</f>
        <v>37.5</v>
      </c>
      <c r="O15" s="151">
        <f>M15</f>
        <v>40</v>
      </c>
    </row>
    <row r="16" spans="1:15">
      <c r="D16" s="241">
        <v>2</v>
      </c>
      <c r="E16" s="150">
        <f>E15*2</f>
        <v>226</v>
      </c>
      <c r="F16" s="150">
        <f t="shared" ref="F16:I16" si="20">F15*2</f>
        <v>114</v>
      </c>
      <c r="G16" s="150">
        <f t="shared" si="20"/>
        <v>100</v>
      </c>
      <c r="H16" s="150">
        <f t="shared" si="20"/>
        <v>94</v>
      </c>
      <c r="I16" s="150">
        <f t="shared" si="20"/>
        <v>100</v>
      </c>
      <c r="K16" s="177">
        <f>K15*2</f>
        <v>180</v>
      </c>
      <c r="L16" s="177">
        <f t="shared" ref="L16:O16" si="21">L15*2</f>
        <v>90</v>
      </c>
      <c r="M16" s="177">
        <f t="shared" si="21"/>
        <v>80</v>
      </c>
      <c r="N16" s="177">
        <f t="shared" si="21"/>
        <v>75</v>
      </c>
      <c r="O16" s="177">
        <f t="shared" si="21"/>
        <v>80</v>
      </c>
    </row>
    <row r="17" spans="1:16">
      <c r="D17" s="241">
        <v>3</v>
      </c>
      <c r="E17" s="150">
        <f>E15*3</f>
        <v>339</v>
      </c>
      <c r="F17" s="150">
        <f t="shared" ref="F17:I17" si="22">F15*3</f>
        <v>171</v>
      </c>
      <c r="G17" s="150">
        <f t="shared" si="22"/>
        <v>150</v>
      </c>
      <c r="H17" s="150">
        <f t="shared" si="22"/>
        <v>141</v>
      </c>
      <c r="I17" s="150">
        <f t="shared" si="22"/>
        <v>150</v>
      </c>
      <c r="K17" s="177">
        <f>K15*3</f>
        <v>270</v>
      </c>
      <c r="L17" s="177">
        <f t="shared" ref="L17:O17" si="23">L15*3</f>
        <v>135</v>
      </c>
      <c r="M17" s="177">
        <f t="shared" si="23"/>
        <v>120</v>
      </c>
      <c r="N17" s="177">
        <f t="shared" si="23"/>
        <v>112.5</v>
      </c>
      <c r="O17" s="177">
        <f t="shared" si="23"/>
        <v>120</v>
      </c>
    </row>
    <row r="18" spans="1:16">
      <c r="D18" s="241">
        <v>4</v>
      </c>
      <c r="E18" s="150">
        <f>E15*4</f>
        <v>452</v>
      </c>
      <c r="F18" s="150">
        <f t="shared" ref="F18:I18" si="24">F15*4</f>
        <v>228</v>
      </c>
      <c r="G18" s="150">
        <f t="shared" si="24"/>
        <v>200</v>
      </c>
      <c r="H18" s="150">
        <f t="shared" si="24"/>
        <v>188</v>
      </c>
      <c r="I18" s="150">
        <f t="shared" si="24"/>
        <v>200</v>
      </c>
      <c r="K18" s="177">
        <f>K15*4</f>
        <v>360</v>
      </c>
      <c r="L18" s="177">
        <f t="shared" ref="L18:O18" si="25">L15*4</f>
        <v>180</v>
      </c>
      <c r="M18" s="177">
        <f t="shared" si="25"/>
        <v>160</v>
      </c>
      <c r="N18" s="177">
        <f t="shared" si="25"/>
        <v>150</v>
      </c>
      <c r="O18" s="177">
        <f t="shared" si="25"/>
        <v>160</v>
      </c>
    </row>
    <row r="19" spans="1:16">
      <c r="D19" s="241">
        <v>5</v>
      </c>
      <c r="E19" s="150">
        <f>E15*5</f>
        <v>565</v>
      </c>
      <c r="F19" s="150">
        <f t="shared" ref="F19:I19" si="26">F15*5</f>
        <v>285</v>
      </c>
      <c r="G19" s="150">
        <f t="shared" si="26"/>
        <v>250</v>
      </c>
      <c r="H19" s="150">
        <f t="shared" si="26"/>
        <v>235</v>
      </c>
      <c r="I19" s="150">
        <f t="shared" si="26"/>
        <v>250</v>
      </c>
      <c r="K19" s="177">
        <f>K15*5</f>
        <v>450</v>
      </c>
      <c r="L19" s="177">
        <f t="shared" ref="L19:O19" si="27">L15*5</f>
        <v>225</v>
      </c>
      <c r="M19" s="177">
        <f t="shared" si="27"/>
        <v>200</v>
      </c>
      <c r="N19" s="177">
        <f t="shared" si="27"/>
        <v>187.5</v>
      </c>
      <c r="O19" s="177">
        <f t="shared" si="27"/>
        <v>200</v>
      </c>
    </row>
    <row r="20" spans="1:16" s="241" customFormat="1">
      <c r="D20" s="241">
        <v>6</v>
      </c>
      <c r="E20" s="150">
        <f>E15*6</f>
        <v>678</v>
      </c>
      <c r="F20" s="150">
        <f t="shared" ref="F20:I20" si="28">F15*6</f>
        <v>342</v>
      </c>
      <c r="G20" s="150">
        <f t="shared" si="28"/>
        <v>300</v>
      </c>
      <c r="H20" s="150">
        <f t="shared" si="28"/>
        <v>282</v>
      </c>
      <c r="I20" s="150">
        <f t="shared" si="28"/>
        <v>300</v>
      </c>
      <c r="K20" s="177">
        <f>K15*6</f>
        <v>540</v>
      </c>
      <c r="L20" s="177">
        <f t="shared" ref="L20:O20" si="29">L15*6</f>
        <v>270</v>
      </c>
      <c r="M20" s="177">
        <f t="shared" si="29"/>
        <v>240</v>
      </c>
      <c r="N20" s="177">
        <f t="shared" si="29"/>
        <v>225</v>
      </c>
      <c r="O20" s="177">
        <f t="shared" si="29"/>
        <v>240</v>
      </c>
    </row>
    <row r="21" spans="1:16" s="241" customFormat="1">
      <c r="D21" s="241">
        <v>7</v>
      </c>
      <c r="E21" s="150">
        <f>E15*7</f>
        <v>791</v>
      </c>
      <c r="F21" s="150">
        <f t="shared" ref="F21:I21" si="30">F15*7</f>
        <v>399</v>
      </c>
      <c r="G21" s="150">
        <f t="shared" si="30"/>
        <v>350</v>
      </c>
      <c r="H21" s="150">
        <f t="shared" si="30"/>
        <v>329</v>
      </c>
      <c r="I21" s="150">
        <f t="shared" si="30"/>
        <v>350</v>
      </c>
      <c r="K21" s="177">
        <f>K15*7</f>
        <v>630</v>
      </c>
      <c r="L21" s="177">
        <f t="shared" ref="L21:O21" si="31">L15*7</f>
        <v>315</v>
      </c>
      <c r="M21" s="177">
        <f t="shared" si="31"/>
        <v>280</v>
      </c>
      <c r="N21" s="177">
        <f t="shared" si="31"/>
        <v>262.5</v>
      </c>
      <c r="O21" s="177">
        <f t="shared" si="31"/>
        <v>280</v>
      </c>
    </row>
    <row r="22" spans="1:16" s="241" customFormat="1">
      <c r="D22" s="241">
        <v>8</v>
      </c>
      <c r="E22" s="150">
        <f>E15*8</f>
        <v>904</v>
      </c>
      <c r="F22" s="150">
        <f t="shared" ref="F22:I22" si="32">F15*8</f>
        <v>456</v>
      </c>
      <c r="G22" s="150">
        <f t="shared" si="32"/>
        <v>400</v>
      </c>
      <c r="H22" s="150">
        <f t="shared" si="32"/>
        <v>376</v>
      </c>
      <c r="I22" s="150">
        <f t="shared" si="32"/>
        <v>400</v>
      </c>
      <c r="K22" s="177">
        <f>K15*8</f>
        <v>720</v>
      </c>
      <c r="L22" s="177">
        <f t="shared" ref="L22:O22" si="33">L15*8</f>
        <v>360</v>
      </c>
      <c r="M22" s="177">
        <f t="shared" si="33"/>
        <v>320</v>
      </c>
      <c r="N22" s="177">
        <f t="shared" si="33"/>
        <v>300</v>
      </c>
      <c r="O22" s="177">
        <f t="shared" si="33"/>
        <v>320</v>
      </c>
    </row>
    <row r="23" spans="1:16" s="241" customFormat="1">
      <c r="D23" s="241">
        <v>9</v>
      </c>
      <c r="E23" s="150">
        <f>E15*9</f>
        <v>1017</v>
      </c>
      <c r="F23" s="150">
        <f t="shared" ref="F23:H23" si="34">F15*9</f>
        <v>513</v>
      </c>
      <c r="G23" s="150">
        <f t="shared" si="34"/>
        <v>450</v>
      </c>
      <c r="H23" s="150">
        <f t="shared" si="34"/>
        <v>423</v>
      </c>
      <c r="I23" s="150">
        <f>I15*9</f>
        <v>450</v>
      </c>
      <c r="K23" s="177">
        <f>K15*9</f>
        <v>810</v>
      </c>
      <c r="L23" s="177">
        <f t="shared" ref="L23:O23" si="35">L15*9</f>
        <v>405</v>
      </c>
      <c r="M23" s="177">
        <f t="shared" si="35"/>
        <v>360</v>
      </c>
      <c r="N23" s="177">
        <f t="shared" si="35"/>
        <v>337.5</v>
      </c>
      <c r="O23" s="177">
        <f t="shared" si="35"/>
        <v>360</v>
      </c>
    </row>
    <row r="24" spans="1:16" s="241" customFormat="1"/>
    <row r="25" spans="1:16" s="241" customFormat="1"/>
    <row r="26" spans="1:16">
      <c r="A26" t="s">
        <v>205</v>
      </c>
      <c r="B26" t="s">
        <v>54</v>
      </c>
      <c r="C26" t="s">
        <v>206</v>
      </c>
      <c r="D26">
        <v>1</v>
      </c>
      <c r="K26">
        <v>85</v>
      </c>
      <c r="L26">
        <f>K26/2</f>
        <v>42.5</v>
      </c>
      <c r="M26">
        <f>K26/3</f>
        <v>28.333333333333332</v>
      </c>
      <c r="N26">
        <f>K26/4</f>
        <v>21.25</v>
      </c>
      <c r="O26">
        <f>N26</f>
        <v>21.25</v>
      </c>
      <c r="P26" t="s">
        <v>228</v>
      </c>
    </row>
    <row r="27" spans="1:16" s="241" customFormat="1"/>
    <row r="28" spans="1:16">
      <c r="C28" t="s">
        <v>221</v>
      </c>
      <c r="D28">
        <v>1</v>
      </c>
      <c r="K28">
        <v>145</v>
      </c>
      <c r="L28" s="241">
        <f>K28/2</f>
        <v>72.5</v>
      </c>
      <c r="M28" s="241">
        <f>K28/3</f>
        <v>48.333333333333336</v>
      </c>
      <c r="N28" s="241">
        <f>K28/4</f>
        <v>36.25</v>
      </c>
      <c r="O28" s="241">
        <f>N28</f>
        <v>36.25</v>
      </c>
      <c r="P28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37" workbookViewId="0">
      <selection activeCell="A77" sqref="A77"/>
    </sheetView>
  </sheetViews>
  <sheetFormatPr defaultRowHeight="15"/>
  <cols>
    <col min="1" max="1" width="36.5703125" style="16" bestFit="1" customWidth="1"/>
    <col min="2" max="2" width="9.140625" style="16"/>
    <col min="3" max="3" width="12.5703125" style="16" bestFit="1" customWidth="1"/>
    <col min="4" max="12" width="9.140625" style="16"/>
    <col min="13" max="13" width="9.5703125" style="16" bestFit="1" customWidth="1"/>
    <col min="14" max="16" width="9.140625" style="16"/>
    <col min="17" max="17" width="10.7109375" style="16" bestFit="1" customWidth="1"/>
    <col min="18" max="16384" width="9.140625" style="16"/>
  </cols>
  <sheetData>
    <row r="1" spans="1:27">
      <c r="E1" s="16" t="s">
        <v>149</v>
      </c>
      <c r="K1" s="16" t="s">
        <v>27</v>
      </c>
    </row>
    <row r="2" spans="1:27" ht="24">
      <c r="D2" s="16" t="s">
        <v>145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</row>
    <row r="3" spans="1:27">
      <c r="A3" s="169" t="s">
        <v>14</v>
      </c>
      <c r="B3" s="59" t="s">
        <v>53</v>
      </c>
      <c r="D3" s="17">
        <v>1</v>
      </c>
      <c r="E3" s="150">
        <f>ROUNDUP(K3*1.8,0)</f>
        <v>36</v>
      </c>
      <c r="F3" s="150">
        <f t="shared" ref="F3:I3" si="0">ROUNDUP(L3*1.8,0)</f>
        <v>18</v>
      </c>
      <c r="G3" s="150">
        <f t="shared" si="0"/>
        <v>12</v>
      </c>
      <c r="H3" s="150">
        <f t="shared" si="0"/>
        <v>9</v>
      </c>
      <c r="I3" s="150">
        <f t="shared" si="0"/>
        <v>9</v>
      </c>
      <c r="J3" s="150"/>
      <c r="K3" s="150">
        <v>20</v>
      </c>
      <c r="L3" s="150">
        <f>K3/2</f>
        <v>10</v>
      </c>
      <c r="M3" s="151">
        <f>K3/3</f>
        <v>6.666666666666667</v>
      </c>
      <c r="N3" s="150">
        <f>K3/4</f>
        <v>5</v>
      </c>
      <c r="O3" s="150">
        <f>N3</f>
        <v>5</v>
      </c>
    </row>
    <row r="4" spans="1:27">
      <c r="A4" s="169"/>
      <c r="B4" s="59"/>
      <c r="D4" s="17">
        <v>2</v>
      </c>
      <c r="E4" s="150">
        <f>E3*2</f>
        <v>72</v>
      </c>
      <c r="F4" s="150">
        <f t="shared" ref="F4:I4" si="1">F3*2</f>
        <v>36</v>
      </c>
      <c r="G4" s="150">
        <f>G3*2</f>
        <v>24</v>
      </c>
      <c r="H4" s="150">
        <f t="shared" si="1"/>
        <v>18</v>
      </c>
      <c r="I4" s="150">
        <f t="shared" si="1"/>
        <v>18</v>
      </c>
      <c r="J4" s="150"/>
      <c r="K4" s="150">
        <f>K3*2</f>
        <v>40</v>
      </c>
      <c r="L4" s="150">
        <f t="shared" ref="L4:O4" si="2">L3*2</f>
        <v>20</v>
      </c>
      <c r="M4" s="151">
        <f t="shared" si="2"/>
        <v>13.333333333333334</v>
      </c>
      <c r="N4" s="150">
        <f t="shared" si="2"/>
        <v>10</v>
      </c>
      <c r="O4" s="150">
        <f t="shared" si="2"/>
        <v>10</v>
      </c>
    </row>
    <row r="5" spans="1:27">
      <c r="A5" s="169"/>
      <c r="B5" s="59"/>
      <c r="D5" s="17">
        <v>3</v>
      </c>
      <c r="E5" s="150">
        <f>E3*3</f>
        <v>108</v>
      </c>
      <c r="F5" s="150">
        <f t="shared" ref="F5:I5" si="3">F3*3</f>
        <v>54</v>
      </c>
      <c r="G5" s="150">
        <f t="shared" si="3"/>
        <v>36</v>
      </c>
      <c r="H5" s="150">
        <f t="shared" si="3"/>
        <v>27</v>
      </c>
      <c r="I5" s="150">
        <f t="shared" si="3"/>
        <v>27</v>
      </c>
      <c r="J5" s="150"/>
      <c r="K5" s="150">
        <f>K3*3</f>
        <v>60</v>
      </c>
      <c r="L5" s="150">
        <f t="shared" ref="L5:O5" si="4">L3*3</f>
        <v>30</v>
      </c>
      <c r="M5" s="151">
        <f t="shared" si="4"/>
        <v>20</v>
      </c>
      <c r="N5" s="150">
        <f t="shared" si="4"/>
        <v>15</v>
      </c>
      <c r="O5" s="150">
        <f t="shared" si="4"/>
        <v>15</v>
      </c>
    </row>
    <row r="6" spans="1:27">
      <c r="A6" s="169"/>
      <c r="B6" s="59"/>
      <c r="D6" s="168">
        <v>4</v>
      </c>
      <c r="E6" s="150">
        <f>E3*4</f>
        <v>144</v>
      </c>
      <c r="F6" s="150">
        <f t="shared" ref="F6:I6" si="5">F3*4</f>
        <v>72</v>
      </c>
      <c r="G6" s="150">
        <f t="shared" si="5"/>
        <v>48</v>
      </c>
      <c r="H6" s="150">
        <f t="shared" si="5"/>
        <v>36</v>
      </c>
      <c r="I6" s="150">
        <f t="shared" si="5"/>
        <v>36</v>
      </c>
      <c r="J6" s="150"/>
      <c r="K6" s="150">
        <f>K3*4</f>
        <v>80</v>
      </c>
      <c r="L6" s="150">
        <f t="shared" ref="L6:O6" si="6">L3*4</f>
        <v>40</v>
      </c>
      <c r="M6" s="151">
        <f t="shared" si="6"/>
        <v>26.666666666666668</v>
      </c>
      <c r="N6" s="150">
        <f t="shared" si="6"/>
        <v>20</v>
      </c>
      <c r="O6" s="150">
        <f t="shared" si="6"/>
        <v>20</v>
      </c>
    </row>
    <row r="7" spans="1:27">
      <c r="A7" s="169"/>
      <c r="B7" s="59"/>
      <c r="D7" s="168">
        <v>5</v>
      </c>
      <c r="E7" s="150">
        <f>E3*5</f>
        <v>180</v>
      </c>
      <c r="F7" s="150">
        <f t="shared" ref="F7:I7" si="7">F3*5</f>
        <v>90</v>
      </c>
      <c r="G7" s="150">
        <f t="shared" si="7"/>
        <v>60</v>
      </c>
      <c r="H7" s="150">
        <f t="shared" si="7"/>
        <v>45</v>
      </c>
      <c r="I7" s="150">
        <f t="shared" si="7"/>
        <v>45</v>
      </c>
      <c r="J7" s="150"/>
      <c r="K7" s="150">
        <f>K3*5</f>
        <v>100</v>
      </c>
      <c r="L7" s="150">
        <f t="shared" ref="L7:O7" si="8">L3*5</f>
        <v>50</v>
      </c>
      <c r="M7" s="151">
        <f t="shared" si="8"/>
        <v>33.333333333333336</v>
      </c>
      <c r="N7" s="150">
        <f t="shared" si="8"/>
        <v>25</v>
      </c>
      <c r="O7" s="150">
        <f t="shared" si="8"/>
        <v>25</v>
      </c>
    </row>
    <row r="8" spans="1:27">
      <c r="A8" s="169"/>
      <c r="B8" s="59"/>
      <c r="D8" s="168">
        <v>6</v>
      </c>
      <c r="E8" s="150">
        <f>E3*6</f>
        <v>216</v>
      </c>
      <c r="F8" s="150">
        <f t="shared" ref="F8:I8" si="9">F3*6</f>
        <v>108</v>
      </c>
      <c r="G8" s="150">
        <f t="shared" si="9"/>
        <v>72</v>
      </c>
      <c r="H8" s="150">
        <f t="shared" si="9"/>
        <v>54</v>
      </c>
      <c r="I8" s="150">
        <f t="shared" si="9"/>
        <v>54</v>
      </c>
      <c r="J8" s="150"/>
      <c r="K8" s="150">
        <f>K3*6</f>
        <v>120</v>
      </c>
      <c r="L8" s="150">
        <f t="shared" ref="L8:O8" si="10">L3*6</f>
        <v>60</v>
      </c>
      <c r="M8" s="151">
        <f t="shared" si="10"/>
        <v>40</v>
      </c>
      <c r="N8" s="150">
        <f t="shared" si="10"/>
        <v>30</v>
      </c>
      <c r="O8" s="150">
        <f t="shared" si="10"/>
        <v>30</v>
      </c>
    </row>
    <row r="9" spans="1:27">
      <c r="A9" s="169"/>
      <c r="B9" s="59"/>
      <c r="D9" s="168">
        <v>7</v>
      </c>
      <c r="E9" s="150">
        <f>E3*7</f>
        <v>252</v>
      </c>
      <c r="F9" s="150">
        <f t="shared" ref="F9:I9" si="11">F3*7</f>
        <v>126</v>
      </c>
      <c r="G9" s="150">
        <f t="shared" si="11"/>
        <v>84</v>
      </c>
      <c r="H9" s="150">
        <f t="shared" si="11"/>
        <v>63</v>
      </c>
      <c r="I9" s="150">
        <f t="shared" si="11"/>
        <v>63</v>
      </c>
      <c r="J9" s="150"/>
      <c r="K9" s="150">
        <f>K3*7</f>
        <v>140</v>
      </c>
      <c r="L9" s="150">
        <f t="shared" ref="L9:O9" si="12">L3*7</f>
        <v>70</v>
      </c>
      <c r="M9" s="151">
        <f t="shared" si="12"/>
        <v>46.666666666666671</v>
      </c>
      <c r="N9" s="150">
        <f t="shared" si="12"/>
        <v>35</v>
      </c>
      <c r="O9" s="150">
        <f t="shared" si="12"/>
        <v>35</v>
      </c>
    </row>
    <row r="10" spans="1:27">
      <c r="A10" s="169"/>
      <c r="B10" s="59"/>
      <c r="D10" s="168">
        <v>8</v>
      </c>
      <c r="E10" s="150">
        <f>E3*8</f>
        <v>288</v>
      </c>
      <c r="F10" s="150">
        <f t="shared" ref="F10:I10" si="13">F3*8</f>
        <v>144</v>
      </c>
      <c r="G10" s="150">
        <f t="shared" si="13"/>
        <v>96</v>
      </c>
      <c r="H10" s="150">
        <f t="shared" si="13"/>
        <v>72</v>
      </c>
      <c r="I10" s="150">
        <f t="shared" si="13"/>
        <v>72</v>
      </c>
      <c r="J10" s="150"/>
      <c r="K10" s="150">
        <f>K3*8</f>
        <v>160</v>
      </c>
      <c r="L10" s="150">
        <f t="shared" ref="L10:O10" si="14">L3*8</f>
        <v>80</v>
      </c>
      <c r="M10" s="151">
        <f t="shared" si="14"/>
        <v>53.333333333333336</v>
      </c>
      <c r="N10" s="150">
        <f t="shared" si="14"/>
        <v>40</v>
      </c>
      <c r="O10" s="150">
        <f t="shared" si="14"/>
        <v>40</v>
      </c>
    </row>
    <row r="11" spans="1:27">
      <c r="A11" s="169"/>
      <c r="B11" s="59"/>
      <c r="D11" s="168">
        <v>9</v>
      </c>
      <c r="E11" s="150">
        <f>E3*9</f>
        <v>324</v>
      </c>
      <c r="F11" s="150">
        <f t="shared" ref="F11:I11" si="15">F3*9</f>
        <v>162</v>
      </c>
      <c r="G11" s="150">
        <f t="shared" si="15"/>
        <v>108</v>
      </c>
      <c r="H11" s="150">
        <f t="shared" si="15"/>
        <v>81</v>
      </c>
      <c r="I11" s="150">
        <f t="shared" si="15"/>
        <v>81</v>
      </c>
      <c r="J11" s="150"/>
      <c r="K11" s="150">
        <f>K3*9</f>
        <v>180</v>
      </c>
      <c r="L11" s="150">
        <f t="shared" ref="L11:O11" si="16">L3*9</f>
        <v>90</v>
      </c>
      <c r="M11" s="151">
        <f t="shared" si="16"/>
        <v>60</v>
      </c>
      <c r="N11" s="150">
        <f t="shared" si="16"/>
        <v>45</v>
      </c>
      <c r="O11" s="150">
        <f t="shared" si="16"/>
        <v>45</v>
      </c>
    </row>
    <row r="12" spans="1:27">
      <c r="A12" s="169"/>
      <c r="B12" s="59"/>
      <c r="D12" s="168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198">
        <v>41639</v>
      </c>
    </row>
    <row r="13" spans="1:27">
      <c r="A13" s="170" t="s">
        <v>146</v>
      </c>
      <c r="B13" s="59" t="s">
        <v>53</v>
      </c>
      <c r="D13" s="168">
        <v>1</v>
      </c>
      <c r="E13" s="150">
        <f>ROUNDUP(K13*1.8,0)</f>
        <v>36</v>
      </c>
      <c r="F13" s="150">
        <f t="shared" ref="F13:I13" si="17">ROUNDUP(L13*1.8,0)</f>
        <v>18</v>
      </c>
      <c r="G13" s="150">
        <f t="shared" si="17"/>
        <v>12</v>
      </c>
      <c r="H13" s="150">
        <f t="shared" si="17"/>
        <v>9</v>
      </c>
      <c r="I13" s="150">
        <f t="shared" si="17"/>
        <v>9</v>
      </c>
      <c r="J13" s="12"/>
      <c r="K13" s="150">
        <v>20</v>
      </c>
      <c r="L13" s="150">
        <f>K13/2</f>
        <v>10</v>
      </c>
      <c r="M13" s="151">
        <f>K13/3</f>
        <v>6.666666666666667</v>
      </c>
      <c r="N13" s="150">
        <f>K13/4</f>
        <v>5</v>
      </c>
      <c r="O13" s="150">
        <f>N13</f>
        <v>5</v>
      </c>
      <c r="Q13" s="172">
        <f>ROUNDUP(W13*1.8,0)</f>
        <v>54</v>
      </c>
      <c r="R13" s="172">
        <f t="shared" ref="R13" si="18">ROUNDUP(X13*1.8,0)</f>
        <v>27</v>
      </c>
      <c r="S13" s="172">
        <f t="shared" ref="S13" si="19">ROUNDUP(Y13*1.8,0)</f>
        <v>18</v>
      </c>
      <c r="T13" s="172">
        <f t="shared" ref="T13" si="20">ROUNDUP(Z13*1.8,0)</f>
        <v>14</v>
      </c>
      <c r="U13" s="172">
        <f t="shared" ref="U13" si="21">ROUNDUP(AA13*1.8,0)</f>
        <v>14</v>
      </c>
      <c r="W13" s="172">
        <f>20+10</f>
        <v>30</v>
      </c>
      <c r="X13" s="172">
        <f>W13/2</f>
        <v>15</v>
      </c>
      <c r="Y13" s="173">
        <f>W13/3</f>
        <v>10</v>
      </c>
      <c r="Z13" s="172">
        <f>W13/4</f>
        <v>7.5</v>
      </c>
      <c r="AA13" s="172">
        <f>Z13</f>
        <v>7.5</v>
      </c>
    </row>
    <row r="14" spans="1:27">
      <c r="A14" s="169"/>
      <c r="B14" s="59"/>
      <c r="D14" s="17">
        <v>2</v>
      </c>
      <c r="E14" s="150">
        <f>E13*2</f>
        <v>72</v>
      </c>
      <c r="F14" s="150">
        <f t="shared" ref="F14:I14" si="22">F13*2</f>
        <v>36</v>
      </c>
      <c r="G14" s="150">
        <f t="shared" si="22"/>
        <v>24</v>
      </c>
      <c r="H14" s="150">
        <f t="shared" si="22"/>
        <v>18</v>
      </c>
      <c r="I14" s="150">
        <f t="shared" si="22"/>
        <v>18</v>
      </c>
      <c r="J14" s="12"/>
      <c r="K14" s="176">
        <f>K13*2</f>
        <v>40</v>
      </c>
      <c r="L14" s="176">
        <f t="shared" ref="L14:O14" si="23">L13*2</f>
        <v>20</v>
      </c>
      <c r="M14" s="177">
        <f t="shared" si="23"/>
        <v>13.333333333333334</v>
      </c>
      <c r="N14" s="176">
        <f t="shared" si="23"/>
        <v>10</v>
      </c>
      <c r="O14" s="176">
        <f t="shared" si="23"/>
        <v>10</v>
      </c>
      <c r="Q14" s="172">
        <f>Q13*2</f>
        <v>108</v>
      </c>
      <c r="R14" s="172">
        <f t="shared" ref="R14:U14" si="24">R13*2</f>
        <v>54</v>
      </c>
      <c r="S14" s="172">
        <f t="shared" si="24"/>
        <v>36</v>
      </c>
      <c r="T14" s="172">
        <f t="shared" si="24"/>
        <v>28</v>
      </c>
      <c r="U14" s="172">
        <f t="shared" si="24"/>
        <v>28</v>
      </c>
      <c r="W14" s="174">
        <f>W13*2</f>
        <v>60</v>
      </c>
      <c r="X14" s="174">
        <f t="shared" ref="X14:AA14" si="25">X13*2</f>
        <v>30</v>
      </c>
      <c r="Y14" s="175">
        <f t="shared" si="25"/>
        <v>20</v>
      </c>
      <c r="Z14" s="174">
        <f t="shared" si="25"/>
        <v>15</v>
      </c>
      <c r="AA14" s="174">
        <f t="shared" si="25"/>
        <v>15</v>
      </c>
    </row>
    <row r="15" spans="1:27">
      <c r="A15" s="169"/>
      <c r="B15" s="59"/>
      <c r="D15" s="17">
        <v>3</v>
      </c>
      <c r="E15" s="150">
        <f>E13*3</f>
        <v>108</v>
      </c>
      <c r="F15" s="150">
        <f t="shared" ref="F15:I15" si="26">F13*3</f>
        <v>54</v>
      </c>
      <c r="G15" s="150">
        <f t="shared" si="26"/>
        <v>36</v>
      </c>
      <c r="H15" s="150">
        <f t="shared" si="26"/>
        <v>27</v>
      </c>
      <c r="I15" s="150">
        <f t="shared" si="26"/>
        <v>27</v>
      </c>
      <c r="J15" s="12"/>
      <c r="K15" s="176">
        <f>K13*3</f>
        <v>60</v>
      </c>
      <c r="L15" s="176">
        <f t="shared" ref="L15:O15" si="27">L13*3</f>
        <v>30</v>
      </c>
      <c r="M15" s="177">
        <f t="shared" si="27"/>
        <v>20</v>
      </c>
      <c r="N15" s="176">
        <f t="shared" si="27"/>
        <v>15</v>
      </c>
      <c r="O15" s="176">
        <f t="shared" si="27"/>
        <v>15</v>
      </c>
      <c r="Q15" s="172">
        <f>Q13*3</f>
        <v>162</v>
      </c>
      <c r="R15" s="172">
        <f t="shared" ref="R15:U15" si="28">R13*3</f>
        <v>81</v>
      </c>
      <c r="S15" s="172">
        <f t="shared" si="28"/>
        <v>54</v>
      </c>
      <c r="T15" s="172">
        <f t="shared" si="28"/>
        <v>42</v>
      </c>
      <c r="U15" s="172">
        <f t="shared" si="28"/>
        <v>42</v>
      </c>
      <c r="W15" s="174">
        <f>W13*3</f>
        <v>90</v>
      </c>
      <c r="X15" s="174">
        <f t="shared" ref="X15:AA15" si="29">X13*3</f>
        <v>45</v>
      </c>
      <c r="Y15" s="175">
        <f t="shared" si="29"/>
        <v>30</v>
      </c>
      <c r="Z15" s="174">
        <f t="shared" si="29"/>
        <v>22.5</v>
      </c>
      <c r="AA15" s="174">
        <f t="shared" si="29"/>
        <v>22.5</v>
      </c>
    </row>
    <row r="16" spans="1:27">
      <c r="A16" s="169"/>
      <c r="B16" s="59"/>
      <c r="D16" s="168">
        <v>4</v>
      </c>
      <c r="E16" s="150">
        <f>E13*4</f>
        <v>144</v>
      </c>
      <c r="F16" s="150">
        <f t="shared" ref="F16:I16" si="30">F13*4</f>
        <v>72</v>
      </c>
      <c r="G16" s="150">
        <f t="shared" si="30"/>
        <v>48</v>
      </c>
      <c r="H16" s="150">
        <f t="shared" si="30"/>
        <v>36</v>
      </c>
      <c r="I16" s="150">
        <f t="shared" si="30"/>
        <v>36</v>
      </c>
      <c r="J16" s="12"/>
      <c r="K16" s="176">
        <f>K13*4</f>
        <v>80</v>
      </c>
      <c r="L16" s="176">
        <f t="shared" ref="L16:O16" si="31">L13*4</f>
        <v>40</v>
      </c>
      <c r="M16" s="177">
        <f t="shared" si="31"/>
        <v>26.666666666666668</v>
      </c>
      <c r="N16" s="176">
        <f t="shared" si="31"/>
        <v>20</v>
      </c>
      <c r="O16" s="176">
        <f t="shared" si="31"/>
        <v>20</v>
      </c>
      <c r="Q16" s="172">
        <f>Q13*4</f>
        <v>216</v>
      </c>
      <c r="R16" s="172">
        <f t="shared" ref="R16:U16" si="32">R13*4</f>
        <v>108</v>
      </c>
      <c r="S16" s="172">
        <f t="shared" si="32"/>
        <v>72</v>
      </c>
      <c r="T16" s="172">
        <f t="shared" si="32"/>
        <v>56</v>
      </c>
      <c r="U16" s="172">
        <f t="shared" si="32"/>
        <v>56</v>
      </c>
      <c r="W16" s="174">
        <f>W13*4</f>
        <v>120</v>
      </c>
      <c r="X16" s="174">
        <f t="shared" ref="X16:AA16" si="33">X13*4</f>
        <v>60</v>
      </c>
      <c r="Y16" s="175">
        <f t="shared" si="33"/>
        <v>40</v>
      </c>
      <c r="Z16" s="174">
        <f t="shared" si="33"/>
        <v>30</v>
      </c>
      <c r="AA16" s="174">
        <f t="shared" si="33"/>
        <v>30</v>
      </c>
    </row>
    <row r="17" spans="1:27">
      <c r="A17" s="169"/>
      <c r="B17" s="59"/>
      <c r="D17" s="168">
        <v>5</v>
      </c>
      <c r="E17" s="150">
        <f>E13*5</f>
        <v>180</v>
      </c>
      <c r="F17" s="150">
        <f t="shared" ref="F17:I17" si="34">F13*5</f>
        <v>90</v>
      </c>
      <c r="G17" s="150">
        <f t="shared" si="34"/>
        <v>60</v>
      </c>
      <c r="H17" s="150">
        <f t="shared" si="34"/>
        <v>45</v>
      </c>
      <c r="I17" s="150">
        <f t="shared" si="34"/>
        <v>45</v>
      </c>
      <c r="J17" s="12"/>
      <c r="K17" s="176">
        <f>K13*5</f>
        <v>100</v>
      </c>
      <c r="L17" s="176">
        <f t="shared" ref="L17:O17" si="35">L13*5</f>
        <v>50</v>
      </c>
      <c r="M17" s="177">
        <f t="shared" si="35"/>
        <v>33.333333333333336</v>
      </c>
      <c r="N17" s="176">
        <f t="shared" si="35"/>
        <v>25</v>
      </c>
      <c r="O17" s="176">
        <f t="shared" si="35"/>
        <v>25</v>
      </c>
      <c r="Q17" s="172">
        <f>Q13*5</f>
        <v>270</v>
      </c>
      <c r="R17" s="172">
        <f t="shared" ref="R17:U17" si="36">R13*5</f>
        <v>135</v>
      </c>
      <c r="S17" s="172">
        <f t="shared" si="36"/>
        <v>90</v>
      </c>
      <c r="T17" s="172">
        <f t="shared" si="36"/>
        <v>70</v>
      </c>
      <c r="U17" s="172">
        <f t="shared" si="36"/>
        <v>70</v>
      </c>
      <c r="W17" s="174">
        <f>W13*5</f>
        <v>150</v>
      </c>
      <c r="X17" s="174">
        <f t="shared" ref="X17:AA17" si="37">X13*5</f>
        <v>75</v>
      </c>
      <c r="Y17" s="175">
        <f t="shared" si="37"/>
        <v>50</v>
      </c>
      <c r="Z17" s="174">
        <f t="shared" si="37"/>
        <v>37.5</v>
      </c>
      <c r="AA17" s="174">
        <f t="shared" si="37"/>
        <v>37.5</v>
      </c>
    </row>
    <row r="18" spans="1:27">
      <c r="A18" s="169"/>
      <c r="B18" s="59"/>
      <c r="D18" s="168">
        <v>6</v>
      </c>
      <c r="E18" s="150">
        <f>E13*6</f>
        <v>216</v>
      </c>
      <c r="F18" s="150">
        <f t="shared" ref="F18:I18" si="38">F13*6</f>
        <v>108</v>
      </c>
      <c r="G18" s="150">
        <f t="shared" si="38"/>
        <v>72</v>
      </c>
      <c r="H18" s="150">
        <f t="shared" si="38"/>
        <v>54</v>
      </c>
      <c r="I18" s="150">
        <f t="shared" si="38"/>
        <v>54</v>
      </c>
      <c r="J18" s="12"/>
      <c r="K18" s="176">
        <f>K13*6</f>
        <v>120</v>
      </c>
      <c r="L18" s="176">
        <f t="shared" ref="L18:O18" si="39">L13*6</f>
        <v>60</v>
      </c>
      <c r="M18" s="177">
        <f t="shared" si="39"/>
        <v>40</v>
      </c>
      <c r="N18" s="176">
        <f t="shared" si="39"/>
        <v>30</v>
      </c>
      <c r="O18" s="176">
        <f t="shared" si="39"/>
        <v>30</v>
      </c>
      <c r="Q18" s="172">
        <f>Q13*6</f>
        <v>324</v>
      </c>
      <c r="R18" s="172">
        <f t="shared" ref="R18:U18" si="40">R13*6</f>
        <v>162</v>
      </c>
      <c r="S18" s="172">
        <f t="shared" si="40"/>
        <v>108</v>
      </c>
      <c r="T18" s="172">
        <f t="shared" si="40"/>
        <v>84</v>
      </c>
      <c r="U18" s="172">
        <f t="shared" si="40"/>
        <v>84</v>
      </c>
      <c r="W18" s="174">
        <f>W13*6</f>
        <v>180</v>
      </c>
      <c r="X18" s="174">
        <f t="shared" ref="X18:AA18" si="41">X13*6</f>
        <v>90</v>
      </c>
      <c r="Y18" s="175">
        <f t="shared" si="41"/>
        <v>60</v>
      </c>
      <c r="Z18" s="174">
        <f t="shared" si="41"/>
        <v>45</v>
      </c>
      <c r="AA18" s="174">
        <f t="shared" si="41"/>
        <v>45</v>
      </c>
    </row>
    <row r="19" spans="1:27">
      <c r="A19" s="169"/>
      <c r="B19" s="59"/>
      <c r="D19" s="168">
        <v>7</v>
      </c>
      <c r="E19" s="150">
        <f>E13*7</f>
        <v>252</v>
      </c>
      <c r="F19" s="150">
        <f t="shared" ref="F19:I19" si="42">F13*7</f>
        <v>126</v>
      </c>
      <c r="G19" s="150">
        <f t="shared" si="42"/>
        <v>84</v>
      </c>
      <c r="H19" s="150">
        <f t="shared" si="42"/>
        <v>63</v>
      </c>
      <c r="I19" s="150">
        <f t="shared" si="42"/>
        <v>63</v>
      </c>
      <c r="J19" s="12"/>
      <c r="K19" s="176">
        <f>K13*7</f>
        <v>140</v>
      </c>
      <c r="L19" s="176">
        <f t="shared" ref="L19:O19" si="43">L13*7</f>
        <v>70</v>
      </c>
      <c r="M19" s="177">
        <f t="shared" si="43"/>
        <v>46.666666666666671</v>
      </c>
      <c r="N19" s="176">
        <f t="shared" si="43"/>
        <v>35</v>
      </c>
      <c r="O19" s="176">
        <f t="shared" si="43"/>
        <v>35</v>
      </c>
      <c r="Q19" s="172">
        <f>Q13*7</f>
        <v>378</v>
      </c>
      <c r="R19" s="172">
        <f t="shared" ref="R19:U19" si="44">R13*7</f>
        <v>189</v>
      </c>
      <c r="S19" s="172">
        <f t="shared" si="44"/>
        <v>126</v>
      </c>
      <c r="T19" s="172">
        <f t="shared" si="44"/>
        <v>98</v>
      </c>
      <c r="U19" s="172">
        <f t="shared" si="44"/>
        <v>98</v>
      </c>
      <c r="W19" s="174">
        <f>W13*7</f>
        <v>210</v>
      </c>
      <c r="X19" s="174">
        <f t="shared" ref="X19:AA19" si="45">X13*7</f>
        <v>105</v>
      </c>
      <c r="Y19" s="175">
        <f t="shared" si="45"/>
        <v>70</v>
      </c>
      <c r="Z19" s="174">
        <f t="shared" si="45"/>
        <v>52.5</v>
      </c>
      <c r="AA19" s="174">
        <f t="shared" si="45"/>
        <v>52.5</v>
      </c>
    </row>
    <row r="20" spans="1:27">
      <c r="A20" s="169"/>
      <c r="B20" s="59"/>
      <c r="D20" s="168">
        <v>8</v>
      </c>
      <c r="E20" s="150">
        <f>E13*8</f>
        <v>288</v>
      </c>
      <c r="F20" s="150">
        <f t="shared" ref="F20:I20" si="46">F13*8</f>
        <v>144</v>
      </c>
      <c r="G20" s="150">
        <f t="shared" si="46"/>
        <v>96</v>
      </c>
      <c r="H20" s="150">
        <f t="shared" si="46"/>
        <v>72</v>
      </c>
      <c r="I20" s="150">
        <f t="shared" si="46"/>
        <v>72</v>
      </c>
      <c r="J20" s="12"/>
      <c r="K20" s="176">
        <f>K13*8</f>
        <v>160</v>
      </c>
      <c r="L20" s="176">
        <f t="shared" ref="L20:O20" si="47">L13*8</f>
        <v>80</v>
      </c>
      <c r="M20" s="177">
        <f t="shared" si="47"/>
        <v>53.333333333333336</v>
      </c>
      <c r="N20" s="176">
        <f t="shared" si="47"/>
        <v>40</v>
      </c>
      <c r="O20" s="176">
        <f t="shared" si="47"/>
        <v>40</v>
      </c>
      <c r="Q20" s="172">
        <f>Q13*8</f>
        <v>432</v>
      </c>
      <c r="R20" s="172">
        <f t="shared" ref="R20:U20" si="48">R13*8</f>
        <v>216</v>
      </c>
      <c r="S20" s="172">
        <f t="shared" si="48"/>
        <v>144</v>
      </c>
      <c r="T20" s="172">
        <f t="shared" si="48"/>
        <v>112</v>
      </c>
      <c r="U20" s="172">
        <f t="shared" si="48"/>
        <v>112</v>
      </c>
      <c r="W20" s="174">
        <f>W13*8</f>
        <v>240</v>
      </c>
      <c r="X20" s="174">
        <f t="shared" ref="X20:AA20" si="49">X13*8</f>
        <v>120</v>
      </c>
      <c r="Y20" s="175">
        <f t="shared" si="49"/>
        <v>80</v>
      </c>
      <c r="Z20" s="174">
        <f t="shared" si="49"/>
        <v>60</v>
      </c>
      <c r="AA20" s="174">
        <f t="shared" si="49"/>
        <v>60</v>
      </c>
    </row>
    <row r="21" spans="1:27">
      <c r="A21" s="169"/>
      <c r="B21" s="59"/>
      <c r="D21" s="168">
        <v>9</v>
      </c>
      <c r="E21" s="150">
        <f>E13*9</f>
        <v>324</v>
      </c>
      <c r="F21" s="150">
        <f t="shared" ref="F21:I21" si="50">F13*9</f>
        <v>162</v>
      </c>
      <c r="G21" s="150">
        <f t="shared" si="50"/>
        <v>108</v>
      </c>
      <c r="H21" s="150">
        <f t="shared" si="50"/>
        <v>81</v>
      </c>
      <c r="I21" s="150">
        <f t="shared" si="50"/>
        <v>81</v>
      </c>
      <c r="J21" s="12"/>
      <c r="K21" s="176">
        <f>K13*9</f>
        <v>180</v>
      </c>
      <c r="L21" s="176">
        <f t="shared" ref="L21:O21" si="51">L13*9</f>
        <v>90</v>
      </c>
      <c r="M21" s="177">
        <f t="shared" si="51"/>
        <v>60</v>
      </c>
      <c r="N21" s="176">
        <f t="shared" si="51"/>
        <v>45</v>
      </c>
      <c r="O21" s="176">
        <f t="shared" si="51"/>
        <v>45</v>
      </c>
      <c r="Q21" s="172">
        <f>Q13*9</f>
        <v>486</v>
      </c>
      <c r="R21" s="172">
        <f t="shared" ref="R21:U21" si="52">R13*9</f>
        <v>243</v>
      </c>
      <c r="S21" s="172">
        <f t="shared" si="52"/>
        <v>162</v>
      </c>
      <c r="T21" s="172">
        <f t="shared" si="52"/>
        <v>126</v>
      </c>
      <c r="U21" s="172">
        <f t="shared" si="52"/>
        <v>126</v>
      </c>
      <c r="W21" s="174">
        <f>W13*9</f>
        <v>270</v>
      </c>
      <c r="X21" s="174">
        <f t="shared" ref="X21:AA21" si="53">X13*9</f>
        <v>135</v>
      </c>
      <c r="Y21" s="175">
        <f t="shared" si="53"/>
        <v>90</v>
      </c>
      <c r="Z21" s="174">
        <f t="shared" si="53"/>
        <v>67.5</v>
      </c>
      <c r="AA21" s="174">
        <f t="shared" si="53"/>
        <v>67.5</v>
      </c>
    </row>
    <row r="22" spans="1:27">
      <c r="A22" s="170"/>
      <c r="B22" s="59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27">
      <c r="A23" s="170" t="s">
        <v>147</v>
      </c>
      <c r="B23" s="59" t="s">
        <v>53</v>
      </c>
      <c r="D23" s="168">
        <v>1</v>
      </c>
      <c r="E23" s="150">
        <f>ROUNDUP(K23*1.8,0)</f>
        <v>36</v>
      </c>
      <c r="F23" s="150">
        <f t="shared" ref="F23:I23" si="54">ROUNDUP(L23*1.8,0)</f>
        <v>18</v>
      </c>
      <c r="G23" s="150">
        <f t="shared" si="54"/>
        <v>12</v>
      </c>
      <c r="H23" s="150">
        <f t="shared" si="54"/>
        <v>9</v>
      </c>
      <c r="I23" s="150">
        <f t="shared" si="54"/>
        <v>9</v>
      </c>
      <c r="J23" s="12"/>
      <c r="K23" s="150">
        <v>20</v>
      </c>
      <c r="L23" s="150">
        <f>K23/2</f>
        <v>10</v>
      </c>
      <c r="M23" s="151">
        <f>K23/3</f>
        <v>6.666666666666667</v>
      </c>
      <c r="N23" s="150">
        <f>K23/4</f>
        <v>5</v>
      </c>
      <c r="O23" s="150">
        <f>N23</f>
        <v>5</v>
      </c>
    </row>
    <row r="24" spans="1:27">
      <c r="A24" s="169"/>
      <c r="B24" s="59"/>
      <c r="D24" s="17">
        <v>2</v>
      </c>
      <c r="E24" s="150">
        <f>E23*2</f>
        <v>72</v>
      </c>
      <c r="F24" s="150">
        <f t="shared" ref="F24:I24" si="55">F23*2</f>
        <v>36</v>
      </c>
      <c r="G24" s="150">
        <f t="shared" si="55"/>
        <v>24</v>
      </c>
      <c r="H24" s="150">
        <f t="shared" si="55"/>
        <v>18</v>
      </c>
      <c r="I24" s="150">
        <f t="shared" si="55"/>
        <v>18</v>
      </c>
      <c r="J24" s="12"/>
      <c r="K24" s="176">
        <f>K23*2</f>
        <v>40</v>
      </c>
      <c r="L24" s="176">
        <f t="shared" ref="L24:O24" si="56">L23*2</f>
        <v>20</v>
      </c>
      <c r="M24" s="177">
        <f t="shared" si="56"/>
        <v>13.333333333333334</v>
      </c>
      <c r="N24" s="176">
        <f t="shared" si="56"/>
        <v>10</v>
      </c>
      <c r="O24" s="176">
        <f t="shared" si="56"/>
        <v>10</v>
      </c>
    </row>
    <row r="25" spans="1:27">
      <c r="A25" s="169"/>
      <c r="B25" s="59"/>
      <c r="D25" s="17">
        <v>3</v>
      </c>
      <c r="E25" s="150">
        <f>E23*3</f>
        <v>108</v>
      </c>
      <c r="F25" s="150">
        <f t="shared" ref="F25:I25" si="57">F23*3</f>
        <v>54</v>
      </c>
      <c r="G25" s="150">
        <f t="shared" si="57"/>
        <v>36</v>
      </c>
      <c r="H25" s="150">
        <f t="shared" si="57"/>
        <v>27</v>
      </c>
      <c r="I25" s="150">
        <f t="shared" si="57"/>
        <v>27</v>
      </c>
      <c r="J25" s="12"/>
      <c r="K25" s="176">
        <f>K23*3</f>
        <v>60</v>
      </c>
      <c r="L25" s="176">
        <f t="shared" ref="L25:O25" si="58">L23*3</f>
        <v>30</v>
      </c>
      <c r="M25" s="177">
        <f t="shared" si="58"/>
        <v>20</v>
      </c>
      <c r="N25" s="176">
        <f t="shared" si="58"/>
        <v>15</v>
      </c>
      <c r="O25" s="176">
        <f t="shared" si="58"/>
        <v>15</v>
      </c>
    </row>
    <row r="26" spans="1:27">
      <c r="A26" s="169"/>
      <c r="B26" s="59"/>
      <c r="D26" s="168">
        <v>4</v>
      </c>
      <c r="E26" s="150">
        <f>E23*4</f>
        <v>144</v>
      </c>
      <c r="F26" s="150">
        <f t="shared" ref="F26:I26" si="59">F23*4</f>
        <v>72</v>
      </c>
      <c r="G26" s="150">
        <f t="shared" si="59"/>
        <v>48</v>
      </c>
      <c r="H26" s="150">
        <f t="shared" si="59"/>
        <v>36</v>
      </c>
      <c r="I26" s="150">
        <f t="shared" si="59"/>
        <v>36</v>
      </c>
      <c r="J26" s="12"/>
      <c r="K26" s="176">
        <f>K23*4</f>
        <v>80</v>
      </c>
      <c r="L26" s="176">
        <f t="shared" ref="L26:O26" si="60">L23*4</f>
        <v>40</v>
      </c>
      <c r="M26" s="177">
        <f t="shared" si="60"/>
        <v>26.666666666666668</v>
      </c>
      <c r="N26" s="176">
        <f t="shared" si="60"/>
        <v>20</v>
      </c>
      <c r="O26" s="176">
        <f t="shared" si="60"/>
        <v>20</v>
      </c>
    </row>
    <row r="27" spans="1:27">
      <c r="A27" s="169"/>
      <c r="B27" s="59"/>
      <c r="D27" s="168">
        <v>5</v>
      </c>
      <c r="E27" s="150">
        <f>E23*5</f>
        <v>180</v>
      </c>
      <c r="F27" s="150">
        <f t="shared" ref="F27:I27" si="61">F23*5</f>
        <v>90</v>
      </c>
      <c r="G27" s="150">
        <f t="shared" si="61"/>
        <v>60</v>
      </c>
      <c r="H27" s="150">
        <f t="shared" si="61"/>
        <v>45</v>
      </c>
      <c r="I27" s="150">
        <f t="shared" si="61"/>
        <v>45</v>
      </c>
      <c r="J27" s="12"/>
      <c r="K27" s="176">
        <f>K23*5</f>
        <v>100</v>
      </c>
      <c r="L27" s="176">
        <f t="shared" ref="L27:O27" si="62">L23*5</f>
        <v>50</v>
      </c>
      <c r="M27" s="177">
        <f t="shared" si="62"/>
        <v>33.333333333333336</v>
      </c>
      <c r="N27" s="176">
        <f t="shared" si="62"/>
        <v>25</v>
      </c>
      <c r="O27" s="176">
        <f t="shared" si="62"/>
        <v>25</v>
      </c>
    </row>
    <row r="28" spans="1:27">
      <c r="A28" s="169"/>
      <c r="B28" s="59"/>
      <c r="D28" s="168">
        <v>6</v>
      </c>
      <c r="E28" s="150">
        <f>E23*6</f>
        <v>216</v>
      </c>
      <c r="F28" s="150">
        <f t="shared" ref="F28:I28" si="63">F23*6</f>
        <v>108</v>
      </c>
      <c r="G28" s="150">
        <f t="shared" si="63"/>
        <v>72</v>
      </c>
      <c r="H28" s="150">
        <f t="shared" si="63"/>
        <v>54</v>
      </c>
      <c r="I28" s="150">
        <f t="shared" si="63"/>
        <v>54</v>
      </c>
      <c r="J28" s="12"/>
      <c r="K28" s="176">
        <f>K23*6</f>
        <v>120</v>
      </c>
      <c r="L28" s="176">
        <f t="shared" ref="L28:O28" si="64">L23*6</f>
        <v>60</v>
      </c>
      <c r="M28" s="177">
        <f t="shared" si="64"/>
        <v>40</v>
      </c>
      <c r="N28" s="176">
        <f t="shared" si="64"/>
        <v>30</v>
      </c>
      <c r="O28" s="176">
        <f t="shared" si="64"/>
        <v>30</v>
      </c>
    </row>
    <row r="29" spans="1:27">
      <c r="A29" s="169"/>
      <c r="B29" s="59"/>
      <c r="D29" s="168">
        <v>7</v>
      </c>
      <c r="E29" s="150">
        <f>E23*7</f>
        <v>252</v>
      </c>
      <c r="F29" s="150">
        <f t="shared" ref="F29:I29" si="65">F23*7</f>
        <v>126</v>
      </c>
      <c r="G29" s="150">
        <f t="shared" si="65"/>
        <v>84</v>
      </c>
      <c r="H29" s="150">
        <f t="shared" si="65"/>
        <v>63</v>
      </c>
      <c r="I29" s="150">
        <f t="shared" si="65"/>
        <v>63</v>
      </c>
      <c r="J29" s="12"/>
      <c r="K29" s="176">
        <f>K23*7</f>
        <v>140</v>
      </c>
      <c r="L29" s="176">
        <f t="shared" ref="L29:O29" si="66">L23*7</f>
        <v>70</v>
      </c>
      <c r="M29" s="177">
        <f t="shared" si="66"/>
        <v>46.666666666666671</v>
      </c>
      <c r="N29" s="176">
        <f t="shared" si="66"/>
        <v>35</v>
      </c>
      <c r="O29" s="176">
        <f t="shared" si="66"/>
        <v>35</v>
      </c>
    </row>
    <row r="30" spans="1:27">
      <c r="A30" s="169"/>
      <c r="B30" s="59"/>
      <c r="D30" s="168">
        <v>8</v>
      </c>
      <c r="E30" s="150">
        <f>E23*8</f>
        <v>288</v>
      </c>
      <c r="F30" s="150">
        <f t="shared" ref="F30:I30" si="67">F23*8</f>
        <v>144</v>
      </c>
      <c r="G30" s="150">
        <f t="shared" si="67"/>
        <v>96</v>
      </c>
      <c r="H30" s="150">
        <f t="shared" si="67"/>
        <v>72</v>
      </c>
      <c r="I30" s="150">
        <f t="shared" si="67"/>
        <v>72</v>
      </c>
      <c r="J30" s="12"/>
      <c r="K30" s="176">
        <f>K23*8</f>
        <v>160</v>
      </c>
      <c r="L30" s="176">
        <f t="shared" ref="L30:O30" si="68">L23*8</f>
        <v>80</v>
      </c>
      <c r="M30" s="177">
        <f t="shared" si="68"/>
        <v>53.333333333333336</v>
      </c>
      <c r="N30" s="176">
        <f t="shared" si="68"/>
        <v>40</v>
      </c>
      <c r="O30" s="176">
        <f t="shared" si="68"/>
        <v>40</v>
      </c>
    </row>
    <row r="31" spans="1:27">
      <c r="A31" s="169"/>
      <c r="B31" s="59"/>
      <c r="D31" s="168">
        <v>9</v>
      </c>
      <c r="E31" s="150">
        <f>E23*9</f>
        <v>324</v>
      </c>
      <c r="F31" s="150">
        <f t="shared" ref="F31:I31" si="69">F23*9</f>
        <v>162</v>
      </c>
      <c r="G31" s="150">
        <f t="shared" si="69"/>
        <v>108</v>
      </c>
      <c r="H31" s="150">
        <f t="shared" si="69"/>
        <v>81</v>
      </c>
      <c r="I31" s="150">
        <f t="shared" si="69"/>
        <v>81</v>
      </c>
      <c r="J31" s="12"/>
      <c r="K31" s="176">
        <f>K23*9</f>
        <v>180</v>
      </c>
      <c r="L31" s="176">
        <f t="shared" ref="L31:O31" si="70">L23*9</f>
        <v>90</v>
      </c>
      <c r="M31" s="177">
        <f t="shared" si="70"/>
        <v>60</v>
      </c>
      <c r="N31" s="176">
        <f t="shared" si="70"/>
        <v>45</v>
      </c>
      <c r="O31" s="176">
        <f t="shared" si="70"/>
        <v>45</v>
      </c>
    </row>
    <row r="32" spans="1:27">
      <c r="A32" s="169"/>
      <c r="B32" s="59"/>
      <c r="D32" s="168"/>
      <c r="E32" s="150"/>
      <c r="F32" s="150"/>
      <c r="G32" s="150"/>
      <c r="H32" s="150"/>
      <c r="I32" s="150"/>
      <c r="J32" s="12"/>
      <c r="K32" s="176"/>
      <c r="L32" s="176"/>
      <c r="M32" s="177"/>
      <c r="N32" s="176"/>
      <c r="O32" s="176"/>
      <c r="Q32" s="198">
        <v>41639</v>
      </c>
    </row>
    <row r="33" spans="1:27">
      <c r="A33" s="28" t="s">
        <v>15</v>
      </c>
      <c r="B33" s="59" t="s">
        <v>53</v>
      </c>
      <c r="D33" s="168">
        <v>1</v>
      </c>
      <c r="E33" s="150">
        <f>ROUNDUP(K33*1.8,0)</f>
        <v>36</v>
      </c>
      <c r="F33" s="150">
        <f t="shared" ref="F33:I33" si="71">ROUNDUP(L33*1.8,0)</f>
        <v>18</v>
      </c>
      <c r="G33" s="150">
        <f t="shared" si="71"/>
        <v>12</v>
      </c>
      <c r="H33" s="150">
        <f t="shared" si="71"/>
        <v>9</v>
      </c>
      <c r="I33" s="150">
        <f t="shared" si="71"/>
        <v>9</v>
      </c>
      <c r="J33" s="12"/>
      <c r="K33" s="150">
        <v>20</v>
      </c>
      <c r="L33" s="150">
        <f>K33/2</f>
        <v>10</v>
      </c>
      <c r="M33" s="151">
        <f>K33/3</f>
        <v>6.666666666666667</v>
      </c>
      <c r="N33" s="150">
        <f>K33/4</f>
        <v>5</v>
      </c>
      <c r="O33" s="150">
        <f>N33</f>
        <v>5</v>
      </c>
      <c r="Q33" s="172">
        <f>ROUNDUP(W33*1.8,0)</f>
        <v>54</v>
      </c>
      <c r="R33" s="172">
        <f t="shared" ref="R33" si="72">ROUNDUP(X33*1.8,0)</f>
        <v>27</v>
      </c>
      <c r="S33" s="172">
        <f t="shared" ref="S33" si="73">ROUNDUP(Y33*1.8,0)</f>
        <v>18</v>
      </c>
      <c r="T33" s="172">
        <f t="shared" ref="T33" si="74">ROUNDUP(Z33*1.8,0)</f>
        <v>14</v>
      </c>
      <c r="U33" s="172">
        <f t="shared" ref="U33" si="75">ROUNDUP(AA33*1.8,0)</f>
        <v>14</v>
      </c>
      <c r="W33" s="172">
        <f>20+10</f>
        <v>30</v>
      </c>
      <c r="X33" s="172">
        <f>W33/2</f>
        <v>15</v>
      </c>
      <c r="Y33" s="173">
        <f>W33/3</f>
        <v>10</v>
      </c>
      <c r="Z33" s="172">
        <f>W33/4</f>
        <v>7.5</v>
      </c>
      <c r="AA33" s="172">
        <f>Z33</f>
        <v>7.5</v>
      </c>
    </row>
    <row r="34" spans="1:27">
      <c r="A34" s="169"/>
      <c r="B34" s="59"/>
      <c r="D34" s="17">
        <v>2</v>
      </c>
      <c r="E34" s="150">
        <f>E33*2</f>
        <v>72</v>
      </c>
      <c r="F34" s="150">
        <f t="shared" ref="F34:I34" si="76">F33*2</f>
        <v>36</v>
      </c>
      <c r="G34" s="150">
        <f t="shared" si="76"/>
        <v>24</v>
      </c>
      <c r="H34" s="150">
        <f t="shared" si="76"/>
        <v>18</v>
      </c>
      <c r="I34" s="150">
        <f t="shared" si="76"/>
        <v>18</v>
      </c>
      <c r="J34" s="12"/>
      <c r="K34" s="176">
        <f>K33*2</f>
        <v>40</v>
      </c>
      <c r="L34" s="176">
        <f t="shared" ref="L34:O34" si="77">L33*2</f>
        <v>20</v>
      </c>
      <c r="M34" s="177">
        <f t="shared" si="77"/>
        <v>13.333333333333334</v>
      </c>
      <c r="N34" s="176">
        <f t="shared" si="77"/>
        <v>10</v>
      </c>
      <c r="O34" s="176">
        <f t="shared" si="77"/>
        <v>10</v>
      </c>
      <c r="Q34" s="172">
        <f>Q33*2</f>
        <v>108</v>
      </c>
      <c r="R34" s="172">
        <f t="shared" ref="R34:U34" si="78">R33*2</f>
        <v>54</v>
      </c>
      <c r="S34" s="172">
        <f t="shared" si="78"/>
        <v>36</v>
      </c>
      <c r="T34" s="172">
        <f t="shared" si="78"/>
        <v>28</v>
      </c>
      <c r="U34" s="172">
        <f t="shared" si="78"/>
        <v>28</v>
      </c>
      <c r="W34" s="174">
        <f>W33*2</f>
        <v>60</v>
      </c>
      <c r="X34" s="174">
        <f t="shared" ref="X34:AA34" si="79">X33*2</f>
        <v>30</v>
      </c>
      <c r="Y34" s="175">
        <f t="shared" si="79"/>
        <v>20</v>
      </c>
      <c r="Z34" s="174">
        <f t="shared" si="79"/>
        <v>15</v>
      </c>
      <c r="AA34" s="174">
        <f t="shared" si="79"/>
        <v>15</v>
      </c>
    </row>
    <row r="35" spans="1:27">
      <c r="A35" s="169"/>
      <c r="B35" s="59"/>
      <c r="D35" s="17">
        <v>3</v>
      </c>
      <c r="E35" s="150">
        <f>E33*3</f>
        <v>108</v>
      </c>
      <c r="F35" s="150">
        <f t="shared" ref="F35:I35" si="80">F33*3</f>
        <v>54</v>
      </c>
      <c r="G35" s="150">
        <f t="shared" si="80"/>
        <v>36</v>
      </c>
      <c r="H35" s="150">
        <f t="shared" si="80"/>
        <v>27</v>
      </c>
      <c r="I35" s="150">
        <f t="shared" si="80"/>
        <v>27</v>
      </c>
      <c r="J35" s="12"/>
      <c r="K35" s="176">
        <f>K33*3</f>
        <v>60</v>
      </c>
      <c r="L35" s="176">
        <f t="shared" ref="L35:O35" si="81">L33*3</f>
        <v>30</v>
      </c>
      <c r="M35" s="177">
        <f t="shared" si="81"/>
        <v>20</v>
      </c>
      <c r="N35" s="176">
        <f t="shared" si="81"/>
        <v>15</v>
      </c>
      <c r="O35" s="176">
        <f t="shared" si="81"/>
        <v>15</v>
      </c>
      <c r="Q35" s="172">
        <f>Q33*3</f>
        <v>162</v>
      </c>
      <c r="R35" s="172">
        <f t="shared" ref="R35:U35" si="82">R33*3</f>
        <v>81</v>
      </c>
      <c r="S35" s="172">
        <f t="shared" si="82"/>
        <v>54</v>
      </c>
      <c r="T35" s="172">
        <f t="shared" si="82"/>
        <v>42</v>
      </c>
      <c r="U35" s="172">
        <f t="shared" si="82"/>
        <v>42</v>
      </c>
      <c r="W35" s="174">
        <f>W33*3</f>
        <v>90</v>
      </c>
      <c r="X35" s="174">
        <f t="shared" ref="X35:AA35" si="83">X33*3</f>
        <v>45</v>
      </c>
      <c r="Y35" s="175">
        <f t="shared" si="83"/>
        <v>30</v>
      </c>
      <c r="Z35" s="174">
        <f t="shared" si="83"/>
        <v>22.5</v>
      </c>
      <c r="AA35" s="174">
        <f t="shared" si="83"/>
        <v>22.5</v>
      </c>
    </row>
    <row r="36" spans="1:27">
      <c r="A36" s="169"/>
      <c r="B36" s="59"/>
      <c r="D36" s="168">
        <v>4</v>
      </c>
      <c r="E36" s="150">
        <f>E33*4</f>
        <v>144</v>
      </c>
      <c r="F36" s="150">
        <f t="shared" ref="F36:I36" si="84">F33*4</f>
        <v>72</v>
      </c>
      <c r="G36" s="150">
        <f t="shared" si="84"/>
        <v>48</v>
      </c>
      <c r="H36" s="150">
        <f t="shared" si="84"/>
        <v>36</v>
      </c>
      <c r="I36" s="150">
        <f t="shared" si="84"/>
        <v>36</v>
      </c>
      <c r="J36" s="12"/>
      <c r="K36" s="176">
        <f>K33*4</f>
        <v>80</v>
      </c>
      <c r="L36" s="176">
        <f t="shared" ref="L36:O36" si="85">L33*4</f>
        <v>40</v>
      </c>
      <c r="M36" s="177">
        <f t="shared" si="85"/>
        <v>26.666666666666668</v>
      </c>
      <c r="N36" s="176">
        <f t="shared" si="85"/>
        <v>20</v>
      </c>
      <c r="O36" s="176">
        <f t="shared" si="85"/>
        <v>20</v>
      </c>
      <c r="Q36" s="172">
        <f>Q33*4</f>
        <v>216</v>
      </c>
      <c r="R36" s="172">
        <f t="shared" ref="R36:U36" si="86">R33*4</f>
        <v>108</v>
      </c>
      <c r="S36" s="172">
        <f t="shared" si="86"/>
        <v>72</v>
      </c>
      <c r="T36" s="172">
        <f t="shared" si="86"/>
        <v>56</v>
      </c>
      <c r="U36" s="172">
        <f t="shared" si="86"/>
        <v>56</v>
      </c>
      <c r="W36" s="174">
        <f>W33*4</f>
        <v>120</v>
      </c>
      <c r="X36" s="174">
        <f t="shared" ref="X36:AA36" si="87">X33*4</f>
        <v>60</v>
      </c>
      <c r="Y36" s="175">
        <f t="shared" si="87"/>
        <v>40</v>
      </c>
      <c r="Z36" s="174">
        <f t="shared" si="87"/>
        <v>30</v>
      </c>
      <c r="AA36" s="174">
        <f t="shared" si="87"/>
        <v>30</v>
      </c>
    </row>
    <row r="37" spans="1:27">
      <c r="A37" s="169"/>
      <c r="B37" s="59"/>
      <c r="D37" s="168">
        <v>5</v>
      </c>
      <c r="E37" s="150">
        <f>E33*5</f>
        <v>180</v>
      </c>
      <c r="F37" s="150">
        <f t="shared" ref="F37:I37" si="88">F33*5</f>
        <v>90</v>
      </c>
      <c r="G37" s="150">
        <f t="shared" si="88"/>
        <v>60</v>
      </c>
      <c r="H37" s="150">
        <f t="shared" si="88"/>
        <v>45</v>
      </c>
      <c r="I37" s="150">
        <f t="shared" si="88"/>
        <v>45</v>
      </c>
      <c r="J37" s="12"/>
      <c r="K37" s="176">
        <f>K33*5</f>
        <v>100</v>
      </c>
      <c r="L37" s="176">
        <f t="shared" ref="L37:O37" si="89">L33*5</f>
        <v>50</v>
      </c>
      <c r="M37" s="177">
        <f t="shared" si="89"/>
        <v>33.333333333333336</v>
      </c>
      <c r="N37" s="176">
        <f t="shared" si="89"/>
        <v>25</v>
      </c>
      <c r="O37" s="176">
        <f t="shared" si="89"/>
        <v>25</v>
      </c>
      <c r="Q37" s="172">
        <f>Q33*5</f>
        <v>270</v>
      </c>
      <c r="R37" s="172">
        <f t="shared" ref="R37:U37" si="90">R33*5</f>
        <v>135</v>
      </c>
      <c r="S37" s="172">
        <f t="shared" si="90"/>
        <v>90</v>
      </c>
      <c r="T37" s="172">
        <f t="shared" si="90"/>
        <v>70</v>
      </c>
      <c r="U37" s="172">
        <f t="shared" si="90"/>
        <v>70</v>
      </c>
      <c r="W37" s="174">
        <f>W33*5</f>
        <v>150</v>
      </c>
      <c r="X37" s="174">
        <f t="shared" ref="X37:AA37" si="91">X33*5</f>
        <v>75</v>
      </c>
      <c r="Y37" s="175">
        <f t="shared" si="91"/>
        <v>50</v>
      </c>
      <c r="Z37" s="174">
        <f t="shared" si="91"/>
        <v>37.5</v>
      </c>
      <c r="AA37" s="174">
        <f t="shared" si="91"/>
        <v>37.5</v>
      </c>
    </row>
    <row r="38" spans="1:27">
      <c r="A38" s="169"/>
      <c r="B38" s="59"/>
      <c r="D38" s="168">
        <v>6</v>
      </c>
      <c r="E38" s="150">
        <f>E33*6</f>
        <v>216</v>
      </c>
      <c r="F38" s="150">
        <f t="shared" ref="F38:I38" si="92">F33*6</f>
        <v>108</v>
      </c>
      <c r="G38" s="150">
        <f t="shared" si="92"/>
        <v>72</v>
      </c>
      <c r="H38" s="150">
        <f t="shared" si="92"/>
        <v>54</v>
      </c>
      <c r="I38" s="150">
        <f t="shared" si="92"/>
        <v>54</v>
      </c>
      <c r="J38" s="12"/>
      <c r="K38" s="176">
        <f>K33*6</f>
        <v>120</v>
      </c>
      <c r="L38" s="176">
        <f t="shared" ref="L38:O38" si="93">L33*6</f>
        <v>60</v>
      </c>
      <c r="M38" s="177">
        <f t="shared" si="93"/>
        <v>40</v>
      </c>
      <c r="N38" s="176">
        <f t="shared" si="93"/>
        <v>30</v>
      </c>
      <c r="O38" s="176">
        <f t="shared" si="93"/>
        <v>30</v>
      </c>
      <c r="Q38" s="172">
        <f>Q33*6</f>
        <v>324</v>
      </c>
      <c r="R38" s="172">
        <f t="shared" ref="R38:U38" si="94">R33*6</f>
        <v>162</v>
      </c>
      <c r="S38" s="172">
        <f t="shared" si="94"/>
        <v>108</v>
      </c>
      <c r="T38" s="172">
        <f t="shared" si="94"/>
        <v>84</v>
      </c>
      <c r="U38" s="172">
        <f t="shared" si="94"/>
        <v>84</v>
      </c>
      <c r="W38" s="174">
        <f>W33*6</f>
        <v>180</v>
      </c>
      <c r="X38" s="174">
        <f t="shared" ref="X38:AA38" si="95">X33*6</f>
        <v>90</v>
      </c>
      <c r="Y38" s="175">
        <f t="shared" si="95"/>
        <v>60</v>
      </c>
      <c r="Z38" s="174">
        <f t="shared" si="95"/>
        <v>45</v>
      </c>
      <c r="AA38" s="174">
        <f t="shared" si="95"/>
        <v>45</v>
      </c>
    </row>
    <row r="39" spans="1:27">
      <c r="A39" s="169"/>
      <c r="B39" s="59"/>
      <c r="D39" s="168">
        <v>7</v>
      </c>
      <c r="E39" s="150">
        <f>E33*7</f>
        <v>252</v>
      </c>
      <c r="F39" s="150">
        <f t="shared" ref="F39:I39" si="96">F33*7</f>
        <v>126</v>
      </c>
      <c r="G39" s="150">
        <f t="shared" si="96"/>
        <v>84</v>
      </c>
      <c r="H39" s="150">
        <f t="shared" si="96"/>
        <v>63</v>
      </c>
      <c r="I39" s="150">
        <f t="shared" si="96"/>
        <v>63</v>
      </c>
      <c r="J39" s="12"/>
      <c r="K39" s="176">
        <f>K33*7</f>
        <v>140</v>
      </c>
      <c r="L39" s="176">
        <f t="shared" ref="L39:O39" si="97">L33*7</f>
        <v>70</v>
      </c>
      <c r="M39" s="177">
        <f t="shared" si="97"/>
        <v>46.666666666666671</v>
      </c>
      <c r="N39" s="176">
        <f t="shared" si="97"/>
        <v>35</v>
      </c>
      <c r="O39" s="176">
        <f t="shared" si="97"/>
        <v>35</v>
      </c>
      <c r="Q39" s="172">
        <f>Q33*7</f>
        <v>378</v>
      </c>
      <c r="R39" s="172">
        <f t="shared" ref="R39:U39" si="98">R33*7</f>
        <v>189</v>
      </c>
      <c r="S39" s="172">
        <f t="shared" si="98"/>
        <v>126</v>
      </c>
      <c r="T39" s="172">
        <f t="shared" si="98"/>
        <v>98</v>
      </c>
      <c r="U39" s="172">
        <f t="shared" si="98"/>
        <v>98</v>
      </c>
      <c r="W39" s="174">
        <f>W33*7</f>
        <v>210</v>
      </c>
      <c r="X39" s="174">
        <f t="shared" ref="X39:AA39" si="99">X33*7</f>
        <v>105</v>
      </c>
      <c r="Y39" s="175">
        <f t="shared" si="99"/>
        <v>70</v>
      </c>
      <c r="Z39" s="174">
        <f t="shared" si="99"/>
        <v>52.5</v>
      </c>
      <c r="AA39" s="174">
        <f t="shared" si="99"/>
        <v>52.5</v>
      </c>
    </row>
    <row r="40" spans="1:27">
      <c r="A40" s="169"/>
      <c r="B40" s="59"/>
      <c r="D40" s="168">
        <v>8</v>
      </c>
      <c r="E40" s="150">
        <f>E33*8</f>
        <v>288</v>
      </c>
      <c r="F40" s="150">
        <f t="shared" ref="F40:I40" si="100">F33*8</f>
        <v>144</v>
      </c>
      <c r="G40" s="150">
        <f t="shared" si="100"/>
        <v>96</v>
      </c>
      <c r="H40" s="150">
        <f t="shared" si="100"/>
        <v>72</v>
      </c>
      <c r="I40" s="150">
        <f t="shared" si="100"/>
        <v>72</v>
      </c>
      <c r="J40" s="12"/>
      <c r="K40" s="176">
        <f>K33*8</f>
        <v>160</v>
      </c>
      <c r="L40" s="176">
        <f t="shared" ref="L40:O40" si="101">L33*8</f>
        <v>80</v>
      </c>
      <c r="M40" s="177">
        <f t="shared" si="101"/>
        <v>53.333333333333336</v>
      </c>
      <c r="N40" s="176">
        <f t="shared" si="101"/>
        <v>40</v>
      </c>
      <c r="O40" s="176">
        <f t="shared" si="101"/>
        <v>40</v>
      </c>
      <c r="Q40" s="172">
        <f>Q33*8</f>
        <v>432</v>
      </c>
      <c r="R40" s="172">
        <f t="shared" ref="R40:U40" si="102">R33*8</f>
        <v>216</v>
      </c>
      <c r="S40" s="172">
        <f t="shared" si="102"/>
        <v>144</v>
      </c>
      <c r="T40" s="172">
        <f t="shared" si="102"/>
        <v>112</v>
      </c>
      <c r="U40" s="172">
        <f t="shared" si="102"/>
        <v>112</v>
      </c>
      <c r="W40" s="174">
        <f>W33*8</f>
        <v>240</v>
      </c>
      <c r="X40" s="174">
        <f t="shared" ref="X40:AA40" si="103">X33*8</f>
        <v>120</v>
      </c>
      <c r="Y40" s="175">
        <f t="shared" si="103"/>
        <v>80</v>
      </c>
      <c r="Z40" s="174">
        <f t="shared" si="103"/>
        <v>60</v>
      </c>
      <c r="AA40" s="174">
        <f t="shared" si="103"/>
        <v>60</v>
      </c>
    </row>
    <row r="41" spans="1:27">
      <c r="A41" s="169"/>
      <c r="B41" s="59"/>
      <c r="D41" s="168">
        <v>9</v>
      </c>
      <c r="E41" s="150">
        <f>E33*9</f>
        <v>324</v>
      </c>
      <c r="F41" s="150">
        <f t="shared" ref="F41:I41" si="104">F33*9</f>
        <v>162</v>
      </c>
      <c r="G41" s="150">
        <f t="shared" si="104"/>
        <v>108</v>
      </c>
      <c r="H41" s="150">
        <f t="shared" si="104"/>
        <v>81</v>
      </c>
      <c r="I41" s="150">
        <f t="shared" si="104"/>
        <v>81</v>
      </c>
      <c r="J41" s="12"/>
      <c r="K41" s="176">
        <f>K33*9</f>
        <v>180</v>
      </c>
      <c r="L41" s="176">
        <f t="shared" ref="L41:O41" si="105">L33*9</f>
        <v>90</v>
      </c>
      <c r="M41" s="177">
        <f t="shared" si="105"/>
        <v>60</v>
      </c>
      <c r="N41" s="176">
        <f t="shared" si="105"/>
        <v>45</v>
      </c>
      <c r="O41" s="176">
        <f t="shared" si="105"/>
        <v>45</v>
      </c>
      <c r="Q41" s="172">
        <f>Q33*9</f>
        <v>486</v>
      </c>
      <c r="R41" s="172">
        <f t="shared" ref="R41:U41" si="106">R33*9</f>
        <v>243</v>
      </c>
      <c r="S41" s="172">
        <f t="shared" si="106"/>
        <v>162</v>
      </c>
      <c r="T41" s="172">
        <f t="shared" si="106"/>
        <v>126</v>
      </c>
      <c r="U41" s="172">
        <f t="shared" si="106"/>
        <v>126</v>
      </c>
      <c r="W41" s="174">
        <f>W33*9</f>
        <v>270</v>
      </c>
      <c r="X41" s="174">
        <f t="shared" ref="X41:AA41" si="107">X33*9</f>
        <v>135</v>
      </c>
      <c r="Y41" s="175">
        <f t="shared" si="107"/>
        <v>90</v>
      </c>
      <c r="Z41" s="174">
        <f t="shared" si="107"/>
        <v>67.5</v>
      </c>
      <c r="AA41" s="174">
        <f t="shared" si="107"/>
        <v>67.5</v>
      </c>
    </row>
    <row r="42" spans="1:27">
      <c r="A42" s="169"/>
      <c r="B42" s="59"/>
      <c r="D42" s="16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27">
      <c r="A43" s="170" t="s">
        <v>148</v>
      </c>
      <c r="B43" s="108" t="s">
        <v>53</v>
      </c>
      <c r="D43" s="168">
        <v>1</v>
      </c>
      <c r="E43" s="150">
        <f>ROUNDUP(K43*1.8,0)</f>
        <v>36</v>
      </c>
      <c r="F43" s="150">
        <f t="shared" ref="F43:I43" si="108">ROUNDUP(L43*1.8,0)</f>
        <v>18</v>
      </c>
      <c r="G43" s="150">
        <f t="shared" si="108"/>
        <v>12</v>
      </c>
      <c r="H43" s="150">
        <f t="shared" si="108"/>
        <v>9</v>
      </c>
      <c r="I43" s="150">
        <f t="shared" si="108"/>
        <v>9</v>
      </c>
      <c r="J43" s="12"/>
      <c r="K43" s="150">
        <v>20</v>
      </c>
      <c r="L43" s="150">
        <f>K43/2</f>
        <v>10</v>
      </c>
      <c r="M43" s="151">
        <f>K43/3</f>
        <v>6.666666666666667</v>
      </c>
      <c r="N43" s="150">
        <f>K43/4</f>
        <v>5</v>
      </c>
      <c r="O43" s="150">
        <f>N43</f>
        <v>5</v>
      </c>
    </row>
    <row r="44" spans="1:27">
      <c r="A44" s="171"/>
      <c r="B44" s="171"/>
      <c r="D44" s="17">
        <v>2</v>
      </c>
      <c r="E44" s="150">
        <f>E43*2</f>
        <v>72</v>
      </c>
      <c r="F44" s="150">
        <f t="shared" ref="F44:I44" si="109">F43*2</f>
        <v>36</v>
      </c>
      <c r="G44" s="150">
        <f t="shared" si="109"/>
        <v>24</v>
      </c>
      <c r="H44" s="150">
        <f t="shared" si="109"/>
        <v>18</v>
      </c>
      <c r="I44" s="150">
        <f t="shared" si="109"/>
        <v>18</v>
      </c>
      <c r="J44" s="12"/>
      <c r="K44" s="176">
        <f>K43*2</f>
        <v>40</v>
      </c>
      <c r="L44" s="176">
        <f t="shared" ref="L44:O44" si="110">L43*2</f>
        <v>20</v>
      </c>
      <c r="M44" s="177">
        <f t="shared" si="110"/>
        <v>13.333333333333334</v>
      </c>
      <c r="N44" s="176">
        <f t="shared" si="110"/>
        <v>10</v>
      </c>
      <c r="O44" s="176">
        <f t="shared" si="110"/>
        <v>10</v>
      </c>
    </row>
    <row r="45" spans="1:27">
      <c r="A45" s="171"/>
      <c r="B45" s="171"/>
      <c r="D45" s="17">
        <v>3</v>
      </c>
      <c r="E45" s="150">
        <f>E43*3</f>
        <v>108</v>
      </c>
      <c r="F45" s="150">
        <f t="shared" ref="F45:I45" si="111">F43*3</f>
        <v>54</v>
      </c>
      <c r="G45" s="150">
        <f t="shared" si="111"/>
        <v>36</v>
      </c>
      <c r="H45" s="150">
        <f t="shared" si="111"/>
        <v>27</v>
      </c>
      <c r="I45" s="150">
        <f t="shared" si="111"/>
        <v>27</v>
      </c>
      <c r="J45" s="12"/>
      <c r="K45" s="176">
        <f>K43*3</f>
        <v>60</v>
      </c>
      <c r="L45" s="176">
        <f t="shared" ref="L45:O45" si="112">L43*3</f>
        <v>30</v>
      </c>
      <c r="M45" s="177">
        <f t="shared" si="112"/>
        <v>20</v>
      </c>
      <c r="N45" s="176">
        <f t="shared" si="112"/>
        <v>15</v>
      </c>
      <c r="O45" s="176">
        <f t="shared" si="112"/>
        <v>15</v>
      </c>
    </row>
    <row r="46" spans="1:27">
      <c r="A46" s="171"/>
      <c r="B46" s="171"/>
      <c r="D46" s="168">
        <v>4</v>
      </c>
      <c r="E46" s="150">
        <f>E43*4</f>
        <v>144</v>
      </c>
      <c r="F46" s="150">
        <f t="shared" ref="F46:I46" si="113">F43*4</f>
        <v>72</v>
      </c>
      <c r="G46" s="150">
        <f t="shared" si="113"/>
        <v>48</v>
      </c>
      <c r="H46" s="150">
        <f t="shared" si="113"/>
        <v>36</v>
      </c>
      <c r="I46" s="150">
        <f t="shared" si="113"/>
        <v>36</v>
      </c>
      <c r="J46" s="12"/>
      <c r="K46" s="176">
        <f>K43*4</f>
        <v>80</v>
      </c>
      <c r="L46" s="176">
        <f t="shared" ref="L46:O46" si="114">L43*4</f>
        <v>40</v>
      </c>
      <c r="M46" s="177">
        <f t="shared" si="114"/>
        <v>26.666666666666668</v>
      </c>
      <c r="N46" s="176">
        <f t="shared" si="114"/>
        <v>20</v>
      </c>
      <c r="O46" s="176">
        <f t="shared" si="114"/>
        <v>20</v>
      </c>
    </row>
    <row r="47" spans="1:27">
      <c r="A47" s="171"/>
      <c r="B47" s="171"/>
      <c r="D47" s="168">
        <v>5</v>
      </c>
      <c r="E47" s="150">
        <f>E43*5</f>
        <v>180</v>
      </c>
      <c r="F47" s="150">
        <f t="shared" ref="F47:I47" si="115">F43*5</f>
        <v>90</v>
      </c>
      <c r="G47" s="150">
        <f t="shared" si="115"/>
        <v>60</v>
      </c>
      <c r="H47" s="150">
        <f t="shared" si="115"/>
        <v>45</v>
      </c>
      <c r="I47" s="150">
        <f t="shared" si="115"/>
        <v>45</v>
      </c>
      <c r="J47" s="12"/>
      <c r="K47" s="176">
        <f>K43*5</f>
        <v>100</v>
      </c>
      <c r="L47" s="176">
        <f t="shared" ref="L47:O47" si="116">L43*5</f>
        <v>50</v>
      </c>
      <c r="M47" s="177">
        <f t="shared" si="116"/>
        <v>33.333333333333336</v>
      </c>
      <c r="N47" s="176">
        <f t="shared" si="116"/>
        <v>25</v>
      </c>
      <c r="O47" s="176">
        <f t="shared" si="116"/>
        <v>25</v>
      </c>
    </row>
    <row r="48" spans="1:27">
      <c r="A48" s="171"/>
      <c r="B48" s="171"/>
      <c r="D48" s="168">
        <v>6</v>
      </c>
      <c r="E48" s="150">
        <f>E43*6</f>
        <v>216</v>
      </c>
      <c r="F48" s="150">
        <f t="shared" ref="F48:I48" si="117">F43*6</f>
        <v>108</v>
      </c>
      <c r="G48" s="150">
        <f t="shared" si="117"/>
        <v>72</v>
      </c>
      <c r="H48" s="150">
        <f t="shared" si="117"/>
        <v>54</v>
      </c>
      <c r="I48" s="150">
        <f t="shared" si="117"/>
        <v>54</v>
      </c>
      <c r="J48" s="12"/>
      <c r="K48" s="176">
        <f>K43*6</f>
        <v>120</v>
      </c>
      <c r="L48" s="176">
        <f t="shared" ref="L48:O48" si="118">L43*6</f>
        <v>60</v>
      </c>
      <c r="M48" s="177">
        <f t="shared" si="118"/>
        <v>40</v>
      </c>
      <c r="N48" s="176">
        <f t="shared" si="118"/>
        <v>30</v>
      </c>
      <c r="O48" s="176">
        <f t="shared" si="118"/>
        <v>30</v>
      </c>
    </row>
    <row r="49" spans="1:15">
      <c r="A49" s="171"/>
      <c r="B49" s="171"/>
      <c r="D49" s="168">
        <v>7</v>
      </c>
      <c r="E49" s="150">
        <f>E43*7</f>
        <v>252</v>
      </c>
      <c r="F49" s="150">
        <f t="shared" ref="F49:I49" si="119">F43*7</f>
        <v>126</v>
      </c>
      <c r="G49" s="150">
        <f t="shared" si="119"/>
        <v>84</v>
      </c>
      <c r="H49" s="150">
        <f t="shared" si="119"/>
        <v>63</v>
      </c>
      <c r="I49" s="150">
        <f t="shared" si="119"/>
        <v>63</v>
      </c>
      <c r="J49" s="12"/>
      <c r="K49" s="176">
        <f>K43*7</f>
        <v>140</v>
      </c>
      <c r="L49" s="176">
        <f t="shared" ref="L49:O49" si="120">L43*7</f>
        <v>70</v>
      </c>
      <c r="M49" s="177">
        <f t="shared" si="120"/>
        <v>46.666666666666671</v>
      </c>
      <c r="N49" s="176">
        <f t="shared" si="120"/>
        <v>35</v>
      </c>
      <c r="O49" s="176">
        <f t="shared" si="120"/>
        <v>35</v>
      </c>
    </row>
    <row r="50" spans="1:15">
      <c r="A50" s="171"/>
      <c r="B50" s="171"/>
      <c r="D50" s="168">
        <v>8</v>
      </c>
      <c r="E50" s="150">
        <f>E43*8</f>
        <v>288</v>
      </c>
      <c r="F50" s="150">
        <f t="shared" ref="F50:I50" si="121">F43*8</f>
        <v>144</v>
      </c>
      <c r="G50" s="150">
        <f t="shared" si="121"/>
        <v>96</v>
      </c>
      <c r="H50" s="150">
        <f t="shared" si="121"/>
        <v>72</v>
      </c>
      <c r="I50" s="150">
        <f t="shared" si="121"/>
        <v>72</v>
      </c>
      <c r="J50" s="12"/>
      <c r="K50" s="176">
        <f>K43*8</f>
        <v>160</v>
      </c>
      <c r="L50" s="176">
        <f t="shared" ref="L50:O50" si="122">L43*8</f>
        <v>80</v>
      </c>
      <c r="M50" s="177">
        <f t="shared" si="122"/>
        <v>53.333333333333336</v>
      </c>
      <c r="N50" s="176">
        <f t="shared" si="122"/>
        <v>40</v>
      </c>
      <c r="O50" s="176">
        <f t="shared" si="122"/>
        <v>40</v>
      </c>
    </row>
    <row r="51" spans="1:15">
      <c r="A51" s="171"/>
      <c r="B51" s="171"/>
      <c r="D51" s="168">
        <v>9</v>
      </c>
      <c r="E51" s="150">
        <f>E43*9</f>
        <v>324</v>
      </c>
      <c r="F51" s="150">
        <f t="shared" ref="F51:I51" si="123">F43*9</f>
        <v>162</v>
      </c>
      <c r="G51" s="150">
        <f t="shared" si="123"/>
        <v>108</v>
      </c>
      <c r="H51" s="150">
        <f t="shared" si="123"/>
        <v>81</v>
      </c>
      <c r="I51" s="150">
        <f t="shared" si="123"/>
        <v>81</v>
      </c>
      <c r="J51" s="12"/>
      <c r="K51" s="176">
        <f>K43*9</f>
        <v>180</v>
      </c>
      <c r="L51" s="176">
        <f t="shared" ref="L51:O51" si="124">L43*9</f>
        <v>90</v>
      </c>
      <c r="M51" s="177">
        <f t="shared" si="124"/>
        <v>60</v>
      </c>
      <c r="N51" s="176">
        <f t="shared" si="124"/>
        <v>45</v>
      </c>
      <c r="O51" s="176">
        <f t="shared" si="124"/>
        <v>45</v>
      </c>
    </row>
    <row r="52" spans="1:1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>
      <c r="A53" s="170" t="s">
        <v>21</v>
      </c>
      <c r="B53" s="108" t="s">
        <v>53</v>
      </c>
      <c r="C53" s="16" t="s">
        <v>152</v>
      </c>
      <c r="D53" s="168">
        <v>1</v>
      </c>
      <c r="E53" s="150">
        <v>100</v>
      </c>
      <c r="F53" s="150">
        <v>50</v>
      </c>
      <c r="G53" s="150">
        <f t="shared" ref="G53:I53" si="125">ROUNDUP(M53*1.4,0)</f>
        <v>33</v>
      </c>
      <c r="H53" s="150">
        <f t="shared" si="125"/>
        <v>25</v>
      </c>
      <c r="I53" s="150">
        <f t="shared" si="125"/>
        <v>25</v>
      </c>
      <c r="J53" s="12"/>
      <c r="K53" s="150">
        <v>70</v>
      </c>
      <c r="L53" s="150">
        <f>K53/2</f>
        <v>35</v>
      </c>
      <c r="M53" s="151">
        <f>K53/3</f>
        <v>23.333333333333332</v>
      </c>
      <c r="N53" s="150">
        <f>K53/4</f>
        <v>17.5</v>
      </c>
      <c r="O53" s="150">
        <f>N53</f>
        <v>17.5</v>
      </c>
    </row>
    <row r="54" spans="1:15">
      <c r="A54" s="171"/>
      <c r="B54" s="171"/>
      <c r="D54" s="17">
        <v>2</v>
      </c>
      <c r="E54" s="150">
        <f>E53*2</f>
        <v>200</v>
      </c>
      <c r="F54" s="150">
        <f t="shared" ref="F54:I54" si="126">F53*2</f>
        <v>100</v>
      </c>
      <c r="G54" s="150">
        <f t="shared" si="126"/>
        <v>66</v>
      </c>
      <c r="H54" s="150">
        <f t="shared" si="126"/>
        <v>50</v>
      </c>
      <c r="I54" s="150">
        <f t="shared" si="126"/>
        <v>50</v>
      </c>
      <c r="J54" s="12"/>
      <c r="K54" s="176">
        <f>K53*2</f>
        <v>140</v>
      </c>
      <c r="L54" s="176">
        <f t="shared" ref="L54:O54" si="127">L53*2</f>
        <v>70</v>
      </c>
      <c r="M54" s="177">
        <f t="shared" si="127"/>
        <v>46.666666666666664</v>
      </c>
      <c r="N54" s="176">
        <f t="shared" si="127"/>
        <v>35</v>
      </c>
      <c r="O54" s="176">
        <f t="shared" si="127"/>
        <v>35</v>
      </c>
    </row>
    <row r="55" spans="1:15">
      <c r="A55" s="171"/>
      <c r="B55" s="171"/>
      <c r="D55" s="17">
        <v>3</v>
      </c>
      <c r="E55" s="150">
        <f>E53*3</f>
        <v>300</v>
      </c>
      <c r="F55" s="150">
        <f t="shared" ref="F55:I55" si="128">F53*3</f>
        <v>150</v>
      </c>
      <c r="G55" s="150">
        <f t="shared" si="128"/>
        <v>99</v>
      </c>
      <c r="H55" s="150">
        <f t="shared" si="128"/>
        <v>75</v>
      </c>
      <c r="I55" s="150">
        <f t="shared" si="128"/>
        <v>75</v>
      </c>
      <c r="J55" s="12"/>
      <c r="K55" s="176">
        <f>K53*3</f>
        <v>210</v>
      </c>
      <c r="L55" s="176">
        <f t="shared" ref="L55:O55" si="129">L53*3</f>
        <v>105</v>
      </c>
      <c r="M55" s="177">
        <f t="shared" si="129"/>
        <v>70</v>
      </c>
      <c r="N55" s="176">
        <f t="shared" si="129"/>
        <v>52.5</v>
      </c>
      <c r="O55" s="176">
        <f t="shared" si="129"/>
        <v>52.5</v>
      </c>
    </row>
    <row r="56" spans="1:15">
      <c r="A56" s="171"/>
      <c r="B56" s="171"/>
      <c r="D56" s="168">
        <v>4</v>
      </c>
      <c r="E56" s="150">
        <f>E53*4</f>
        <v>400</v>
      </c>
      <c r="F56" s="150">
        <f t="shared" ref="F56:I56" si="130">F53*4</f>
        <v>200</v>
      </c>
      <c r="G56" s="150">
        <f t="shared" si="130"/>
        <v>132</v>
      </c>
      <c r="H56" s="150">
        <f t="shared" si="130"/>
        <v>100</v>
      </c>
      <c r="I56" s="150">
        <f t="shared" si="130"/>
        <v>100</v>
      </c>
      <c r="J56" s="12"/>
      <c r="K56" s="176">
        <f>K53*4</f>
        <v>280</v>
      </c>
      <c r="L56" s="176">
        <f t="shared" ref="L56:O56" si="131">L53*4</f>
        <v>140</v>
      </c>
      <c r="M56" s="177">
        <f t="shared" si="131"/>
        <v>93.333333333333329</v>
      </c>
      <c r="N56" s="176">
        <f t="shared" si="131"/>
        <v>70</v>
      </c>
      <c r="O56" s="176">
        <f t="shared" si="131"/>
        <v>70</v>
      </c>
    </row>
    <row r="57" spans="1:15">
      <c r="A57" s="171"/>
      <c r="B57" s="171"/>
      <c r="D57" s="168">
        <v>5</v>
      </c>
      <c r="E57" s="150">
        <f>E53*5</f>
        <v>500</v>
      </c>
      <c r="F57" s="150">
        <f t="shared" ref="F57:I57" si="132">F53*5</f>
        <v>250</v>
      </c>
      <c r="G57" s="150">
        <f t="shared" si="132"/>
        <v>165</v>
      </c>
      <c r="H57" s="150">
        <f t="shared" si="132"/>
        <v>125</v>
      </c>
      <c r="I57" s="150">
        <f t="shared" si="132"/>
        <v>125</v>
      </c>
      <c r="J57" s="12"/>
      <c r="K57" s="176">
        <f>K53*5</f>
        <v>350</v>
      </c>
      <c r="L57" s="176">
        <f t="shared" ref="L57:O57" si="133">L53*5</f>
        <v>175</v>
      </c>
      <c r="M57" s="177">
        <f t="shared" si="133"/>
        <v>116.66666666666666</v>
      </c>
      <c r="N57" s="176">
        <f t="shared" si="133"/>
        <v>87.5</v>
      </c>
      <c r="O57" s="176">
        <f t="shared" si="133"/>
        <v>87.5</v>
      </c>
    </row>
    <row r="58" spans="1:15">
      <c r="A58" s="171"/>
      <c r="B58" s="171"/>
      <c r="D58" s="168">
        <v>6</v>
      </c>
      <c r="E58" s="150">
        <f>E53*6</f>
        <v>600</v>
      </c>
      <c r="F58" s="150">
        <f t="shared" ref="F58:I58" si="134">F53*6</f>
        <v>300</v>
      </c>
      <c r="G58" s="150">
        <f t="shared" si="134"/>
        <v>198</v>
      </c>
      <c r="H58" s="150">
        <f t="shared" si="134"/>
        <v>150</v>
      </c>
      <c r="I58" s="150">
        <f t="shared" si="134"/>
        <v>150</v>
      </c>
      <c r="J58" s="12"/>
      <c r="K58" s="176">
        <f>K53*6</f>
        <v>420</v>
      </c>
      <c r="L58" s="176">
        <f t="shared" ref="L58:O58" si="135">L53*6</f>
        <v>210</v>
      </c>
      <c r="M58" s="177">
        <f t="shared" si="135"/>
        <v>140</v>
      </c>
      <c r="N58" s="176">
        <f t="shared" si="135"/>
        <v>105</v>
      </c>
      <c r="O58" s="176">
        <f t="shared" si="135"/>
        <v>105</v>
      </c>
    </row>
    <row r="59" spans="1:15">
      <c r="A59" s="171"/>
      <c r="B59" s="171"/>
      <c r="D59" s="168">
        <v>7</v>
      </c>
      <c r="E59" s="150">
        <f>E53*7</f>
        <v>700</v>
      </c>
      <c r="F59" s="150">
        <f t="shared" ref="F59:I59" si="136">F53*7</f>
        <v>350</v>
      </c>
      <c r="G59" s="150">
        <f t="shared" si="136"/>
        <v>231</v>
      </c>
      <c r="H59" s="150">
        <f t="shared" si="136"/>
        <v>175</v>
      </c>
      <c r="I59" s="150">
        <f t="shared" si="136"/>
        <v>175</v>
      </c>
      <c r="J59" s="12"/>
      <c r="K59" s="176">
        <f>K53*7</f>
        <v>490</v>
      </c>
      <c r="L59" s="176">
        <f t="shared" ref="L59:O59" si="137">L53*7</f>
        <v>245</v>
      </c>
      <c r="M59" s="177">
        <f t="shared" si="137"/>
        <v>163.33333333333331</v>
      </c>
      <c r="N59" s="176">
        <f t="shared" si="137"/>
        <v>122.5</v>
      </c>
      <c r="O59" s="176">
        <f t="shared" si="137"/>
        <v>122.5</v>
      </c>
    </row>
    <row r="60" spans="1:15">
      <c r="A60" s="171"/>
      <c r="B60" s="171"/>
      <c r="D60" s="168">
        <v>8</v>
      </c>
      <c r="E60" s="150">
        <f>E53*8</f>
        <v>800</v>
      </c>
      <c r="F60" s="150">
        <f t="shared" ref="F60:I60" si="138">F53*8</f>
        <v>400</v>
      </c>
      <c r="G60" s="150">
        <f t="shared" si="138"/>
        <v>264</v>
      </c>
      <c r="H60" s="150">
        <f t="shared" si="138"/>
        <v>200</v>
      </c>
      <c r="I60" s="150">
        <f t="shared" si="138"/>
        <v>200</v>
      </c>
      <c r="J60" s="12"/>
      <c r="K60" s="176">
        <f>K53*8</f>
        <v>560</v>
      </c>
      <c r="L60" s="176">
        <f t="shared" ref="L60:O60" si="139">L53*8</f>
        <v>280</v>
      </c>
      <c r="M60" s="177">
        <f t="shared" si="139"/>
        <v>186.66666666666666</v>
      </c>
      <c r="N60" s="176">
        <f t="shared" si="139"/>
        <v>140</v>
      </c>
      <c r="O60" s="176">
        <f t="shared" si="139"/>
        <v>140</v>
      </c>
    </row>
    <row r="61" spans="1:15">
      <c r="A61" s="171"/>
      <c r="B61" s="171"/>
      <c r="D61" s="168">
        <v>9</v>
      </c>
      <c r="E61" s="150">
        <f>E53*9</f>
        <v>900</v>
      </c>
      <c r="F61" s="150">
        <f t="shared" ref="F61:I61" si="140">F53*9</f>
        <v>450</v>
      </c>
      <c r="G61" s="150">
        <f t="shared" si="140"/>
        <v>297</v>
      </c>
      <c r="H61" s="150">
        <f t="shared" si="140"/>
        <v>225</v>
      </c>
      <c r="I61" s="150">
        <f t="shared" si="140"/>
        <v>225</v>
      </c>
      <c r="J61" s="12"/>
      <c r="K61" s="176">
        <f>K53*9</f>
        <v>630</v>
      </c>
      <c r="L61" s="176">
        <f t="shared" ref="L61:O61" si="141">L53*9</f>
        <v>315</v>
      </c>
      <c r="M61" s="177">
        <f t="shared" si="141"/>
        <v>210</v>
      </c>
      <c r="N61" s="176">
        <f t="shared" si="141"/>
        <v>157.5</v>
      </c>
      <c r="O61" s="176">
        <f t="shared" si="141"/>
        <v>157.5</v>
      </c>
    </row>
    <row r="62" spans="1:1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>
      <c r="A63" s="170" t="s">
        <v>22</v>
      </c>
      <c r="B63" s="108" t="s">
        <v>53</v>
      </c>
      <c r="C63" s="16" t="s">
        <v>152</v>
      </c>
      <c r="D63" s="168">
        <v>1</v>
      </c>
      <c r="E63" s="150">
        <f>ROUNDUP(K63*1.25,0)</f>
        <v>113</v>
      </c>
      <c r="F63" s="150">
        <v>56</v>
      </c>
      <c r="G63" s="150">
        <v>46</v>
      </c>
      <c r="H63" s="150">
        <v>41</v>
      </c>
      <c r="I63" s="150">
        <v>41</v>
      </c>
      <c r="J63" s="12"/>
      <c r="K63" s="150">
        <v>90</v>
      </c>
      <c r="L63" s="150">
        <f>K63/2</f>
        <v>45</v>
      </c>
      <c r="M63" s="151">
        <f>K63/3</f>
        <v>30</v>
      </c>
      <c r="N63" s="150">
        <f>K63/4</f>
        <v>22.5</v>
      </c>
      <c r="O63" s="150">
        <f>N63</f>
        <v>22.5</v>
      </c>
    </row>
    <row r="64" spans="1:15">
      <c r="A64" s="171"/>
      <c r="B64" s="171"/>
      <c r="D64" s="17">
        <v>2</v>
      </c>
      <c r="E64" s="150">
        <f>E63*2</f>
        <v>226</v>
      </c>
      <c r="F64" s="150">
        <f t="shared" ref="F64:I64" si="142">F63*2</f>
        <v>112</v>
      </c>
      <c r="G64" s="150">
        <f t="shared" si="142"/>
        <v>92</v>
      </c>
      <c r="H64" s="150">
        <f t="shared" si="142"/>
        <v>82</v>
      </c>
      <c r="I64" s="150">
        <f t="shared" si="142"/>
        <v>82</v>
      </c>
      <c r="J64" s="12"/>
      <c r="K64" s="176">
        <f>K63*2</f>
        <v>180</v>
      </c>
      <c r="L64" s="176">
        <f t="shared" ref="L64:O64" si="143">L63*2</f>
        <v>90</v>
      </c>
      <c r="M64" s="177">
        <f t="shared" si="143"/>
        <v>60</v>
      </c>
      <c r="N64" s="176">
        <f t="shared" si="143"/>
        <v>45</v>
      </c>
      <c r="O64" s="176">
        <f t="shared" si="143"/>
        <v>45</v>
      </c>
    </row>
    <row r="65" spans="1:15">
      <c r="A65" s="171"/>
      <c r="B65" s="171"/>
      <c r="D65" s="17">
        <v>3</v>
      </c>
      <c r="E65" s="150">
        <f>E63*3</f>
        <v>339</v>
      </c>
      <c r="F65" s="150">
        <f t="shared" ref="F65:I65" si="144">F63*3</f>
        <v>168</v>
      </c>
      <c r="G65" s="150">
        <f t="shared" si="144"/>
        <v>138</v>
      </c>
      <c r="H65" s="150">
        <f t="shared" si="144"/>
        <v>123</v>
      </c>
      <c r="I65" s="150">
        <f t="shared" si="144"/>
        <v>123</v>
      </c>
      <c r="J65" s="12"/>
      <c r="K65" s="176">
        <f>K63*3</f>
        <v>270</v>
      </c>
      <c r="L65" s="176">
        <f t="shared" ref="L65:O65" si="145">L63*3</f>
        <v>135</v>
      </c>
      <c r="M65" s="177">
        <f t="shared" si="145"/>
        <v>90</v>
      </c>
      <c r="N65" s="176">
        <f t="shared" si="145"/>
        <v>67.5</v>
      </c>
      <c r="O65" s="176">
        <f t="shared" si="145"/>
        <v>67.5</v>
      </c>
    </row>
    <row r="66" spans="1:15">
      <c r="A66" s="171"/>
      <c r="B66" s="171"/>
      <c r="D66" s="168">
        <v>4</v>
      </c>
      <c r="E66" s="150">
        <f>E63*4</f>
        <v>452</v>
      </c>
      <c r="F66" s="150">
        <f t="shared" ref="F66:I66" si="146">F63*4</f>
        <v>224</v>
      </c>
      <c r="G66" s="150">
        <f t="shared" si="146"/>
        <v>184</v>
      </c>
      <c r="H66" s="150">
        <f t="shared" si="146"/>
        <v>164</v>
      </c>
      <c r="I66" s="150">
        <f t="shared" si="146"/>
        <v>164</v>
      </c>
      <c r="J66" s="12"/>
      <c r="K66" s="176">
        <f>K63*4</f>
        <v>360</v>
      </c>
      <c r="L66" s="176">
        <f t="shared" ref="L66:O66" si="147">L63*4</f>
        <v>180</v>
      </c>
      <c r="M66" s="177">
        <f t="shared" si="147"/>
        <v>120</v>
      </c>
      <c r="N66" s="176">
        <f t="shared" si="147"/>
        <v>90</v>
      </c>
      <c r="O66" s="176">
        <f t="shared" si="147"/>
        <v>90</v>
      </c>
    </row>
    <row r="67" spans="1:15">
      <c r="A67" s="171"/>
      <c r="B67" s="171"/>
      <c r="D67" s="168">
        <v>5</v>
      </c>
      <c r="E67" s="150">
        <f>E63*5</f>
        <v>565</v>
      </c>
      <c r="F67" s="150">
        <f t="shared" ref="F67:I67" si="148">F63*5</f>
        <v>280</v>
      </c>
      <c r="G67" s="150">
        <f t="shared" si="148"/>
        <v>230</v>
      </c>
      <c r="H67" s="150">
        <f t="shared" si="148"/>
        <v>205</v>
      </c>
      <c r="I67" s="150">
        <f t="shared" si="148"/>
        <v>205</v>
      </c>
      <c r="J67" s="12"/>
      <c r="K67" s="176">
        <f>K63*5</f>
        <v>450</v>
      </c>
      <c r="L67" s="176">
        <f t="shared" ref="L67:O67" si="149">L63*5</f>
        <v>225</v>
      </c>
      <c r="M67" s="177">
        <f t="shared" si="149"/>
        <v>150</v>
      </c>
      <c r="N67" s="176">
        <f t="shared" si="149"/>
        <v>112.5</v>
      </c>
      <c r="O67" s="176">
        <f t="shared" si="149"/>
        <v>112.5</v>
      </c>
    </row>
    <row r="68" spans="1:15">
      <c r="A68" s="171"/>
      <c r="B68" s="171"/>
      <c r="D68" s="168">
        <v>6</v>
      </c>
      <c r="E68" s="150">
        <f>E63*6</f>
        <v>678</v>
      </c>
      <c r="F68" s="150">
        <f t="shared" ref="F68:I68" si="150">F63*6</f>
        <v>336</v>
      </c>
      <c r="G68" s="150">
        <f t="shared" si="150"/>
        <v>276</v>
      </c>
      <c r="H68" s="150">
        <f t="shared" si="150"/>
        <v>246</v>
      </c>
      <c r="I68" s="150">
        <f t="shared" si="150"/>
        <v>246</v>
      </c>
      <c r="J68" s="12"/>
      <c r="K68" s="176">
        <f>K63*6</f>
        <v>540</v>
      </c>
      <c r="L68" s="176">
        <f t="shared" ref="L68:O68" si="151">L63*6</f>
        <v>270</v>
      </c>
      <c r="M68" s="177">
        <f t="shared" si="151"/>
        <v>180</v>
      </c>
      <c r="N68" s="176">
        <f t="shared" si="151"/>
        <v>135</v>
      </c>
      <c r="O68" s="176">
        <f t="shared" si="151"/>
        <v>135</v>
      </c>
    </row>
    <row r="69" spans="1:15">
      <c r="A69" s="171"/>
      <c r="B69" s="171"/>
      <c r="D69" s="168">
        <v>7</v>
      </c>
      <c r="E69" s="150">
        <f>E63*7</f>
        <v>791</v>
      </c>
      <c r="F69" s="150">
        <f t="shared" ref="F69:I69" si="152">F63*7</f>
        <v>392</v>
      </c>
      <c r="G69" s="150">
        <f t="shared" si="152"/>
        <v>322</v>
      </c>
      <c r="H69" s="150">
        <f t="shared" si="152"/>
        <v>287</v>
      </c>
      <c r="I69" s="150">
        <f t="shared" si="152"/>
        <v>287</v>
      </c>
      <c r="J69" s="12"/>
      <c r="K69" s="176">
        <f>K63*7</f>
        <v>630</v>
      </c>
      <c r="L69" s="176">
        <f t="shared" ref="L69:O69" si="153">L63*7</f>
        <v>315</v>
      </c>
      <c r="M69" s="177">
        <f t="shared" si="153"/>
        <v>210</v>
      </c>
      <c r="N69" s="176">
        <f t="shared" si="153"/>
        <v>157.5</v>
      </c>
      <c r="O69" s="176">
        <f t="shared" si="153"/>
        <v>157.5</v>
      </c>
    </row>
    <row r="70" spans="1:15">
      <c r="A70" s="171"/>
      <c r="B70" s="171"/>
      <c r="D70" s="168">
        <v>8</v>
      </c>
      <c r="E70" s="150">
        <f>E63*8</f>
        <v>904</v>
      </c>
      <c r="F70" s="150">
        <f t="shared" ref="F70:I70" si="154">F63*8</f>
        <v>448</v>
      </c>
      <c r="G70" s="150">
        <f t="shared" si="154"/>
        <v>368</v>
      </c>
      <c r="H70" s="150">
        <f t="shared" si="154"/>
        <v>328</v>
      </c>
      <c r="I70" s="150">
        <f t="shared" si="154"/>
        <v>328</v>
      </c>
      <c r="J70" s="12"/>
      <c r="K70" s="176">
        <f>K63*8</f>
        <v>720</v>
      </c>
      <c r="L70" s="176">
        <f t="shared" ref="L70:O70" si="155">L63*8</f>
        <v>360</v>
      </c>
      <c r="M70" s="177">
        <f t="shared" si="155"/>
        <v>240</v>
      </c>
      <c r="N70" s="176">
        <f t="shared" si="155"/>
        <v>180</v>
      </c>
      <c r="O70" s="176">
        <f t="shared" si="155"/>
        <v>180</v>
      </c>
    </row>
    <row r="71" spans="1:15">
      <c r="A71" s="171"/>
      <c r="B71" s="171"/>
      <c r="D71" s="168">
        <v>9</v>
      </c>
      <c r="E71" s="150">
        <f>E63*9</f>
        <v>1017</v>
      </c>
      <c r="F71" s="150">
        <f t="shared" ref="F71:I71" si="156">F63*9</f>
        <v>504</v>
      </c>
      <c r="G71" s="150">
        <f t="shared" si="156"/>
        <v>414</v>
      </c>
      <c r="H71" s="150">
        <f t="shared" si="156"/>
        <v>369</v>
      </c>
      <c r="I71" s="150">
        <f t="shared" si="156"/>
        <v>369</v>
      </c>
      <c r="J71" s="12"/>
      <c r="K71" s="176">
        <f>K63*9</f>
        <v>810</v>
      </c>
      <c r="L71" s="176">
        <f t="shared" ref="L71:O71" si="157">L63*9</f>
        <v>405</v>
      </c>
      <c r="M71" s="177">
        <f t="shared" si="157"/>
        <v>270</v>
      </c>
      <c r="N71" s="176">
        <f t="shared" si="157"/>
        <v>202.5</v>
      </c>
      <c r="O71" s="176">
        <f t="shared" si="157"/>
        <v>202.5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2013加订酒店</vt:lpstr>
      <vt:lpstr>2014加订酒店价格</vt:lpstr>
      <vt:lpstr>2013 217升级价格</vt:lpstr>
      <vt:lpstr>2014 217升级价格</vt:lpstr>
      <vt:lpstr>2013 235升级酒店价格</vt:lpstr>
      <vt:lpstr>2014  235 升级价格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2013-05-31T17:24:36Z</dcterms:created>
  <dcterms:modified xsi:type="dcterms:W3CDTF">2013-12-20T23:09:10Z</dcterms:modified>
</cp:coreProperties>
</file>