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905" yWindow="765" windowWidth="14310" windowHeight="13140" activeTab="2"/>
  </bookViews>
  <sheets>
    <sheet name="纵横-package" sheetId="1" r:id="rId1"/>
    <sheet name="纵横-local" sheetId="2" r:id="rId2"/>
    <sheet name="纵横-local (从5-8-13开始)" sheetId="5" r:id="rId3"/>
    <sheet name="迈阿密团" sheetId="3" r:id="rId4"/>
    <sheet name="迈阿密+奥兰多 7-12天（5-17-13 最新报价）" sheetId="6" r:id="rId5"/>
    <sheet name="迈阿密+巴哈马邮轮" sheetId="7" r:id="rId6"/>
    <sheet name="cb tour" sheetId="4" r:id="rId7"/>
    <sheet name="新年倒数团" sheetId="8" r:id="rId8"/>
  </sheets>
  <calcPr calcId="145621"/>
</workbook>
</file>

<file path=xl/calcChain.xml><?xml version="1.0" encoding="utf-8"?>
<calcChain xmlns="http://schemas.openxmlformats.org/spreadsheetml/2006/main">
  <c r="H31" i="5" l="1"/>
  <c r="G31" i="5"/>
  <c r="M23" i="5" l="1"/>
  <c r="M22" i="5"/>
  <c r="K22" i="5"/>
  <c r="L22" i="5"/>
  <c r="L23" i="5"/>
  <c r="J22" i="5" l="1"/>
  <c r="K23" i="5"/>
  <c r="J23" i="5"/>
  <c r="G22" i="5"/>
  <c r="D22" i="5"/>
  <c r="F22" i="5"/>
  <c r="D23" i="5"/>
  <c r="G23" i="5"/>
  <c r="F23" i="5"/>
  <c r="V34" i="6" l="1"/>
  <c r="V32" i="6"/>
  <c r="V30" i="6"/>
  <c r="V28" i="6"/>
  <c r="V26" i="6"/>
  <c r="V24" i="6"/>
  <c r="V17" i="6"/>
  <c r="V15" i="6"/>
  <c r="V13" i="6"/>
  <c r="V11" i="6"/>
  <c r="V9" i="6"/>
  <c r="V7" i="6"/>
  <c r="U34" i="6"/>
  <c r="U32" i="6"/>
  <c r="U30" i="6"/>
  <c r="U28" i="6"/>
  <c r="U26" i="6"/>
  <c r="U24" i="6"/>
  <c r="U17" i="6"/>
  <c r="U15" i="6"/>
  <c r="U13" i="6"/>
  <c r="U11" i="6"/>
  <c r="U9" i="6"/>
  <c r="U7" i="6"/>
  <c r="T34" i="6"/>
  <c r="T32" i="6"/>
  <c r="T30" i="6"/>
  <c r="T28" i="6"/>
  <c r="T26" i="6"/>
  <c r="T24" i="6"/>
  <c r="T17" i="6"/>
  <c r="T15" i="6"/>
  <c r="T7" i="6"/>
  <c r="T13" i="6"/>
  <c r="T11" i="6"/>
  <c r="T9" i="6"/>
  <c r="W34" i="6"/>
  <c r="W32" i="6"/>
  <c r="W30" i="6"/>
  <c r="W28" i="6"/>
  <c r="W26" i="6"/>
  <c r="W24" i="6"/>
  <c r="W7" i="6"/>
  <c r="W17" i="6"/>
  <c r="W15" i="6"/>
  <c r="W13" i="6"/>
  <c r="W11" i="6"/>
  <c r="W9" i="6"/>
  <c r="P34" i="6"/>
  <c r="P32" i="6"/>
  <c r="P30" i="6"/>
  <c r="P28" i="6"/>
  <c r="P26" i="6"/>
  <c r="P24" i="6"/>
  <c r="P17" i="6"/>
  <c r="P15" i="6"/>
  <c r="P13" i="6"/>
  <c r="P11" i="6"/>
  <c r="P9" i="6"/>
  <c r="P7" i="6"/>
  <c r="O34" i="6"/>
  <c r="O32" i="6"/>
  <c r="O30" i="6"/>
  <c r="O28" i="6"/>
  <c r="O26" i="6"/>
  <c r="O24" i="6"/>
  <c r="O17" i="6"/>
  <c r="O15" i="6"/>
  <c r="O13" i="6"/>
  <c r="O11" i="6"/>
  <c r="O9" i="6"/>
  <c r="O7" i="6"/>
  <c r="N34" i="6"/>
  <c r="N32" i="6"/>
  <c r="N30" i="6"/>
  <c r="N28" i="6"/>
  <c r="N26" i="6"/>
  <c r="N24" i="6"/>
  <c r="N17" i="6"/>
  <c r="N15" i="6"/>
  <c r="N13" i="6"/>
  <c r="N11" i="6"/>
  <c r="N9" i="6"/>
  <c r="N7" i="6"/>
  <c r="Q34" i="6"/>
  <c r="Q32" i="6"/>
  <c r="Q30" i="6"/>
  <c r="Q28" i="6"/>
  <c r="Q26" i="6"/>
  <c r="Q27" i="6"/>
  <c r="Q24" i="6"/>
  <c r="Q17" i="6"/>
  <c r="Q15" i="6"/>
  <c r="Q13" i="6"/>
  <c r="Q11" i="6"/>
  <c r="Q9" i="6"/>
  <c r="Q7" i="6"/>
  <c r="X17" i="8"/>
  <c r="L17" i="8"/>
  <c r="Y17" i="8"/>
  <c r="Z17" i="8"/>
  <c r="K17" i="8"/>
  <c r="J17" i="8"/>
  <c r="Y22" i="8"/>
  <c r="X22" i="8"/>
  <c r="W22" i="8"/>
  <c r="T22" i="8"/>
  <c r="U22" i="8"/>
  <c r="S22" i="8"/>
  <c r="R22" i="8"/>
  <c r="Q22" i="8"/>
  <c r="P22" i="8"/>
  <c r="N22" i="8"/>
  <c r="M22" i="8"/>
  <c r="AA22" i="8"/>
  <c r="AB22" i="8"/>
  <c r="L22" i="8"/>
  <c r="K22" i="8"/>
  <c r="J22" i="8"/>
  <c r="T17" i="8"/>
  <c r="U17" i="8"/>
  <c r="N17" i="8"/>
  <c r="M17" i="8"/>
  <c r="AA17" i="8"/>
  <c r="AB17" i="8"/>
  <c r="S17" i="8"/>
  <c r="R17" i="8"/>
  <c r="Q17" i="8"/>
  <c r="W17" i="8"/>
  <c r="P17" i="8"/>
  <c r="N16" i="8"/>
  <c r="M16" i="8"/>
  <c r="L16" i="8"/>
  <c r="Z16" i="8"/>
  <c r="K16" i="8"/>
  <c r="X16" i="8"/>
  <c r="J16" i="8"/>
  <c r="N15" i="8"/>
  <c r="M15" i="8"/>
  <c r="L15" i="8"/>
  <c r="AA15" i="8"/>
  <c r="AB15" i="8"/>
  <c r="K15" i="8"/>
  <c r="X15" i="8"/>
  <c r="J15" i="8"/>
  <c r="W15" i="8"/>
  <c r="W16" i="8"/>
  <c r="Y16" i="8"/>
  <c r="P15" i="8"/>
  <c r="Q15" i="8"/>
  <c r="R15" i="8"/>
  <c r="S15" i="8"/>
  <c r="T15" i="8"/>
  <c r="U15" i="8"/>
  <c r="P16" i="8"/>
  <c r="Q16" i="8"/>
  <c r="R16" i="8"/>
  <c r="S16" i="8"/>
  <c r="T16" i="8"/>
  <c r="U16" i="8"/>
  <c r="J13" i="8"/>
  <c r="K13" i="8"/>
  <c r="X13" i="8"/>
  <c r="L13" i="8"/>
  <c r="M13" i="8"/>
  <c r="AA13" i="8"/>
  <c r="AB13" i="8"/>
  <c r="N13" i="8"/>
  <c r="J14" i="8"/>
  <c r="W14" i="8"/>
  <c r="K14" i="8"/>
  <c r="X14" i="8"/>
  <c r="L14" i="8"/>
  <c r="Y14" i="8"/>
  <c r="M14" i="8"/>
  <c r="N14" i="8"/>
  <c r="N12" i="8"/>
  <c r="M12" i="8"/>
  <c r="Z12" i="8"/>
  <c r="AA12" i="8"/>
  <c r="AB12" i="8"/>
  <c r="L12" i="8"/>
  <c r="K12" i="8"/>
  <c r="X12" i="8"/>
  <c r="J12" i="8"/>
  <c r="N11" i="8"/>
  <c r="M11" i="8"/>
  <c r="L11" i="8"/>
  <c r="Y11" i="8"/>
  <c r="K11" i="8"/>
  <c r="X11" i="8"/>
  <c r="J11" i="8"/>
  <c r="W11" i="8"/>
  <c r="N10" i="8"/>
  <c r="AA10" i="8"/>
  <c r="AB10" i="8"/>
  <c r="M10" i="8"/>
  <c r="L10" i="8"/>
  <c r="K10" i="8"/>
  <c r="X10" i="8"/>
  <c r="J10" i="8"/>
  <c r="W10" i="8"/>
  <c r="N9" i="8"/>
  <c r="M9" i="8"/>
  <c r="Z9" i="8"/>
  <c r="L9" i="8"/>
  <c r="K9" i="8"/>
  <c r="J9" i="8"/>
  <c r="W9" i="8"/>
  <c r="N8" i="8"/>
  <c r="M8" i="8"/>
  <c r="L8" i="8"/>
  <c r="Z8" i="8"/>
  <c r="K8" i="8"/>
  <c r="J8" i="8"/>
  <c r="W8" i="8"/>
  <c r="J7" i="8"/>
  <c r="K7" i="8"/>
  <c r="L7" i="8"/>
  <c r="AA7" i="8"/>
  <c r="AB7" i="8"/>
  <c r="M7" i="8"/>
  <c r="N7" i="8"/>
  <c r="J6" i="8"/>
  <c r="K6" i="8"/>
  <c r="X6" i="8"/>
  <c r="L6" i="8"/>
  <c r="AA6" i="8"/>
  <c r="AB6" i="8"/>
  <c r="M6" i="8"/>
  <c r="N6" i="8"/>
  <c r="X5" i="8"/>
  <c r="Y5" i="8"/>
  <c r="W6" i="8"/>
  <c r="W7" i="8"/>
  <c r="X7" i="8"/>
  <c r="Y7" i="8"/>
  <c r="Z7" i="8"/>
  <c r="X8" i="8"/>
  <c r="X9" i="8"/>
  <c r="Y9" i="8"/>
  <c r="AA9" i="8"/>
  <c r="AB9" i="8"/>
  <c r="Z11" i="8"/>
  <c r="AA11" i="8"/>
  <c r="AB11" i="8"/>
  <c r="W12" i="8"/>
  <c r="Y12" i="8"/>
  <c r="W13" i="8"/>
  <c r="Y13" i="8"/>
  <c r="Z13" i="8"/>
  <c r="P5" i="8"/>
  <c r="Q5" i="8"/>
  <c r="R5" i="8"/>
  <c r="S5" i="8"/>
  <c r="T5" i="8"/>
  <c r="U5" i="8"/>
  <c r="P6" i="8"/>
  <c r="Q6" i="8"/>
  <c r="R6" i="8"/>
  <c r="S6" i="8"/>
  <c r="T6" i="8"/>
  <c r="U6" i="8"/>
  <c r="P7" i="8"/>
  <c r="Q7" i="8"/>
  <c r="R7" i="8"/>
  <c r="S7" i="8"/>
  <c r="T7" i="8"/>
  <c r="U7" i="8"/>
  <c r="P8" i="8"/>
  <c r="Q8" i="8"/>
  <c r="R8" i="8"/>
  <c r="S8" i="8"/>
  <c r="T8" i="8"/>
  <c r="U8" i="8"/>
  <c r="P9" i="8"/>
  <c r="Q9" i="8"/>
  <c r="R9" i="8"/>
  <c r="S9" i="8"/>
  <c r="T9" i="8"/>
  <c r="U9" i="8"/>
  <c r="P10" i="8"/>
  <c r="Q10" i="8"/>
  <c r="R10" i="8"/>
  <c r="S10" i="8"/>
  <c r="T10" i="8"/>
  <c r="U10" i="8"/>
  <c r="P11" i="8"/>
  <c r="Q11" i="8"/>
  <c r="R11" i="8"/>
  <c r="S11" i="8"/>
  <c r="T11" i="8"/>
  <c r="U11" i="8"/>
  <c r="P12" i="8"/>
  <c r="Q12" i="8"/>
  <c r="R12" i="8"/>
  <c r="S12" i="8"/>
  <c r="T12" i="8"/>
  <c r="U12" i="8"/>
  <c r="P13" i="8"/>
  <c r="Q13" i="8"/>
  <c r="R13" i="8"/>
  <c r="S13" i="8"/>
  <c r="T13" i="8"/>
  <c r="U13" i="8"/>
  <c r="P14" i="8"/>
  <c r="Q14" i="8"/>
  <c r="R14" i="8"/>
  <c r="S14" i="8"/>
  <c r="T14" i="8"/>
  <c r="U14" i="8"/>
  <c r="M5" i="8"/>
  <c r="N5" i="8"/>
  <c r="M4" i="8"/>
  <c r="N4" i="8"/>
  <c r="J5" i="8"/>
  <c r="W5" i="8"/>
  <c r="K5" i="8"/>
  <c r="L5" i="8"/>
  <c r="Z5" i="8"/>
  <c r="J4" i="8"/>
  <c r="W4" i="8"/>
  <c r="Y4" i="8"/>
  <c r="T4" i="8"/>
  <c r="U4" i="8"/>
  <c r="S4" i="8"/>
  <c r="R4" i="8"/>
  <c r="Q4" i="8"/>
  <c r="P4" i="8"/>
  <c r="L4" i="8"/>
  <c r="AA4" i="8"/>
  <c r="AB4" i="8"/>
  <c r="K4" i="8"/>
  <c r="X4" i="8"/>
  <c r="J15" i="5"/>
  <c r="M15" i="7"/>
  <c r="M16" i="7"/>
  <c r="Z36" i="7"/>
  <c r="Y36" i="7"/>
  <c r="T36" i="7"/>
  <c r="S36" i="7"/>
  <c r="P36" i="7"/>
  <c r="AB36" i="7"/>
  <c r="AC36" i="7"/>
  <c r="O36" i="7"/>
  <c r="U36" i="7"/>
  <c r="N36" i="7"/>
  <c r="M36" i="7"/>
  <c r="Z35" i="7"/>
  <c r="Y35" i="7"/>
  <c r="T35" i="7"/>
  <c r="S35" i="7"/>
  <c r="P35" i="7"/>
  <c r="V35" i="7"/>
  <c r="W35" i="7"/>
  <c r="O35" i="7"/>
  <c r="U35" i="7"/>
  <c r="N35" i="7"/>
  <c r="M35" i="7"/>
  <c r="Z34" i="7"/>
  <c r="Y34" i="7"/>
  <c r="T34" i="7"/>
  <c r="S34" i="7"/>
  <c r="P34" i="7"/>
  <c r="Q34" i="7"/>
  <c r="V34" i="7"/>
  <c r="W34" i="7"/>
  <c r="O34" i="7"/>
  <c r="U34" i="7"/>
  <c r="N34" i="7"/>
  <c r="M34" i="7"/>
  <c r="Z25" i="7"/>
  <c r="Y25" i="7"/>
  <c r="T25" i="7"/>
  <c r="S25" i="7"/>
  <c r="P25" i="7"/>
  <c r="AB25" i="7"/>
  <c r="AC25" i="7"/>
  <c r="O25" i="7"/>
  <c r="U25" i="7"/>
  <c r="N25" i="7"/>
  <c r="M25" i="7"/>
  <c r="Z24" i="7"/>
  <c r="Y24" i="7"/>
  <c r="T24" i="7"/>
  <c r="S24" i="7"/>
  <c r="P24" i="7"/>
  <c r="Q24" i="7"/>
  <c r="AB24" i="7"/>
  <c r="AC24" i="7"/>
  <c r="O24" i="7"/>
  <c r="U24" i="7"/>
  <c r="N24" i="7"/>
  <c r="M24" i="7"/>
  <c r="Z16" i="7"/>
  <c r="Y16" i="7"/>
  <c r="T16" i="7"/>
  <c r="S16" i="7"/>
  <c r="P16" i="7"/>
  <c r="Q16" i="7"/>
  <c r="O16" i="7"/>
  <c r="U16" i="7"/>
  <c r="AA16" i="7"/>
  <c r="N16" i="7"/>
  <c r="Z15" i="7"/>
  <c r="Y15" i="7"/>
  <c r="T15" i="7"/>
  <c r="S15" i="7"/>
  <c r="P15" i="7"/>
  <c r="V15" i="7"/>
  <c r="W15" i="7"/>
  <c r="O15" i="7"/>
  <c r="U15" i="7"/>
  <c r="N15" i="7"/>
  <c r="Z14" i="7"/>
  <c r="Y14" i="7"/>
  <c r="T14" i="7"/>
  <c r="S14" i="7"/>
  <c r="P14" i="7"/>
  <c r="Q14" i="7"/>
  <c r="O14" i="7"/>
  <c r="AA14" i="7"/>
  <c r="N14" i="7"/>
  <c r="M14" i="7"/>
  <c r="Z6" i="7"/>
  <c r="Y6" i="7"/>
  <c r="T6" i="7"/>
  <c r="S6" i="7"/>
  <c r="P6" i="7"/>
  <c r="AB6" i="7"/>
  <c r="AC6" i="7"/>
  <c r="Q6" i="7"/>
  <c r="O6" i="7"/>
  <c r="AA6" i="7"/>
  <c r="N6" i="7"/>
  <c r="M6" i="7"/>
  <c r="Z5" i="7"/>
  <c r="Y5" i="7"/>
  <c r="T5" i="7"/>
  <c r="S5" i="7"/>
  <c r="P5" i="7"/>
  <c r="AB5" i="7"/>
  <c r="AC5" i="7"/>
  <c r="O5" i="7"/>
  <c r="U5" i="7"/>
  <c r="AA5" i="7"/>
  <c r="N5" i="7"/>
  <c r="M5" i="7"/>
  <c r="V16" i="7"/>
  <c r="W16" i="7"/>
  <c r="Q15" i="7"/>
  <c r="Q25" i="7"/>
  <c r="AB15" i="7"/>
  <c r="AC15" i="7"/>
  <c r="V6" i="7"/>
  <c r="W6" i="7"/>
  <c r="AA15" i="7"/>
  <c r="AA34" i="7"/>
  <c r="V24" i="7"/>
  <c r="W24" i="7"/>
  <c r="AB14" i="7"/>
  <c r="AC14" i="7"/>
  <c r="V14" i="7"/>
  <c r="W14" i="7"/>
  <c r="AA25" i="7"/>
  <c r="AA35" i="7"/>
  <c r="Q36" i="7"/>
  <c r="AA36" i="7"/>
  <c r="U14" i="7"/>
  <c r="V25" i="7"/>
  <c r="W25" i="7"/>
  <c r="L16" i="5"/>
  <c r="L14" i="5"/>
  <c r="G87" i="1"/>
  <c r="F87" i="1"/>
  <c r="L87" i="1"/>
  <c r="K87" i="1"/>
  <c r="O87" i="1"/>
  <c r="M86" i="1"/>
  <c r="H87" i="1"/>
  <c r="F86" i="1"/>
  <c r="O8" i="1"/>
  <c r="J13" i="5"/>
  <c r="M4" i="3"/>
  <c r="R4" i="3"/>
  <c r="O86" i="1"/>
  <c r="N86" i="1"/>
  <c r="L86" i="1"/>
  <c r="K86" i="1"/>
  <c r="O73" i="1"/>
  <c r="O74" i="1"/>
  <c r="O75" i="1"/>
  <c r="O76" i="1"/>
  <c r="N73" i="1"/>
  <c r="N74" i="1"/>
  <c r="N75" i="1"/>
  <c r="N76" i="1"/>
  <c r="M73" i="1"/>
  <c r="M74" i="1"/>
  <c r="M75" i="1"/>
  <c r="M76" i="1"/>
  <c r="L73" i="1"/>
  <c r="L74" i="1"/>
  <c r="L75" i="1"/>
  <c r="L76" i="1"/>
  <c r="K73" i="1"/>
  <c r="K74" i="1"/>
  <c r="K75" i="1"/>
  <c r="K76" i="1"/>
  <c r="O72" i="1"/>
  <c r="N72" i="1"/>
  <c r="M72" i="1"/>
  <c r="L72" i="1"/>
  <c r="K72" i="1"/>
  <c r="U4" i="3"/>
  <c r="T4" i="3"/>
  <c r="S4" i="3"/>
  <c r="Q4" i="3"/>
  <c r="Q5" i="3"/>
  <c r="T5" i="3"/>
  <c r="L4" i="3"/>
  <c r="O10" i="6"/>
  <c r="W10" i="6"/>
  <c r="W8" i="6"/>
  <c r="W6" i="6"/>
  <c r="AB6" i="6"/>
  <c r="U27" i="6"/>
  <c r="Z27" i="6"/>
  <c r="P23" i="6"/>
  <c r="O23" i="6"/>
  <c r="P33" i="6"/>
  <c r="P31" i="6"/>
  <c r="P29" i="6"/>
  <c r="P25" i="6"/>
  <c r="T6" i="6"/>
  <c r="V6" i="6"/>
  <c r="AA6" i="6"/>
  <c r="Q6" i="6"/>
  <c r="P16" i="6"/>
  <c r="P14" i="6"/>
  <c r="P12" i="6"/>
  <c r="P10" i="6"/>
  <c r="P6" i="6"/>
  <c r="O16" i="6"/>
  <c r="O14" i="6"/>
  <c r="Q25" i="6"/>
  <c r="Q29" i="6"/>
  <c r="Q31" i="6"/>
  <c r="Q33" i="6"/>
  <c r="Q23" i="6"/>
  <c r="Q8" i="6"/>
  <c r="Q10" i="6"/>
  <c r="AB10" i="6"/>
  <c r="Q12" i="6"/>
  <c r="Q14" i="6"/>
  <c r="Q16" i="6"/>
  <c r="AC15" i="3"/>
  <c r="AC16" i="3"/>
  <c r="AD16" i="3"/>
  <c r="AD17" i="3"/>
  <c r="AB18" i="3"/>
  <c r="AB19" i="3"/>
  <c r="AC20" i="3"/>
  <c r="AD20" i="3"/>
  <c r="AA18" i="3"/>
  <c r="AA19" i="3"/>
  <c r="P8" i="6"/>
  <c r="U6" i="6"/>
  <c r="Z6" i="6"/>
  <c r="T16" i="6"/>
  <c r="V16" i="6"/>
  <c r="AA16" i="6"/>
  <c r="T14" i="6"/>
  <c r="Y14" i="6"/>
  <c r="T12" i="6"/>
  <c r="Y12" i="6"/>
  <c r="T10" i="6"/>
  <c r="U10" i="6"/>
  <c r="Z10" i="6"/>
  <c r="T8" i="6"/>
  <c r="U8" i="6"/>
  <c r="Z8" i="6"/>
  <c r="T23" i="6"/>
  <c r="V23" i="6"/>
  <c r="AA23" i="6"/>
  <c r="Y27" i="6"/>
  <c r="Y8" i="6"/>
  <c r="Y16" i="6"/>
  <c r="T25" i="6"/>
  <c r="U25" i="6"/>
  <c r="Z25" i="6"/>
  <c r="Y25" i="6"/>
  <c r="T27" i="6"/>
  <c r="V27" i="6"/>
  <c r="AA27" i="6"/>
  <c r="T29" i="6"/>
  <c r="U29" i="6"/>
  <c r="Z29" i="6"/>
  <c r="T31" i="6"/>
  <c r="V31" i="6"/>
  <c r="AA31" i="6"/>
  <c r="U31" i="6"/>
  <c r="Z31" i="6"/>
  <c r="T33" i="6"/>
  <c r="Y33" i="6"/>
  <c r="V33" i="6"/>
  <c r="AA33" i="6"/>
  <c r="W25" i="6"/>
  <c r="AB25" i="6"/>
  <c r="W27" i="6"/>
  <c r="AB27" i="6"/>
  <c r="W29" i="6"/>
  <c r="W31" i="6"/>
  <c r="AB31" i="6"/>
  <c r="W33" i="6"/>
  <c r="AB33" i="6"/>
  <c r="W23" i="6"/>
  <c r="AB23" i="6"/>
  <c r="AB8" i="6"/>
  <c r="W12" i="6"/>
  <c r="W14" i="6"/>
  <c r="AB14" i="6"/>
  <c r="W16" i="6"/>
  <c r="AB16" i="6"/>
  <c r="P27" i="6"/>
  <c r="O29" i="6"/>
  <c r="O25" i="6"/>
  <c r="Q15" i="3"/>
  <c r="AA15" i="3"/>
  <c r="Q20" i="3"/>
  <c r="AA20" i="3"/>
  <c r="T18" i="3"/>
  <c r="AD18" i="3"/>
  <c r="T17" i="3"/>
  <c r="T16" i="3"/>
  <c r="T15" i="3"/>
  <c r="AD15" i="3"/>
  <c r="S17" i="3"/>
  <c r="AC17" i="3"/>
  <c r="F10" i="1"/>
  <c r="G29" i="5"/>
  <c r="H27" i="5"/>
  <c r="G27" i="5"/>
  <c r="K6" i="5"/>
  <c r="K7" i="5"/>
  <c r="K9" i="5"/>
  <c r="K11" i="5"/>
  <c r="M16" i="5"/>
  <c r="K16" i="5"/>
  <c r="J16" i="5"/>
  <c r="M14" i="5"/>
  <c r="M15" i="5"/>
  <c r="L15" i="5"/>
  <c r="K15" i="5"/>
  <c r="K14" i="5"/>
  <c r="J14" i="5"/>
  <c r="M11" i="5"/>
  <c r="L11" i="5"/>
  <c r="J11" i="5"/>
  <c r="J8" i="5"/>
  <c r="M13" i="5"/>
  <c r="L13" i="5"/>
  <c r="K13" i="5"/>
  <c r="J7" i="5"/>
  <c r="L7" i="5"/>
  <c r="M7" i="5"/>
  <c r="K8" i="5"/>
  <c r="L8" i="5"/>
  <c r="M8" i="5"/>
  <c r="J9" i="5"/>
  <c r="L9" i="5"/>
  <c r="M9" i="5"/>
  <c r="J10" i="5"/>
  <c r="K10" i="5"/>
  <c r="L10" i="5"/>
  <c r="M10" i="5"/>
  <c r="M6" i="5"/>
  <c r="L6" i="5"/>
  <c r="J6" i="5"/>
  <c r="Q17" i="3"/>
  <c r="AA17" i="3"/>
  <c r="L14" i="2"/>
  <c r="M14" i="2"/>
  <c r="G13" i="5"/>
  <c r="F13" i="5"/>
  <c r="G11" i="5"/>
  <c r="G10" i="5"/>
  <c r="F10" i="5"/>
  <c r="G9" i="5"/>
  <c r="F9" i="5"/>
  <c r="G8" i="5"/>
  <c r="F8" i="5"/>
  <c r="G7" i="5"/>
  <c r="G6" i="5"/>
  <c r="F6" i="5"/>
  <c r="J11" i="2"/>
  <c r="J6" i="2"/>
  <c r="J7" i="2"/>
  <c r="R5" i="3"/>
  <c r="G10" i="2"/>
  <c r="G27" i="1"/>
  <c r="R15" i="3"/>
  <c r="AB15" i="3"/>
  <c r="K92" i="1"/>
  <c r="O90" i="1"/>
  <c r="N68" i="1"/>
  <c r="M68" i="1"/>
  <c r="L68" i="1"/>
  <c r="K68" i="1"/>
  <c r="G68" i="1"/>
  <c r="K67" i="1"/>
  <c r="G67" i="1"/>
  <c r="F62" i="1"/>
  <c r="N61" i="1"/>
  <c r="M61" i="1"/>
  <c r="L61" i="1"/>
  <c r="K61" i="1"/>
  <c r="O50" i="1"/>
  <c r="N50" i="1"/>
  <c r="M50" i="1"/>
  <c r="L50" i="1"/>
  <c r="K50" i="1"/>
  <c r="F51" i="1"/>
  <c r="O48" i="1"/>
  <c r="N48" i="1"/>
  <c r="M48" i="1"/>
  <c r="L48" i="1"/>
  <c r="K48" i="1"/>
  <c r="O47" i="1"/>
  <c r="N47" i="1"/>
  <c r="M47" i="1"/>
  <c r="L47" i="1"/>
  <c r="K47" i="1"/>
  <c r="F47" i="1"/>
  <c r="O45" i="1"/>
  <c r="N45" i="1"/>
  <c r="M45" i="1"/>
  <c r="L45" i="1"/>
  <c r="K45" i="1"/>
  <c r="G43" i="1"/>
  <c r="F43" i="1"/>
  <c r="F42" i="1"/>
  <c r="O41" i="1"/>
  <c r="N41" i="1"/>
  <c r="M41" i="1"/>
  <c r="L41" i="1"/>
  <c r="K41" i="1"/>
  <c r="O40" i="1"/>
  <c r="N40" i="1"/>
  <c r="M40" i="1"/>
  <c r="L40" i="1"/>
  <c r="K40" i="1"/>
  <c r="N36" i="1"/>
  <c r="M36" i="1"/>
  <c r="L36" i="1"/>
  <c r="K36" i="1"/>
  <c r="G36" i="1"/>
  <c r="F36" i="1"/>
  <c r="L35" i="1"/>
  <c r="K35" i="1"/>
  <c r="F35" i="1"/>
  <c r="F34" i="1"/>
  <c r="O33" i="1"/>
  <c r="N33" i="1"/>
  <c r="M33" i="1"/>
  <c r="L33" i="1"/>
  <c r="K33" i="1"/>
  <c r="F33" i="1"/>
  <c r="O32" i="1"/>
  <c r="N32" i="1"/>
  <c r="M32" i="1"/>
  <c r="L32" i="1"/>
  <c r="K32" i="1"/>
  <c r="G32" i="1"/>
  <c r="F32" i="1"/>
  <c r="O27" i="1"/>
  <c r="N27" i="1"/>
  <c r="M27" i="1"/>
  <c r="L27" i="1"/>
  <c r="K27" i="1"/>
  <c r="F27" i="1"/>
  <c r="O20" i="1"/>
  <c r="M20" i="1"/>
  <c r="L20" i="1"/>
  <c r="K20" i="1"/>
  <c r="G20" i="1"/>
  <c r="F20" i="1"/>
  <c r="G18" i="1"/>
  <c r="F18" i="1"/>
  <c r="N11" i="1"/>
  <c r="O11" i="1"/>
  <c r="M11" i="1"/>
  <c r="L11" i="1"/>
  <c r="K11" i="1"/>
  <c r="G11" i="1"/>
  <c r="G10" i="1"/>
  <c r="G8" i="1"/>
  <c r="F8" i="1"/>
  <c r="T19" i="3"/>
  <c r="AD19" i="3"/>
  <c r="T20" i="3"/>
  <c r="S16" i="3"/>
  <c r="S18" i="3"/>
  <c r="AC18" i="3"/>
  <c r="S19" i="3"/>
  <c r="AC19" i="3"/>
  <c r="S20" i="3"/>
  <c r="S15" i="3"/>
  <c r="R16" i="3"/>
  <c r="AB16" i="3"/>
  <c r="R17" i="3"/>
  <c r="AB17" i="3"/>
  <c r="R18" i="3"/>
  <c r="R19" i="3"/>
  <c r="R20" i="3"/>
  <c r="AB20" i="3"/>
  <c r="Q16" i="3"/>
  <c r="AA16" i="3"/>
  <c r="Q18" i="3"/>
  <c r="Q19" i="3"/>
  <c r="R6" i="3"/>
  <c r="N67" i="1"/>
  <c r="U6" i="3"/>
  <c r="U5" i="3"/>
  <c r="T6" i="3"/>
  <c r="S6" i="3"/>
  <c r="S5" i="3"/>
  <c r="Q6" i="3"/>
  <c r="N91" i="1"/>
  <c r="M91" i="1"/>
  <c r="O91" i="1"/>
  <c r="L91" i="1"/>
  <c r="K91" i="1"/>
  <c r="M67" i="1"/>
  <c r="L67" i="1"/>
  <c r="O93" i="1"/>
  <c r="N93" i="1"/>
  <c r="M93" i="1"/>
  <c r="L93" i="1"/>
  <c r="K93" i="1"/>
  <c r="O92" i="1"/>
  <c r="L92" i="1"/>
  <c r="K82" i="1"/>
  <c r="L82" i="1"/>
  <c r="O82" i="1"/>
  <c r="K83" i="1"/>
  <c r="L83" i="1"/>
  <c r="O83" i="1"/>
  <c r="K84" i="1"/>
  <c r="L84" i="1"/>
  <c r="O84" i="1"/>
  <c r="K85" i="1"/>
  <c r="L85" i="1"/>
  <c r="O85" i="1"/>
  <c r="K88" i="1"/>
  <c r="L88" i="1"/>
  <c r="O88" i="1"/>
  <c r="K89" i="1"/>
  <c r="L89" i="1"/>
  <c r="O89" i="1"/>
  <c r="K90" i="1"/>
  <c r="L90" i="1"/>
  <c r="O81" i="1"/>
  <c r="L81" i="1"/>
  <c r="K81" i="1"/>
  <c r="M83" i="1"/>
  <c r="G83" i="1"/>
  <c r="N83" i="1"/>
  <c r="F84" i="1"/>
  <c r="M84" i="1"/>
  <c r="G84" i="1"/>
  <c r="N84" i="1"/>
  <c r="M85" i="1"/>
  <c r="G85" i="1"/>
  <c r="N85" i="1"/>
  <c r="G86" i="1"/>
  <c r="M88" i="1"/>
  <c r="G88" i="1"/>
  <c r="N88" i="1"/>
  <c r="M89" i="1"/>
  <c r="G89" i="1"/>
  <c r="N89" i="1"/>
  <c r="M90" i="1"/>
  <c r="G90" i="1"/>
  <c r="N90" i="1"/>
  <c r="G82" i="1"/>
  <c r="N82" i="1"/>
  <c r="F82" i="1"/>
  <c r="M82" i="1"/>
  <c r="G81" i="1"/>
  <c r="N81" i="1"/>
  <c r="F81" i="1"/>
  <c r="M81" i="1"/>
  <c r="G92" i="1"/>
  <c r="N92" i="1"/>
  <c r="M92" i="1"/>
  <c r="G11" i="2"/>
  <c r="F13" i="2"/>
  <c r="G13" i="2"/>
  <c r="F10" i="2"/>
  <c r="K96" i="1"/>
  <c r="L96" i="1"/>
  <c r="O96" i="1"/>
  <c r="O95" i="1"/>
  <c r="L95" i="1"/>
  <c r="K95" i="1"/>
  <c r="M96" i="1"/>
  <c r="G96" i="1"/>
  <c r="N96" i="1"/>
  <c r="G95" i="1"/>
  <c r="N95" i="1"/>
  <c r="M95" i="1"/>
  <c r="F68" i="1"/>
  <c r="F67" i="1"/>
  <c r="F37" i="1"/>
  <c r="G37" i="1"/>
  <c r="F38" i="1"/>
  <c r="G38" i="1"/>
  <c r="G35" i="1"/>
  <c r="G34" i="1"/>
  <c r="G33" i="1"/>
  <c r="G31" i="1"/>
  <c r="F31" i="1"/>
  <c r="G30" i="1"/>
  <c r="F30" i="1"/>
  <c r="G29" i="1"/>
  <c r="F29" i="1"/>
  <c r="G28" i="1"/>
  <c r="F28" i="1"/>
  <c r="G54" i="1"/>
  <c r="F54" i="1"/>
  <c r="G50" i="1"/>
  <c r="F50" i="1"/>
  <c r="G45" i="1"/>
  <c r="F45" i="1"/>
  <c r="G63" i="1"/>
  <c r="F63" i="1"/>
  <c r="G59" i="1"/>
  <c r="F59" i="1"/>
  <c r="G53" i="1"/>
  <c r="F53" i="1"/>
  <c r="G49" i="1"/>
  <c r="F49" i="1"/>
  <c r="G58" i="1"/>
  <c r="F58" i="1"/>
  <c r="G61" i="1"/>
  <c r="F61" i="1"/>
  <c r="G57" i="1"/>
  <c r="F57" i="1"/>
  <c r="G56" i="1"/>
  <c r="F56" i="1"/>
  <c r="G51" i="1"/>
  <c r="G47" i="1"/>
  <c r="G62" i="1"/>
  <c r="G52" i="1"/>
  <c r="F52" i="1"/>
  <c r="G48" i="1"/>
  <c r="F48" i="1"/>
  <c r="G42" i="1"/>
  <c r="F41" i="1"/>
  <c r="G41" i="1"/>
  <c r="G40" i="1"/>
  <c r="F40" i="1"/>
  <c r="G44" i="1"/>
  <c r="F44" i="1"/>
  <c r="G25" i="1"/>
  <c r="F25" i="1"/>
  <c r="G24" i="1"/>
  <c r="F24" i="1"/>
  <c r="G23" i="1"/>
  <c r="F23" i="1"/>
  <c r="G22" i="1"/>
  <c r="F22" i="1"/>
  <c r="G21" i="1"/>
  <c r="F21" i="1"/>
  <c r="G17" i="1"/>
  <c r="F17" i="1"/>
  <c r="G16" i="1"/>
  <c r="F16" i="1"/>
  <c r="G15" i="1"/>
  <c r="F15" i="1"/>
  <c r="G14" i="1"/>
  <c r="F14" i="1"/>
  <c r="G13" i="1"/>
  <c r="F12" i="1"/>
  <c r="G12" i="1"/>
  <c r="G7" i="1"/>
  <c r="F7" i="1"/>
  <c r="L15" i="2"/>
  <c r="M15" i="2"/>
  <c r="J15" i="2"/>
  <c r="K15" i="2"/>
  <c r="M16" i="2"/>
  <c r="K16" i="2"/>
  <c r="L16" i="2"/>
  <c r="M7" i="2"/>
  <c r="M8" i="2"/>
  <c r="M9" i="2"/>
  <c r="M10" i="2"/>
  <c r="M11" i="2"/>
  <c r="M13" i="2"/>
  <c r="M6" i="2"/>
  <c r="L7" i="2"/>
  <c r="L8" i="2"/>
  <c r="L9" i="2"/>
  <c r="L10" i="2"/>
  <c r="L11" i="2"/>
  <c r="L13" i="2"/>
  <c r="L6" i="2"/>
  <c r="G7" i="2"/>
  <c r="G8" i="2"/>
  <c r="G9" i="2"/>
  <c r="G6" i="2"/>
  <c r="F8" i="2"/>
  <c r="F9" i="2"/>
  <c r="F6" i="2"/>
  <c r="M42" i="1"/>
  <c r="M43" i="1"/>
  <c r="M44" i="1"/>
  <c r="M49" i="1"/>
  <c r="M51" i="1"/>
  <c r="M52" i="1"/>
  <c r="M53" i="1"/>
  <c r="M54" i="1"/>
  <c r="M56" i="1"/>
  <c r="M57" i="1"/>
  <c r="M58" i="1"/>
  <c r="M59" i="1"/>
  <c r="M62" i="1"/>
  <c r="M63" i="1"/>
  <c r="N8" i="1"/>
  <c r="N10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8" i="1"/>
  <c r="N29" i="1"/>
  <c r="N30" i="1"/>
  <c r="N31" i="1"/>
  <c r="N34" i="1"/>
  <c r="N35" i="1"/>
  <c r="N37" i="1"/>
  <c r="N38" i="1"/>
  <c r="N42" i="1"/>
  <c r="N43" i="1"/>
  <c r="N44" i="1"/>
  <c r="N49" i="1"/>
  <c r="N51" i="1"/>
  <c r="N52" i="1"/>
  <c r="N53" i="1"/>
  <c r="N54" i="1"/>
  <c r="N56" i="1"/>
  <c r="N57" i="1"/>
  <c r="N58" i="1"/>
  <c r="N59" i="1"/>
  <c r="N62" i="1"/>
  <c r="N63" i="1"/>
  <c r="N7" i="1"/>
  <c r="M8" i="1"/>
  <c r="M10" i="1"/>
  <c r="M12" i="1"/>
  <c r="M13" i="1"/>
  <c r="M14" i="1"/>
  <c r="M15" i="1"/>
  <c r="M16" i="1"/>
  <c r="M17" i="1"/>
  <c r="M18" i="1"/>
  <c r="M21" i="1"/>
  <c r="M22" i="1"/>
  <c r="M23" i="1"/>
  <c r="M24" i="1"/>
  <c r="M25" i="1"/>
  <c r="M28" i="1"/>
  <c r="M29" i="1"/>
  <c r="M30" i="1"/>
  <c r="M31" i="1"/>
  <c r="M34" i="1"/>
  <c r="M35" i="1"/>
  <c r="M37" i="1"/>
  <c r="M38" i="1"/>
  <c r="M7" i="1"/>
  <c r="L8" i="1"/>
  <c r="L10" i="1"/>
  <c r="L12" i="1"/>
  <c r="L13" i="1"/>
  <c r="L14" i="1"/>
  <c r="L15" i="1"/>
  <c r="L16" i="1"/>
  <c r="L17" i="1"/>
  <c r="L18" i="1"/>
  <c r="L21" i="1"/>
  <c r="L22" i="1"/>
  <c r="L23" i="1"/>
  <c r="L24" i="1"/>
  <c r="L25" i="1"/>
  <c r="L28" i="1"/>
  <c r="L29" i="1"/>
  <c r="L30" i="1"/>
  <c r="L31" i="1"/>
  <c r="L34" i="1"/>
  <c r="L37" i="1"/>
  <c r="L38" i="1"/>
  <c r="L42" i="1"/>
  <c r="L43" i="1"/>
  <c r="L44" i="1"/>
  <c r="L49" i="1"/>
  <c r="L51" i="1"/>
  <c r="L52" i="1"/>
  <c r="L53" i="1"/>
  <c r="L54" i="1"/>
  <c r="L56" i="1"/>
  <c r="L57" i="1"/>
  <c r="L58" i="1"/>
  <c r="L59" i="1"/>
  <c r="L62" i="1"/>
  <c r="L63" i="1"/>
  <c r="L7" i="1"/>
  <c r="O14" i="1"/>
  <c r="O15" i="1"/>
  <c r="O16" i="1"/>
  <c r="O17" i="1"/>
  <c r="O18" i="1"/>
  <c r="O21" i="1"/>
  <c r="O22" i="1"/>
  <c r="O23" i="1"/>
  <c r="O24" i="1"/>
  <c r="O25" i="1"/>
  <c r="O28" i="1"/>
  <c r="O29" i="1"/>
  <c r="O30" i="1"/>
  <c r="O31" i="1"/>
  <c r="O34" i="1"/>
  <c r="O35" i="1"/>
  <c r="O36" i="1"/>
  <c r="O37" i="1"/>
  <c r="O38" i="1"/>
  <c r="O42" i="1"/>
  <c r="O43" i="1"/>
  <c r="O44" i="1"/>
  <c r="O49" i="1"/>
  <c r="O51" i="1"/>
  <c r="O52" i="1"/>
  <c r="O53" i="1"/>
  <c r="O54" i="1"/>
  <c r="O56" i="1"/>
  <c r="O57" i="1"/>
  <c r="O58" i="1"/>
  <c r="O59" i="1"/>
  <c r="O61" i="1"/>
  <c r="O62" i="1"/>
  <c r="O63" i="1"/>
  <c r="O10" i="1"/>
  <c r="O12" i="1"/>
  <c r="O13" i="1"/>
  <c r="O7" i="1"/>
  <c r="K8" i="1"/>
  <c r="K10" i="1"/>
  <c r="K12" i="1"/>
  <c r="K13" i="1"/>
  <c r="K14" i="1"/>
  <c r="K15" i="1"/>
  <c r="K16" i="1"/>
  <c r="K17" i="1"/>
  <c r="K18" i="1"/>
  <c r="K21" i="1"/>
  <c r="K22" i="1"/>
  <c r="K23" i="1"/>
  <c r="K24" i="1"/>
  <c r="K25" i="1"/>
  <c r="K28" i="1"/>
  <c r="K29" i="1"/>
  <c r="K30" i="1"/>
  <c r="K31" i="1"/>
  <c r="K34" i="1"/>
  <c r="K37" i="1"/>
  <c r="K38" i="1"/>
  <c r="K42" i="1"/>
  <c r="K43" i="1"/>
  <c r="K44" i="1"/>
  <c r="K49" i="1"/>
  <c r="K51" i="1"/>
  <c r="K52" i="1"/>
  <c r="K53" i="1"/>
  <c r="K54" i="1"/>
  <c r="K56" i="1"/>
  <c r="K57" i="1"/>
  <c r="K58" i="1"/>
  <c r="K59" i="1"/>
  <c r="K62" i="1"/>
  <c r="K63" i="1"/>
  <c r="K7" i="1"/>
  <c r="H25" i="2"/>
  <c r="G25" i="2"/>
  <c r="K7" i="2"/>
  <c r="K8" i="2"/>
  <c r="K9" i="2"/>
  <c r="K10" i="2"/>
  <c r="K11" i="2"/>
  <c r="K13" i="2"/>
  <c r="K14" i="2"/>
  <c r="K6" i="2"/>
  <c r="J13" i="2"/>
  <c r="J14" i="2"/>
  <c r="J8" i="2"/>
  <c r="J9" i="2"/>
  <c r="J10" i="2"/>
  <c r="AB29" i="6"/>
  <c r="AB12" i="6"/>
  <c r="Y31" i="6"/>
  <c r="U33" i="6"/>
  <c r="Z33" i="6"/>
  <c r="Y29" i="6"/>
  <c r="U23" i="6"/>
  <c r="Z23" i="6"/>
  <c r="U16" i="6"/>
  <c r="Z16" i="6"/>
  <c r="V14" i="6"/>
  <c r="AA14" i="6"/>
  <c r="U12" i="6"/>
  <c r="Z12" i="6"/>
  <c r="V12" i="6"/>
  <c r="AA12" i="6"/>
  <c r="Y6" i="6"/>
  <c r="Y23" i="6"/>
  <c r="Y10" i="6"/>
  <c r="Q35" i="7"/>
  <c r="U14" i="6"/>
  <c r="Z14" i="6"/>
  <c r="V8" i="6"/>
  <c r="AA8" i="6"/>
  <c r="AB16" i="7"/>
  <c r="AC16" i="7"/>
  <c r="U6" i="7"/>
  <c r="AA24" i="7"/>
  <c r="V36" i="7"/>
  <c r="W36" i="7"/>
  <c r="V10" i="6"/>
  <c r="AA10" i="6"/>
  <c r="V25" i="6"/>
  <c r="AA25" i="6"/>
  <c r="Q5" i="7"/>
  <c r="AB34" i="7"/>
  <c r="AC34" i="7"/>
  <c r="V5" i="7"/>
  <c r="W5" i="7"/>
  <c r="V29" i="6"/>
  <c r="AA29" i="6"/>
  <c r="AB35" i="7"/>
  <c r="AC35" i="7"/>
  <c r="AA16" i="8"/>
  <c r="AB16" i="8"/>
  <c r="AA14" i="8"/>
  <c r="AB14" i="8"/>
  <c r="Z14" i="8"/>
  <c r="Z10" i="8"/>
  <c r="Y10" i="8"/>
  <c r="Z15" i="8"/>
  <c r="AA5" i="8"/>
  <c r="AB5" i="8"/>
  <c r="Y15" i="8"/>
  <c r="Z22" i="8"/>
  <c r="AA8" i="8"/>
  <c r="AB8" i="8"/>
  <c r="Z6" i="8"/>
  <c r="Z4" i="8"/>
  <c r="Y8" i="8"/>
  <c r="Y6" i="8"/>
</calcChain>
</file>

<file path=xl/sharedStrings.xml><?xml version="1.0" encoding="utf-8"?>
<sst xmlns="http://schemas.openxmlformats.org/spreadsheetml/2006/main" count="1051" uniqueCount="438">
  <si>
    <t>团号</t>
  </si>
  <si>
    <t>单人房/人</t>
  </si>
  <si>
    <t>双人房/人</t>
  </si>
  <si>
    <t>三人房/人</t>
  </si>
  <si>
    <t>四人房/人</t>
  </si>
  <si>
    <t>儿童/人</t>
  </si>
  <si>
    <t>单人配房/人</t>
  </si>
  <si>
    <t>AP6D</t>
  </si>
  <si>
    <t>AP5</t>
  </si>
  <si>
    <t>AP6</t>
  </si>
  <si>
    <t>AP7R</t>
  </si>
  <si>
    <t>AP8R</t>
  </si>
  <si>
    <t>AP4</t>
  </si>
  <si>
    <t>AP6W</t>
  </si>
  <si>
    <t>AP6F</t>
  </si>
  <si>
    <t>AP6A</t>
  </si>
  <si>
    <t>AP6U</t>
  </si>
  <si>
    <t>AP7W</t>
  </si>
  <si>
    <t>AP7F</t>
  </si>
  <si>
    <t>AP7A</t>
  </si>
  <si>
    <t>AP7U</t>
  </si>
  <si>
    <t>AP7M</t>
  </si>
  <si>
    <t>AP8W</t>
  </si>
  <si>
    <t>AP8F</t>
  </si>
  <si>
    <t>AP8A</t>
  </si>
  <si>
    <t>AP8U</t>
  </si>
  <si>
    <t>AP9F</t>
  </si>
  <si>
    <t>AP9A</t>
  </si>
  <si>
    <t>AP9U</t>
  </si>
  <si>
    <t>AP9K</t>
  </si>
  <si>
    <t>AP10WK</t>
  </si>
  <si>
    <t>NY5</t>
  </si>
  <si>
    <t>NY6R</t>
  </si>
  <si>
    <t>NY7R</t>
  </si>
  <si>
    <t>PH5</t>
  </si>
  <si>
    <t>PH6R</t>
  </si>
  <si>
    <t>PH7C</t>
  </si>
  <si>
    <t>DC5</t>
  </si>
  <si>
    <t>DC6R</t>
  </si>
  <si>
    <t>WH5</t>
  </si>
  <si>
    <t>WH5R</t>
  </si>
  <si>
    <t>WH7C</t>
  </si>
  <si>
    <t>WHSP5</t>
  </si>
  <si>
    <t>BO5</t>
  </si>
  <si>
    <t>BO6</t>
  </si>
  <si>
    <t>没上</t>
  </si>
  <si>
    <t>N/A</t>
  </si>
  <si>
    <t>NF2</t>
  </si>
  <si>
    <t>NT2</t>
  </si>
  <si>
    <t>BO2</t>
  </si>
  <si>
    <t>TR3</t>
  </si>
  <si>
    <t>TN4</t>
  </si>
  <si>
    <t>成人</t>
  </si>
  <si>
    <t>儿童</t>
  </si>
  <si>
    <t>DC1</t>
  </si>
  <si>
    <t>NY2</t>
  </si>
  <si>
    <t>没买二送一</t>
  </si>
  <si>
    <t>纵横假期</t>
  </si>
  <si>
    <t>30% commission</t>
  </si>
  <si>
    <t>卖价</t>
  </si>
  <si>
    <t>底价</t>
  </si>
  <si>
    <t>20% commission</t>
  </si>
  <si>
    <t>美东+迈阿密</t>
  </si>
  <si>
    <t>底价计算公式：</t>
  </si>
  <si>
    <t>单人房：</t>
  </si>
  <si>
    <t>双人房/人：</t>
  </si>
  <si>
    <t>三人房/人：</t>
  </si>
  <si>
    <t>四人房/人：</t>
  </si>
  <si>
    <t>（买二送一）</t>
  </si>
  <si>
    <t>(没有买二送一)</t>
  </si>
  <si>
    <t>双人房单价的卖价*0.8+50*住宿天数</t>
  </si>
  <si>
    <t>双人房单价的卖价*0.8</t>
  </si>
  <si>
    <t>双人房单价的卖价*2*0.8/3</t>
  </si>
  <si>
    <t>单人房单价的卖价*0.7</t>
  </si>
  <si>
    <t>双人房单价的卖价*0.7</t>
  </si>
  <si>
    <t>双人房单价的卖价*2*0.7/3</t>
  </si>
  <si>
    <t>MIA4D</t>
  </si>
  <si>
    <t>单人配房</t>
  </si>
  <si>
    <t>配房卖价*0.7</t>
  </si>
  <si>
    <t>双人房单价的卖价*2*0.7/4</t>
  </si>
  <si>
    <t>（双人房单价的卖价*2+儿童价卖价）*0.8/3</t>
  </si>
  <si>
    <t>（双人房单价的卖价*2+儿童价卖价）*0.8/4</t>
  </si>
  <si>
    <t>（双人房单价的卖价*2+儿童价卖价*2）*0.8/4</t>
  </si>
  <si>
    <t>单人房单价的卖价*0.8</t>
  </si>
  <si>
    <t>迈阿密(9天和10天行程)底价计算：</t>
  </si>
  <si>
    <r>
      <t>AP6E</t>
    </r>
    <r>
      <rPr>
        <sz val="9"/>
        <color indexed="8"/>
        <rFont val="Calibri"/>
        <family val="2"/>
      </rPr>
      <t>(经济团)</t>
    </r>
  </si>
  <si>
    <t>AC7</t>
  </si>
  <si>
    <t>CA7</t>
  </si>
  <si>
    <t>(儿童价格与第四人价格一致)</t>
  </si>
  <si>
    <t>ID</t>
  </si>
  <si>
    <t>346/497</t>
  </si>
  <si>
    <t>325/941</t>
  </si>
  <si>
    <t>349/929</t>
  </si>
  <si>
    <t>936/328</t>
  </si>
  <si>
    <t>496/149</t>
  </si>
  <si>
    <t>158/374</t>
  </si>
  <si>
    <t>156/376</t>
  </si>
  <si>
    <t>155/378</t>
  </si>
  <si>
    <t>AC3</t>
  </si>
  <si>
    <t>NW2</t>
  </si>
  <si>
    <t>出团日期</t>
  </si>
  <si>
    <t>逢星期三、六接機</t>
  </si>
  <si>
    <t>逢星期二、五接機</t>
  </si>
  <si>
    <t>3,6</t>
  </si>
  <si>
    <t>2 ，5</t>
  </si>
  <si>
    <t>2，5</t>
  </si>
  <si>
    <t>2,5</t>
  </si>
  <si>
    <t>逢星期四、日接機</t>
  </si>
  <si>
    <t>逢星期四，日接機</t>
  </si>
  <si>
    <t>2.3.5.6</t>
  </si>
  <si>
    <t>逢周四，日</t>
  </si>
  <si>
    <t>逢周二，六</t>
  </si>
  <si>
    <t>逢週四、日出發</t>
  </si>
  <si>
    <t>逢週一、五出發</t>
  </si>
  <si>
    <t>逢週一、週五出發</t>
  </si>
  <si>
    <t>逢周一，五</t>
  </si>
  <si>
    <t>逢周三，六</t>
  </si>
  <si>
    <t>逢週三、六出發</t>
  </si>
  <si>
    <t>NB3</t>
  </si>
  <si>
    <t>纵横取消此线路</t>
  </si>
  <si>
    <t>芝加哥团</t>
  </si>
  <si>
    <t>$60/大人</t>
  </si>
  <si>
    <t>$40/小孩</t>
  </si>
  <si>
    <t>CH1</t>
  </si>
  <si>
    <t>CD2</t>
  </si>
  <si>
    <t>CH2</t>
  </si>
  <si>
    <t>CN3</t>
  </si>
  <si>
    <t>CT4</t>
  </si>
  <si>
    <t>CN5</t>
  </si>
  <si>
    <t>CN6</t>
  </si>
  <si>
    <t>CTD7</t>
  </si>
  <si>
    <t>CND7</t>
  </si>
  <si>
    <t>CTD8</t>
  </si>
  <si>
    <t>AP8NC</t>
  </si>
  <si>
    <t>$48/大人</t>
  </si>
  <si>
    <t>$32/小孩</t>
  </si>
  <si>
    <t>CB-A</t>
  </si>
  <si>
    <t>CB-B</t>
  </si>
  <si>
    <t>CB-C</t>
  </si>
  <si>
    <t>CB-D</t>
  </si>
  <si>
    <t>BO1</t>
  </si>
  <si>
    <t>PH1</t>
  </si>
  <si>
    <t>新</t>
  </si>
  <si>
    <t>地接商</t>
  </si>
  <si>
    <t>线路名称</t>
  </si>
  <si>
    <t>天数</t>
  </si>
  <si>
    <t>优惠</t>
  </si>
  <si>
    <t>单人</t>
  </si>
  <si>
    <t>LLT</t>
    <phoneticPr fontId="1" type="noConversion"/>
  </si>
  <si>
    <t xml:space="preserve">迈阿密,沼泽公园,西锁岛,罗德岱堡四日欢乐游 </t>
    <phoneticPr fontId="1" type="noConversion"/>
  </si>
  <si>
    <t>星期一，二，四，五</t>
  </si>
  <si>
    <t>买二送一</t>
    <phoneticPr fontId="1" type="noConversion"/>
  </si>
  <si>
    <t>MIA201-2718</t>
  </si>
  <si>
    <t>MO7D</t>
  </si>
  <si>
    <t>迈阿密,沼泽公园,罗德岱堡、奥兰多七日体验之旅</t>
  </si>
  <si>
    <t>MIA201-2719</t>
  </si>
  <si>
    <t>MO8D</t>
  </si>
  <si>
    <t>迈阿密,沼泽公园,西锁岛,奥兰多,迪士尼八日游</t>
  </si>
  <si>
    <t>MIA201-2720</t>
  </si>
  <si>
    <t>MO9D</t>
  </si>
  <si>
    <t>迈阿密,沼泽公园,西锁岛,奥兰多,迪士尼九日游</t>
  </si>
  <si>
    <t>MIA201-2721</t>
  </si>
  <si>
    <t>MO10D</t>
  </si>
  <si>
    <t>MIA201-2722</t>
  </si>
  <si>
    <t>MO11D</t>
  </si>
  <si>
    <t>MIA201-2723</t>
  </si>
  <si>
    <t>MO12D</t>
  </si>
  <si>
    <t>迈阿密,沼泽公园,西锁岛,奥兰多,迪士尼十二日游  </t>
  </si>
  <si>
    <t>202编号供应商，2013年樱花团</t>
  </si>
  <si>
    <t xml:space="preserve">ID </t>
  </si>
  <si>
    <t>地接CODE</t>
  </si>
  <si>
    <t>价格优惠方式</t>
  </si>
  <si>
    <t>出发地（BUS TOUR）</t>
  </si>
  <si>
    <t>行程特点</t>
  </si>
  <si>
    <t>波士顿花展浪漫1日游</t>
  </si>
  <si>
    <t>3/16,3/17</t>
  </si>
  <si>
    <t>纽约出发，回程時間預計為晚上10時到達唐人街。</t>
  </si>
  <si>
    <t>费城国际花展一日浪漫游</t>
  </si>
  <si>
    <t>3/2,3/3,3/9,3/10</t>
  </si>
  <si>
    <t>纽约出发，傍晚左右返回紐約。</t>
  </si>
  <si>
    <t>可选Sugarhouse Casino， 年满21周岁可参加，以當日賭場發出的為準</t>
  </si>
  <si>
    <t>华盛顿特区赏樱,Sugar House赌场,水族馆两日精致游</t>
  </si>
  <si>
    <t>周一/周三/周六 (3/16-4/15 )</t>
  </si>
  <si>
    <t>没有"买二送一"</t>
  </si>
  <si>
    <t>华盛顿特区,安纳波利斯,水族馆赏樱两日浪漫游</t>
  </si>
  <si>
    <t>华盛顿特区,赫氏巧克力,小人国两日赏樱游</t>
  </si>
  <si>
    <t>华盛顿特区, 阿米希村,水帘洞两日赏樱游</t>
  </si>
  <si>
    <r>
      <t>*注意事项</t>
    </r>
    <r>
      <rPr>
        <b/>
        <sz val="16"/>
        <color indexed="8"/>
        <rFont val="宋体"/>
        <charset val="134"/>
      </rPr>
      <t>：</t>
    </r>
  </si>
  <si>
    <r>
      <t xml:space="preserve">1 </t>
    </r>
    <r>
      <rPr>
        <sz val="16"/>
        <color indexed="8"/>
        <rFont val="宋体"/>
        <charset val="134"/>
      </rPr>
      <t>）樱花团的出发时间预计为</t>
    </r>
    <r>
      <rPr>
        <sz val="16"/>
        <color indexed="8"/>
        <rFont val="Calibri"/>
        <family val="2"/>
      </rPr>
      <t>3</t>
    </r>
    <r>
      <rPr>
        <sz val="16"/>
        <color indexed="8"/>
        <rFont val="宋体"/>
        <charset val="134"/>
      </rPr>
      <t>月</t>
    </r>
    <r>
      <rPr>
        <sz val="16"/>
        <color indexed="8"/>
        <rFont val="Calibri"/>
        <family val="2"/>
      </rPr>
      <t>16</t>
    </r>
    <r>
      <rPr>
        <sz val="16"/>
        <color indexed="8"/>
        <rFont val="宋体"/>
        <charset val="134"/>
      </rPr>
      <t>日到</t>
    </r>
    <r>
      <rPr>
        <sz val="16"/>
        <color indexed="8"/>
        <rFont val="Calibri"/>
        <family val="2"/>
      </rPr>
      <t>4</t>
    </r>
    <r>
      <rPr>
        <sz val="16"/>
        <color indexed="8"/>
        <rFont val="宋体"/>
        <charset val="134"/>
      </rPr>
      <t>月中旬，行程什么时候结束要</t>
    </r>
    <r>
      <rPr>
        <sz val="16"/>
        <color indexed="10"/>
        <rFont val="宋体"/>
        <charset val="134"/>
      </rPr>
      <t>視符櫻花狀況而定。</t>
    </r>
  </si>
  <si>
    <r>
      <t xml:space="preserve">2   </t>
    </r>
    <r>
      <rPr>
        <sz val="16"/>
        <color indexed="8"/>
        <rFont val="宋体"/>
        <charset val="134"/>
      </rPr>
      <t>樱花</t>
    </r>
    <r>
      <rPr>
        <sz val="16"/>
        <color indexed="8"/>
        <rFont val="Times New Roman"/>
        <family val="1"/>
      </rPr>
      <t>1</t>
    </r>
    <r>
      <rPr>
        <sz val="16"/>
        <color indexed="8"/>
        <rFont val="宋体"/>
        <charset val="134"/>
      </rPr>
      <t>天团的行程比较紧凑，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宋体"/>
        <charset val="134"/>
      </rPr>
      <t>预计回程纽约时间为晚上</t>
    </r>
    <r>
      <rPr>
        <sz val="16"/>
        <color indexed="8"/>
        <rFont val="Times New Roman"/>
        <family val="1"/>
      </rPr>
      <t>11:30PM.</t>
    </r>
  </si>
  <si>
    <r>
      <t xml:space="preserve">3) </t>
    </r>
    <r>
      <rPr>
        <sz val="16"/>
        <color indexed="8"/>
        <rFont val="宋体"/>
        <charset val="134"/>
      </rPr>
      <t>樱花行程是不包括景点门票，</t>
    </r>
    <r>
      <rPr>
        <sz val="16"/>
        <color indexed="10"/>
        <rFont val="宋体"/>
        <charset val="134"/>
      </rPr>
      <t>參團人數需要超過</t>
    </r>
    <r>
      <rPr>
        <sz val="16"/>
        <color indexed="10"/>
        <rFont val="Calibri"/>
        <family val="2"/>
      </rPr>
      <t>35</t>
    </r>
    <r>
      <rPr>
        <sz val="16"/>
        <color indexed="10"/>
        <rFont val="宋体"/>
        <charset val="134"/>
      </rPr>
      <t>位一團才能確保乘搭</t>
    </r>
    <r>
      <rPr>
        <sz val="16"/>
        <color indexed="10"/>
        <rFont val="Calibri"/>
        <family val="2"/>
      </rPr>
      <t>DC</t>
    </r>
    <r>
      <rPr>
        <sz val="16"/>
        <color indexed="10"/>
        <rFont val="宋体"/>
        <charset val="134"/>
      </rPr>
      <t>遊船。</t>
    </r>
  </si>
  <si>
    <r>
      <t>4</t>
    </r>
    <r>
      <rPr>
        <sz val="16"/>
        <color indexed="8"/>
        <rFont val="宋体"/>
        <charset val="134"/>
      </rPr>
      <t>）樱花</t>
    </r>
    <r>
      <rPr>
        <sz val="16"/>
        <color indexed="8"/>
        <rFont val="Calibri"/>
        <family val="2"/>
      </rPr>
      <t>A</t>
    </r>
    <r>
      <rPr>
        <sz val="16"/>
        <color indexed="8"/>
        <rFont val="宋体"/>
        <charset val="134"/>
      </rPr>
      <t>团</t>
    </r>
    <r>
      <rPr>
        <sz val="16"/>
        <color indexed="8"/>
        <rFont val="Calibri"/>
        <family val="2"/>
      </rPr>
      <t>-</t>
    </r>
    <r>
      <rPr>
        <sz val="16"/>
        <color indexed="10"/>
        <rFont val="Calibri"/>
        <family val="2"/>
      </rPr>
      <t>Sugarhouse Casino</t>
    </r>
    <r>
      <rPr>
        <sz val="16"/>
        <color indexed="10"/>
        <rFont val="宋体"/>
        <charset val="134"/>
      </rPr>
      <t>行程將提供</t>
    </r>
    <r>
      <rPr>
        <sz val="16"/>
        <color indexed="10"/>
        <rFont val="Calibri"/>
        <family val="2"/>
      </rPr>
      <t>$15 slot play</t>
    </r>
    <r>
      <rPr>
        <sz val="16"/>
        <color indexed="10"/>
        <rFont val="宋体"/>
        <charset val="134"/>
      </rPr>
      <t>獎券</t>
    </r>
    <r>
      <rPr>
        <sz val="16"/>
        <color indexed="10"/>
        <rFont val="Calibri"/>
        <family val="2"/>
      </rPr>
      <t>:</t>
    </r>
  </si>
  <si>
    <r>
      <t>     A.</t>
    </r>
    <r>
      <rPr>
        <sz val="16"/>
        <color indexed="10"/>
        <rFont val="宋体"/>
        <charset val="134"/>
      </rPr>
      <t>團隊必須要</t>
    </r>
    <r>
      <rPr>
        <sz val="16"/>
        <color indexed="10"/>
        <rFont val="Calibri"/>
        <family val="2"/>
      </rPr>
      <t>20</t>
    </r>
    <r>
      <rPr>
        <sz val="16"/>
        <color indexed="10"/>
        <rFont val="宋体"/>
        <charset val="134"/>
      </rPr>
      <t>人以上</t>
    </r>
  </si>
  <si>
    <r>
      <t>     B.</t>
    </r>
    <r>
      <rPr>
        <sz val="16"/>
        <color indexed="10"/>
        <rFont val="宋体"/>
        <charset val="134"/>
      </rPr>
      <t>必須滿</t>
    </r>
    <r>
      <rPr>
        <sz val="16"/>
        <color indexed="10"/>
        <rFont val="Calibri"/>
        <family val="2"/>
      </rPr>
      <t>21</t>
    </r>
    <r>
      <rPr>
        <sz val="16"/>
        <color indexed="10"/>
        <rFont val="宋体"/>
        <charset val="134"/>
      </rPr>
      <t>嵗以上，</t>
    </r>
    <r>
      <rPr>
        <sz val="16"/>
        <color indexed="10"/>
        <rFont val="Calibri"/>
        <family val="2"/>
      </rPr>
      <t>package</t>
    </r>
    <r>
      <rPr>
        <sz val="16"/>
        <color indexed="10"/>
        <rFont val="宋体"/>
        <charset val="134"/>
      </rPr>
      <t>最終解釋權由賭場決定，實際情況以當日賭場發出的為準</t>
    </r>
  </si>
  <si>
    <t>AP8CN</t>
  </si>
  <si>
    <t>迈阿密+奥兰多</t>
  </si>
  <si>
    <t>迈阿密,沼泽公园,西锁岛,奥兰多,迪士尼十日游</t>
  </si>
  <si>
    <t>迈阿密,沼泽公园,西锁岛,奥兰多,迪士尼十一日游</t>
  </si>
  <si>
    <t>迈阿密</t>
  </si>
  <si>
    <t>AC6</t>
  </si>
  <si>
    <t>美东精华+购物</t>
  </si>
  <si>
    <t>AP3W</t>
  </si>
  <si>
    <t>AP5W</t>
  </si>
  <si>
    <t>AP5F</t>
  </si>
  <si>
    <t>AP3F</t>
  </si>
  <si>
    <t>MIA224-1137</t>
  </si>
  <si>
    <t xml:space="preserve"> MIA224-635</t>
  </si>
  <si>
    <t>MIA224-565</t>
  </si>
  <si>
    <t>LLT</t>
  </si>
  <si>
    <t>MIA1</t>
  </si>
  <si>
    <t>每週二、五出發</t>
  </si>
  <si>
    <t>迈阿密,沼泽公园一日欢乐游</t>
  </si>
  <si>
    <t>commission：30%</t>
  </si>
  <si>
    <t>地接团号</t>
  </si>
  <si>
    <t>NO</t>
  </si>
  <si>
    <t>週四 ， 五</t>
  </si>
  <si>
    <t>MIA3</t>
  </si>
  <si>
    <t>迈阿密,沼泽公园,罗德岱堡三日欢乐游</t>
  </si>
  <si>
    <t>亞特蘭大接機，</t>
  </si>
  <si>
    <t>芝加哥接機</t>
  </si>
  <si>
    <t>天數</t>
  </si>
  <si>
    <r>
      <t>第一，二人  1</t>
    </r>
    <r>
      <rPr>
        <vertAlign val="superscript"/>
        <sz val="8"/>
        <color indexed="8"/>
        <rFont val="宋体"/>
        <charset val="134"/>
      </rPr>
      <t>st</t>
    </r>
    <r>
      <rPr>
        <sz val="8"/>
        <color indexed="8"/>
        <rFont val="宋体"/>
        <charset val="134"/>
      </rPr>
      <t>, 2nd</t>
    </r>
  </si>
  <si>
    <t>第三人 3rd</t>
  </si>
  <si>
    <t>第四人 4th</t>
  </si>
  <si>
    <t>單房 Single room</t>
  </si>
  <si>
    <r>
      <t>30%</t>
    </r>
    <r>
      <rPr>
        <b/>
        <sz val="16"/>
        <color indexed="8"/>
        <rFont val="宋体"/>
        <charset val="134"/>
      </rPr>
      <t>佣金</t>
    </r>
  </si>
  <si>
    <t>門票費/另付</t>
  </si>
  <si>
    <t>7 Days</t>
  </si>
  <si>
    <t>8 Days</t>
  </si>
  <si>
    <t>9 Days</t>
  </si>
  <si>
    <t>10 Days</t>
  </si>
  <si>
    <t>11 Days</t>
  </si>
  <si>
    <t>12 Days</t>
  </si>
  <si>
    <t>买二送一</t>
  </si>
  <si>
    <r>
      <t>邁阿密+奧蘭多7-12天團(</t>
    </r>
    <r>
      <rPr>
        <sz val="11"/>
        <color indexed="10"/>
        <rFont val="Calibri"/>
        <family val="2"/>
      </rPr>
      <t>门票没有佣金，报团时需要一起交：</t>
    </r>
    <r>
      <rPr>
        <sz val="11"/>
        <color indexed="8"/>
        <rFont val="Calibri"/>
        <family val="2"/>
      </rPr>
      <t>)</t>
    </r>
  </si>
  <si>
    <t>底价需要更新</t>
  </si>
  <si>
    <r>
      <t>卖价（</t>
    </r>
    <r>
      <rPr>
        <b/>
        <sz val="9"/>
        <color indexed="8"/>
        <rFont val="Calibri"/>
        <family val="2"/>
      </rPr>
      <t>含门票款）</t>
    </r>
  </si>
  <si>
    <t>双人/人</t>
  </si>
  <si>
    <t>MIA224-1136</t>
  </si>
  <si>
    <t>迈阿密,西锁岛一日欢乐游</t>
  </si>
  <si>
    <t>无买二送一</t>
  </si>
  <si>
    <t>APSP5 (经济团）</t>
  </si>
  <si>
    <t>X</t>
  </si>
  <si>
    <t>AP6C  (Canada)</t>
  </si>
  <si>
    <t>AP8C (Canada)</t>
  </si>
  <si>
    <t>AP9CW (Canada)</t>
  </si>
  <si>
    <t>AP9CF (Canada)</t>
  </si>
  <si>
    <t>AP9CA (Canada)</t>
  </si>
  <si>
    <t>NY5C (Canada)</t>
  </si>
  <si>
    <t>NY7C (Canada)</t>
  </si>
  <si>
    <t>NY  Depart</t>
  </si>
  <si>
    <t>NYSP5 (经济团）</t>
  </si>
  <si>
    <t>PH 出发</t>
  </si>
  <si>
    <t>DC7C (Canada)</t>
  </si>
  <si>
    <t>DCSP5  (经济团）</t>
  </si>
  <si>
    <t>DC 酒店出发</t>
  </si>
  <si>
    <t>WH6C (Canada)</t>
  </si>
  <si>
    <t>BO7C (Canada)</t>
  </si>
  <si>
    <t xml:space="preserve">X </t>
  </si>
  <si>
    <t>地接网站和资料都说单人房是490</t>
  </si>
  <si>
    <r>
      <t>美东及美加东所有线路（5-9天的團）：（</t>
    </r>
    <r>
      <rPr>
        <b/>
        <sz val="11"/>
        <color indexed="8"/>
        <rFont val="Calibri"/>
        <family val="2"/>
      </rPr>
      <t>經典觀光系列、名牌購物系列、美東名校系列、美國+加拿大系列、美東當地出發系列、多倫多接機系列）</t>
    </r>
    <r>
      <rPr>
        <sz val="11"/>
        <color theme="1"/>
        <rFont val="Calibri"/>
        <family val="2"/>
        <scheme val="minor"/>
      </rPr>
      <t>佣金不变。</t>
    </r>
  </si>
  <si>
    <t>美東精華和精華購物系列，也就是（AP4和AP3W/F,AP5W/F），（ONLY 20 % COMMISION)</t>
  </si>
  <si>
    <t>Franky 的核对</t>
  </si>
  <si>
    <t>http://echolidays.net/</t>
  </si>
  <si>
    <t xml:space="preserve">网站和地接都显示价格为 99/位， 不知成人和儿童价格是怎样来的， </t>
  </si>
  <si>
    <r>
      <t>美东迈阿密（</t>
    </r>
    <r>
      <rPr>
        <b/>
        <sz val="11"/>
        <color indexed="12"/>
        <rFont val="Calibri"/>
        <family val="2"/>
      </rPr>
      <t>AP9K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>AP10KW/F/A</t>
    </r>
    <r>
      <rPr>
        <sz val="11"/>
        <color theme="1"/>
        <rFont val="Calibri"/>
        <family val="2"/>
        <scheme val="minor"/>
      </rPr>
      <t xml:space="preserve"> ）及</t>
    </r>
    <r>
      <rPr>
        <sz val="11"/>
        <color indexed="10"/>
        <rFont val="Calibri"/>
        <family val="2"/>
      </rPr>
      <t>迈阿密的所有行程</t>
    </r>
    <r>
      <rPr>
        <sz val="11"/>
        <color theme="1"/>
        <rFont val="Calibri"/>
        <family val="2"/>
        <scheme val="minor"/>
      </rPr>
      <t>佣金调整为30%</t>
    </r>
  </si>
  <si>
    <t xml:space="preserve">网站和地接都显示价格为 129/位， 不知成人和儿童价格是怎样来的， </t>
  </si>
  <si>
    <t>网站：兩人一房:499   |   三人一房:0    |   四人一房:399   |   單人房:649   四人房应该是349.25</t>
  </si>
  <si>
    <t>网站：兩人一房:349 |三人一房:0 | 四人一房:299 | 單人房:499 四人房249.25</t>
  </si>
  <si>
    <t>地接网上的团号</t>
  </si>
  <si>
    <t>DS2E</t>
  </si>
  <si>
    <t>DC2E</t>
  </si>
  <si>
    <t>*1月7-3月10期間報名，沒有買2送1，沒有打8折， 大人$190, 三，四人一房$130</t>
  </si>
  <si>
    <t>(1月7 到 3月10）</t>
  </si>
  <si>
    <t>DN3D</t>
  </si>
  <si>
    <t>(Franky 在地接网上没找到. 走四方网上也没卖）</t>
  </si>
  <si>
    <t>走四方网上没有卖</t>
  </si>
  <si>
    <t>Franky 核对，以地接 5-1-13 发来的表个为准</t>
  </si>
  <si>
    <t>PH5E</t>
  </si>
  <si>
    <t>30% commission ( 从5-8-13开始变), SOFIA 已经跟地接谈好，他们之后会发正式邮件通知</t>
  </si>
  <si>
    <t>双人房单价的卖价*0.70+50*住宿天数</t>
  </si>
  <si>
    <t xml:space="preserve">双人房单价的卖价*0.70 </t>
  </si>
  <si>
    <t>双人房单价的卖价*2*0.70/3</t>
  </si>
  <si>
    <t>（双人房单价的卖价*2+儿童价卖价）*0.70/3</t>
  </si>
  <si>
    <t>（双人房单价的卖价*2+儿童价卖价）*0.70/4</t>
  </si>
  <si>
    <t>（双人房单价的卖价*2+儿童价卖价*2）*0.70/4</t>
  </si>
  <si>
    <t>（SOFIA 说还是按原来的卖价， 不算出新卖价了）</t>
  </si>
  <si>
    <t>根据WENDY的说法，从2013年3月12之后下的ORDER才按这个新的佣金算法</t>
  </si>
  <si>
    <t>逢週一，二，四，五出發 / Departure：Every Mon ,Tue ,Thu ,Fir.買二送一 / Buy 2 Get 1 Free</t>
  </si>
  <si>
    <t>團號 Tour Code</t>
  </si>
  <si>
    <r>
      <t>第一，二人  1</t>
    </r>
    <r>
      <rPr>
        <vertAlign val="superscript"/>
        <sz val="8"/>
        <color indexed="8"/>
        <rFont val="SimSun"/>
      </rPr>
      <t>st</t>
    </r>
    <r>
      <rPr>
        <sz val="8"/>
        <color indexed="8"/>
        <rFont val="SimSun"/>
      </rPr>
      <t>, 2nd</t>
    </r>
  </si>
  <si>
    <r>
      <t>第四人 4</t>
    </r>
    <r>
      <rPr>
        <vertAlign val="superscript"/>
        <sz val="8"/>
        <color indexed="8"/>
        <rFont val="SimSun"/>
      </rPr>
      <t>th</t>
    </r>
    <r>
      <rPr>
        <sz val="8"/>
        <color indexed="8"/>
        <rFont val="SimSun"/>
      </rPr>
      <t xml:space="preserve"> </t>
    </r>
  </si>
  <si>
    <t xml:space="preserve">MO7 </t>
  </si>
  <si>
    <t xml:space="preserve">MO8 </t>
  </si>
  <si>
    <t xml:space="preserve">MO9 </t>
  </si>
  <si>
    <t xml:space="preserve">MO10 </t>
  </si>
  <si>
    <t xml:space="preserve">MO11 </t>
  </si>
  <si>
    <t>MO12</t>
  </si>
  <si>
    <t>逢週一，四出發 / Departure：Every Mon ,Thu.買二送一 / Buy 2 Get 1 Free</t>
  </si>
  <si>
    <t>WO8</t>
  </si>
  <si>
    <t xml:space="preserve">WO9 </t>
  </si>
  <si>
    <t xml:space="preserve">WO10 </t>
  </si>
  <si>
    <t xml:space="preserve">WO11 </t>
  </si>
  <si>
    <t xml:space="preserve">WO12 </t>
  </si>
  <si>
    <t>WO13</t>
  </si>
  <si>
    <r>
      <t>第一，二人  1</t>
    </r>
    <r>
      <rPr>
        <vertAlign val="superscript"/>
        <sz val="12"/>
        <color indexed="8"/>
        <rFont val="SimSun"/>
      </rPr>
      <t>st</t>
    </r>
    <r>
      <rPr>
        <sz val="12"/>
        <color indexed="8"/>
        <rFont val="SimSun"/>
      </rPr>
      <t>, 2nd</t>
    </r>
  </si>
  <si>
    <t>佣金表</t>
  </si>
  <si>
    <t>（第三人CHARGE 为门票价格)</t>
  </si>
  <si>
    <t>Miami + Orlando MO7-MO12 （地接建议卖价）（买2送1）</t>
  </si>
  <si>
    <t>West Palm Beach + Orlando WO8-WO13 （地接建议卖价）（买2送1）</t>
  </si>
  <si>
    <t>我们卖价</t>
  </si>
  <si>
    <t>我们的成本</t>
  </si>
  <si>
    <t>3 人</t>
  </si>
  <si>
    <t>2 人</t>
  </si>
  <si>
    <t>4 人</t>
  </si>
  <si>
    <t>利润率</t>
  </si>
  <si>
    <t>资料没写，不过应该是30%</t>
  </si>
  <si>
    <t>(从5-20-13年起，从20%改为30%）</t>
  </si>
  <si>
    <t>---原始邮件---</t>
  </si>
  <si>
    <t>在 2013年05月20日 19:35</t>
  </si>
  <si>
    <t>"daviddong168"&lt;daviddong168@gmail.com&gt; 写道：</t>
  </si>
  <si>
    <t>Sofia姐，</t>
  </si>
  <si>
    <t>我这两天一直联系不上你。 就是想跟你说以下： 我们这几天再次统计AP4和AP3W/F，AP5W/F，发现今年这3条独家线人数明显提高，今年这3条线因为人数提高，</t>
  </si>
  <si>
    <t>不但开始不亏钱，而且有些出发日 期还有利润，所以公司决定从5/20开始把这3条线也一起归纳到美东给你们公司，一样给你们30%。麻烦你告诉你们同事帮我们大力推一下。</t>
  </si>
  <si>
    <t xml:space="preserve">   （From 5-20-13 年， 地接改为了30%， 详情请看下方邮件）</t>
  </si>
  <si>
    <t>（5-17-13后按另一价格表，请看另一个WORKSHEET</t>
  </si>
  <si>
    <t>Hi,Franky:</t>
  </si>
  <si>
    <t>刚刚与201供应商 VICKI落实：芝加哥行程  30%commission的线路增加一条：CN6 （原只有两条 AP8NC, AP8CN ），相关订单：68036</t>
  </si>
  <si>
    <t>请更新201价格表中的底价以及线路中的底价，谢谢！</t>
  </si>
  <si>
    <t>Wendy</t>
  </si>
  <si>
    <r>
      <t>美东芝加哥8天（</t>
    </r>
    <r>
      <rPr>
        <b/>
        <sz val="11"/>
        <color indexed="12"/>
        <rFont val="Calibri"/>
        <family val="2"/>
      </rPr>
      <t>AP8CN</t>
    </r>
    <r>
      <rPr>
        <sz val="11"/>
        <color theme="1"/>
        <rFont val="Calibri"/>
        <family val="2"/>
        <scheme val="minor"/>
      </rPr>
      <t xml:space="preserve">  </t>
    </r>
    <r>
      <rPr>
        <b/>
        <sz val="11"/>
        <color indexed="12"/>
        <rFont val="Calibri"/>
        <family val="2"/>
      </rPr>
      <t>AP8NC</t>
    </r>
    <r>
      <rPr>
        <sz val="11"/>
        <color theme="1"/>
        <rFont val="Calibri"/>
        <family val="2"/>
        <scheme val="minor"/>
      </rPr>
      <t xml:space="preserve"> ）佣金调整为30%  ，</t>
    </r>
    <r>
      <rPr>
        <sz val="11"/>
        <color indexed="30"/>
        <rFont val="Calibri"/>
        <family val="2"/>
      </rPr>
      <t>CN6</t>
    </r>
    <r>
      <rPr>
        <sz val="11"/>
        <color theme="1"/>
        <rFont val="Calibri"/>
        <family val="2"/>
        <scheme val="minor"/>
      </rPr>
      <t xml:space="preserve"> 从2013年5月23日起，也改为30%， 详情请下面邮件</t>
    </r>
  </si>
  <si>
    <t xml:space="preserve">      从5-23-13起，改为30%</t>
  </si>
  <si>
    <t>需要增加的地方</t>
  </si>
  <si>
    <t>MIA5  （新产品）</t>
  </si>
  <si>
    <t>MIA224-3012</t>
  </si>
  <si>
    <t>海景</t>
  </si>
  <si>
    <t>CN7</t>
  </si>
  <si>
    <t>x</t>
  </si>
  <si>
    <t>新产品， 30% commision</t>
  </si>
  <si>
    <r>
      <t>芝加哥所有行程（</t>
    </r>
    <r>
      <rPr>
        <b/>
        <sz val="11"/>
        <color indexed="12"/>
        <rFont val="Calibri"/>
        <family val="2"/>
      </rPr>
      <t>CA7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>AC6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 xml:space="preserve">AC7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 xml:space="preserve">CTD8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 xml:space="preserve">CTD7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>CND7</t>
    </r>
    <r>
      <rPr>
        <sz val="11"/>
        <color theme="1"/>
        <rFont val="Calibri"/>
        <family val="2"/>
        <scheme val="minor"/>
      </rPr>
      <t xml:space="preserve"> 、</t>
    </r>
    <r>
      <rPr>
        <b/>
        <sz val="11"/>
        <color indexed="12"/>
        <rFont val="Calibri"/>
        <family val="2"/>
      </rPr>
      <t>CN5</t>
    </r>
    <r>
      <rPr>
        <sz val="11"/>
        <color theme="1"/>
        <rFont val="Calibri"/>
        <family val="2"/>
        <scheme val="minor"/>
      </rPr>
      <t xml:space="preserve"> 、</t>
    </r>
    <r>
      <rPr>
        <b/>
        <sz val="11"/>
        <color indexed="12"/>
        <rFont val="Calibri"/>
        <family val="2"/>
      </rPr>
      <t xml:space="preserve">CH2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>CN6</t>
    </r>
    <r>
      <rPr>
        <sz val="11"/>
        <color theme="1"/>
        <rFont val="Calibri"/>
        <family val="2"/>
        <scheme val="minor"/>
      </rPr>
      <t xml:space="preserve"> 、</t>
    </r>
    <r>
      <rPr>
        <b/>
        <sz val="11"/>
        <color indexed="12"/>
        <rFont val="Calibri"/>
        <family val="2"/>
      </rPr>
      <t xml:space="preserve">CT4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 xml:space="preserve">CN3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 xml:space="preserve">CD2 </t>
    </r>
    <r>
      <rPr>
        <sz val="11"/>
        <color theme="1"/>
        <rFont val="Calibri"/>
        <family val="2"/>
        <scheme val="minor"/>
      </rPr>
      <t>、</t>
    </r>
    <r>
      <rPr>
        <b/>
        <sz val="11"/>
        <color indexed="12"/>
        <rFont val="Calibri"/>
        <family val="2"/>
      </rPr>
      <t xml:space="preserve">CH1 </t>
    </r>
    <r>
      <rPr>
        <sz val="11"/>
        <color theme="1"/>
        <rFont val="Calibri"/>
        <family val="2"/>
        <scheme val="minor"/>
      </rPr>
      <t xml:space="preserve">）佣金20%，做法和美東一樣。, </t>
    </r>
    <r>
      <rPr>
        <b/>
        <sz val="11"/>
        <color indexed="30"/>
        <rFont val="Calibri"/>
        <family val="2"/>
      </rPr>
      <t xml:space="preserve">CN6 </t>
    </r>
    <r>
      <rPr>
        <sz val="11"/>
        <rFont val="Calibri"/>
        <family val="2"/>
      </rPr>
      <t xml:space="preserve">从2013年5月23日起， 改为30%  ,  </t>
    </r>
    <r>
      <rPr>
        <b/>
        <sz val="11"/>
        <color indexed="62"/>
        <rFont val="Calibri"/>
        <family val="2"/>
      </rPr>
      <t>CN7</t>
    </r>
    <r>
      <rPr>
        <sz val="11"/>
        <rFont val="Calibri"/>
        <family val="2"/>
      </rPr>
      <t xml:space="preserve"> 同样是30%</t>
    </r>
  </si>
  <si>
    <t>需要上传的地方</t>
  </si>
  <si>
    <t>Miami+Bahamas Cruise 7 Days</t>
  </si>
  <si>
    <t>星期二出發 / Departure Every Tue. (Tour Code:MB7)</t>
  </si>
  <si>
    <t>DATE</t>
  </si>
  <si>
    <t>第一，二位 / 1st &amp; 2nd</t>
  </si>
  <si>
    <t>第三 </t>
  </si>
  <si>
    <t>3rd (同房)</t>
  </si>
  <si>
    <t>第四位</t>
  </si>
  <si>
    <t>4th (同房)</t>
  </si>
  <si>
    <t>單房 / SINGLE ROOM</t>
  </si>
  <si>
    <t>內艙</t>
  </si>
  <si>
    <t>陽台</t>
  </si>
  <si>
    <t>CALL</t>
  </si>
  <si>
    <t>Miami+Bahamas Cruise 8 Days</t>
  </si>
  <si>
    <t>星期五出發 / Departure Every Fir (Tour Code: MB8)</t>
  </si>
  <si>
    <t>第四位 </t>
  </si>
  <si>
    <t>West Palm Beach + Bahamas Cruise 8 Days</t>
  </si>
  <si>
    <t>星期一出發 / Departure Every Mon (Tour Code: WB8)</t>
  </si>
  <si>
    <t>West Palm Beach + Bahamas Cruise 9 Days</t>
  </si>
  <si>
    <t>星期四出發 / Departure Every Thu (Tour Code: WB9)</t>
  </si>
  <si>
    <t>MB8 卖价</t>
  </si>
  <si>
    <t>内仓</t>
  </si>
  <si>
    <t>一人</t>
  </si>
  <si>
    <t>两人</t>
  </si>
  <si>
    <t>三人</t>
  </si>
  <si>
    <t>四人</t>
  </si>
  <si>
    <t>小孩</t>
  </si>
  <si>
    <t>海景差价</t>
  </si>
  <si>
    <t>阳台差价</t>
  </si>
  <si>
    <t>MB7卖价</t>
  </si>
  <si>
    <t>WB8 卖价</t>
  </si>
  <si>
    <t>WB9卖价</t>
  </si>
  <si>
    <t>卖的方法均是地接报的底价*1.4</t>
  </si>
  <si>
    <t>普通价</t>
  </si>
  <si>
    <t>修要上传的价格</t>
  </si>
  <si>
    <t>地接卖价</t>
  </si>
  <si>
    <t>地接底价</t>
  </si>
  <si>
    <t>卖价 (有ROUND UP的）</t>
  </si>
  <si>
    <t>底价 （没ROUNDUP的）</t>
  </si>
  <si>
    <t>单人房</t>
  </si>
  <si>
    <t>第一，二人</t>
  </si>
  <si>
    <t>第三人</t>
  </si>
  <si>
    <t>第四人</t>
  </si>
  <si>
    <t>双人</t>
  </si>
  <si>
    <t>配房</t>
  </si>
  <si>
    <t>AP25-8D（豪华）</t>
  </si>
  <si>
    <t>AP25-8E（经济）</t>
  </si>
  <si>
    <t>AP22-11R</t>
  </si>
  <si>
    <t>AP22-11C</t>
  </si>
  <si>
    <t>30% Commission</t>
  </si>
  <si>
    <t>AP26-7</t>
  </si>
  <si>
    <t>AP30-8D</t>
  </si>
  <si>
    <t>AK13</t>
  </si>
  <si>
    <t>DC27-6D（豪华）</t>
  </si>
  <si>
    <t>DC27-6E（经济）</t>
  </si>
  <si>
    <t>PH27-6D（豪华）</t>
  </si>
  <si>
    <t>PH27-6E（经济）</t>
  </si>
  <si>
    <t>WH28-5D（豪华）</t>
  </si>
  <si>
    <t>WH28-5E（经济）</t>
  </si>
  <si>
    <t>AP7TM</t>
  </si>
  <si>
    <t>AP7TM 绿区 +130</t>
  </si>
  <si>
    <t>AP7TM 桔区 +80</t>
  </si>
  <si>
    <t>AP7TM 粉区 +50</t>
  </si>
  <si>
    <t>AP7TM 黄区 +30</t>
  </si>
  <si>
    <t>升级</t>
  </si>
  <si>
    <t>AP7BF</t>
  </si>
  <si>
    <t>201-1099</t>
  </si>
  <si>
    <t>201-1100</t>
  </si>
  <si>
    <t>201-413</t>
  </si>
  <si>
    <t>201-407</t>
  </si>
  <si>
    <t>201-401</t>
  </si>
  <si>
    <t>201-1101</t>
  </si>
  <si>
    <t>201-419</t>
  </si>
  <si>
    <t>201-417</t>
  </si>
  <si>
    <t>201-424</t>
  </si>
  <si>
    <t>201-425</t>
  </si>
  <si>
    <t>201-430</t>
  </si>
  <si>
    <t>201-429</t>
  </si>
  <si>
    <t>201-284</t>
  </si>
  <si>
    <t>201-2685</t>
  </si>
  <si>
    <t>201-3164</t>
  </si>
  <si>
    <t>节日价格12/17/2013-1/2/2014 （4晚）</t>
  </si>
  <si>
    <t>节日价格12/17/2013-1/2/2014 （3晚）</t>
  </si>
  <si>
    <t>节日价格12/17/2013-1/2/2014 （6晚）</t>
  </si>
  <si>
    <t>节日价格12/17/2013-1/2/2014 （7晚）</t>
  </si>
  <si>
    <t>节日价格12/17/2013-1/2/2014 （8晚）</t>
  </si>
  <si>
    <t>节日价格12/17/2013-1/2/2014 （5晚）</t>
  </si>
  <si>
    <t>节日价格12/16/2013-1/2/2014 （3晚）</t>
  </si>
  <si>
    <t>节日价格12/16/2013-1/2/2014 （5晚）</t>
  </si>
  <si>
    <t>节日价格12/16/2013-1/2/2014 （4晚）</t>
  </si>
  <si>
    <t>节日价格12/16/2013-1/2/2014 (7晚）</t>
  </si>
  <si>
    <t>节日价格12/16/2013-1/2/2014 (8晚）</t>
  </si>
  <si>
    <t>节日价格12/16/2013-1/2/2014 (6晚）</t>
  </si>
  <si>
    <t>节日价格我们每晚加20，地接成本每晚加15</t>
  </si>
  <si>
    <t>小数点的卖价要进位</t>
  </si>
  <si>
    <t>SK1</t>
  </si>
  <si>
    <t>SK2</t>
  </si>
  <si>
    <t>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</si>
</sst>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_ &quot;¥&quot;* #,##0.00_ ;_ &quot;¥&quot;* \-#,##0.00_ ;_ &quot;¥&quot;* &quot;-&quot;??_ ;_ @_ "/>
    <numFmt numFmtId="165" formatCode="&quot;$&quot;#,##0"/>
    <numFmt numFmtId="166" formatCode="&quot;$&quot;#,##0.00"/>
    <numFmt numFmtId="167" formatCode="_ &quot;￥&quot;* #,##0.00_ ;_ &quot;￥&quot;* \-#,##0.00_ ;_ &quot;￥&quot;* &quot;-&quot;??_ ;_ @_ "/>
    <numFmt numFmtId="168" formatCode="_([$$-409]* #,##0.00_);_([$$-409]* \(#,##0.00\);_([$$-409]* &quot;-&quot;??_);_(@_)"/>
  </numFmts>
  <fonts count="8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宋体"/>
      <charset val="134"/>
    </font>
    <font>
      <sz val="16"/>
      <color indexed="8"/>
      <name val="宋体"/>
      <charset val="134"/>
    </font>
    <font>
      <sz val="16"/>
      <color indexed="10"/>
      <name val="宋体"/>
      <charset val="134"/>
    </font>
    <font>
      <sz val="16"/>
      <color indexed="8"/>
      <name val="Times New Roman"/>
      <family val="1"/>
    </font>
    <font>
      <sz val="16"/>
      <color indexed="10"/>
      <name val="Calibri"/>
      <family val="2"/>
    </font>
    <font>
      <sz val="8"/>
      <color indexed="8"/>
      <name val="宋体"/>
      <charset val="134"/>
    </font>
    <font>
      <vertAlign val="superscript"/>
      <sz val="8"/>
      <color indexed="8"/>
      <name val="宋体"/>
      <charset val="134"/>
    </font>
    <font>
      <sz val="11"/>
      <color indexed="10"/>
      <name val="Calibri"/>
      <family val="2"/>
    </font>
    <font>
      <b/>
      <sz val="9"/>
      <color indexed="8"/>
      <name val="Calibri"/>
      <family val="2"/>
    </font>
    <font>
      <b/>
      <sz val="11"/>
      <color indexed="12"/>
      <name val="Calibri"/>
      <family val="2"/>
    </font>
    <font>
      <sz val="8"/>
      <color indexed="8"/>
      <name val="SimSun"/>
    </font>
    <font>
      <vertAlign val="superscript"/>
      <sz val="8"/>
      <color indexed="8"/>
      <name val="SimSun"/>
    </font>
    <font>
      <sz val="12"/>
      <color indexed="8"/>
      <name val="SimSun"/>
    </font>
    <font>
      <vertAlign val="superscript"/>
      <sz val="12"/>
      <color indexed="8"/>
      <name val="SimSun"/>
    </font>
    <font>
      <sz val="11"/>
      <name val="Calibri"/>
      <family val="2"/>
    </font>
    <font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1"/>
      <color indexed="6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4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4"/>
      <color theme="1"/>
      <name val="Calibri"/>
      <family val="2"/>
      <scheme val="minor"/>
    </font>
    <font>
      <sz val="10"/>
      <color theme="1"/>
      <name val="宋体"/>
      <charset val="134"/>
    </font>
    <font>
      <sz val="8"/>
      <color theme="1"/>
      <name val="宋体"/>
      <charset val="134"/>
    </font>
    <font>
      <b/>
      <sz val="8"/>
      <color theme="1"/>
      <name val="宋体"/>
      <charset val="134"/>
    </font>
    <font>
      <b/>
      <sz val="9"/>
      <color theme="1"/>
      <name val="Calibri"/>
      <family val="3"/>
      <charset val="134"/>
      <scheme val="minor"/>
    </font>
    <font>
      <sz val="12"/>
      <color theme="1"/>
      <name val="Calibri"/>
      <family val="2"/>
      <charset val="134"/>
      <scheme val="minor"/>
    </font>
    <font>
      <sz val="9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SimSun"/>
    </font>
    <font>
      <sz val="12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宋体"/>
      <charset val="134"/>
    </font>
    <font>
      <sz val="10"/>
      <color rgb="FF000000"/>
      <name val="SimSun"/>
    </font>
    <font>
      <sz val="8"/>
      <color rgb="FF000000"/>
      <name val="SimSun"/>
    </font>
    <font>
      <sz val="11"/>
      <color rgb="FF000000"/>
      <name val="Calibri"/>
      <family val="2"/>
      <scheme val="minor"/>
    </font>
    <font>
      <sz val="11"/>
      <color rgb="FF000000"/>
      <name val="SimSun"/>
    </font>
    <font>
      <sz val="12"/>
      <color rgb="FF000000"/>
      <name val="SimSun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imSun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SimSun"/>
    </font>
    <font>
      <sz val="12"/>
      <color rgb="FF000000"/>
      <name val="宋体"/>
      <charset val="134"/>
    </font>
    <font>
      <sz val="12"/>
      <color rgb="FF000000"/>
      <name val="Tahoma"/>
      <family val="2"/>
    </font>
    <font>
      <sz val="11"/>
      <color rgb="FF000000"/>
      <name val="宋体"/>
      <charset val="134"/>
    </font>
    <font>
      <sz val="9"/>
      <color rgb="FF000000"/>
      <name val="SimSun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0" fontId="23" fillId="0" borderId="0"/>
    <xf numFmtId="9" fontId="23" fillId="0" borderId="0" applyFont="0" applyFill="0" applyBorder="0" applyAlignment="0" applyProtection="0"/>
  </cellStyleXfs>
  <cellXfs count="3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26" fillId="0" borderId="1" xfId="0" applyFont="1" applyBorder="1"/>
    <xf numFmtId="165" fontId="26" fillId="0" borderId="1" xfId="0" applyNumberFormat="1" applyFont="1" applyBorder="1" applyAlignment="1">
      <alignment horizontal="center"/>
    </xf>
    <xf numFmtId="0" fontId="26" fillId="0" borderId="1" xfId="0" applyFont="1" applyFill="1" applyBorder="1"/>
    <xf numFmtId="0" fontId="26" fillId="0" borderId="0" xfId="0" applyFont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0" fontId="27" fillId="0" borderId="0" xfId="0" applyFont="1"/>
    <xf numFmtId="0" fontId="27" fillId="4" borderId="0" xfId="0" applyFont="1" applyFill="1"/>
    <xf numFmtId="0" fontId="27" fillId="0" borderId="0" xfId="0" applyFont="1" applyFill="1"/>
    <xf numFmtId="0" fontId="0" fillId="4" borderId="0" xfId="0" applyFill="1"/>
    <xf numFmtId="166" fontId="26" fillId="0" borderId="1" xfId="0" applyNumberFormat="1" applyFont="1" applyBorder="1" applyAlignment="1">
      <alignment horizontal="center"/>
    </xf>
    <xf numFmtId="0" fontId="0" fillId="0" borderId="0" xfId="0" applyFill="1" applyBorder="1"/>
    <xf numFmtId="4" fontId="26" fillId="0" borderId="1" xfId="0" applyNumberFormat="1" applyFont="1" applyFill="1" applyBorder="1" applyAlignment="1">
      <alignment horizontal="center"/>
    </xf>
    <xf numFmtId="0" fontId="0" fillId="0" borderId="0" xfId="0" applyFill="1"/>
    <xf numFmtId="4" fontId="26" fillId="0" borderId="2" xfId="0" applyNumberFormat="1" applyFont="1" applyFill="1" applyBorder="1" applyAlignment="1">
      <alignment horizontal="center"/>
    </xf>
    <xf numFmtId="0" fontId="28" fillId="0" borderId="0" xfId="0" applyFont="1"/>
    <xf numFmtId="0" fontId="26" fillId="0" borderId="0" xfId="0" applyFont="1" applyFill="1" applyBorder="1"/>
    <xf numFmtId="165" fontId="26" fillId="0" borderId="0" xfId="0" applyNumberFormat="1" applyFont="1" applyBorder="1" applyAlignment="1">
      <alignment horizontal="center"/>
    </xf>
    <xf numFmtId="4" fontId="26" fillId="0" borderId="0" xfId="0" applyNumberFormat="1" applyFont="1" applyBorder="1" applyAlignment="1">
      <alignment horizontal="center"/>
    </xf>
    <xf numFmtId="4" fontId="26" fillId="0" borderId="3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6" fontId="26" fillId="0" borderId="4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6" fillId="4" borderId="1" xfId="0" applyFont="1" applyFill="1" applyBorder="1"/>
    <xf numFmtId="0" fontId="26" fillId="4" borderId="1" xfId="0" applyFont="1" applyFill="1" applyBorder="1" applyAlignment="1">
      <alignment horizontal="center"/>
    </xf>
    <xf numFmtId="2" fontId="26" fillId="4" borderId="1" xfId="0" applyNumberFormat="1" applyFont="1" applyFill="1" applyBorder="1" applyAlignment="1">
      <alignment horizontal="center"/>
    </xf>
    <xf numFmtId="0" fontId="28" fillId="5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28" fillId="5" borderId="0" xfId="0" applyFont="1" applyFill="1" applyAlignment="1">
      <alignment horizontal="left"/>
    </xf>
    <xf numFmtId="0" fontId="29" fillId="0" borderId="5" xfId="0" applyFont="1" applyBorder="1" applyAlignment="1">
      <alignment horizontal="center"/>
    </xf>
    <xf numFmtId="0" fontId="28" fillId="0" borderId="1" xfId="0" applyFont="1" applyBorder="1"/>
    <xf numFmtId="0" fontId="26" fillId="5" borderId="1" xfId="0" applyFont="1" applyFill="1" applyBorder="1"/>
    <xf numFmtId="0" fontId="31" fillId="0" borderId="0" xfId="0" applyFont="1"/>
    <xf numFmtId="0" fontId="29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2" fontId="26" fillId="0" borderId="1" xfId="0" applyNumberFormat="1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0" fontId="26" fillId="0" borderId="0" xfId="0" applyFont="1" applyBorder="1"/>
    <xf numFmtId="0" fontId="0" fillId="6" borderId="0" xfId="0" applyFill="1"/>
    <xf numFmtId="0" fontId="32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0" fillId="0" borderId="1" xfId="0" applyFill="1" applyBorder="1"/>
    <xf numFmtId="0" fontId="34" fillId="0" borderId="1" xfId="0" applyFont="1" applyFill="1" applyBorder="1"/>
    <xf numFmtId="0" fontId="32" fillId="0" borderId="1" xfId="0" applyFont="1" applyFill="1" applyBorder="1"/>
    <xf numFmtId="0" fontId="32" fillId="0" borderId="1" xfId="0" applyFont="1" applyBorder="1"/>
    <xf numFmtId="0" fontId="34" fillId="0" borderId="1" xfId="0" applyFont="1" applyBorder="1"/>
    <xf numFmtId="165" fontId="0" fillId="0" borderId="1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4" fontId="0" fillId="0" borderId="1" xfId="0" applyNumberFormat="1" applyFont="1" applyBorder="1" applyAlignment="1">
      <alignment horizontal="center"/>
    </xf>
    <xf numFmtId="0" fontId="0" fillId="7" borderId="0" xfId="0" applyFill="1"/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35" fillId="0" borderId="1" xfId="0" applyNumberFormat="1" applyFont="1" applyBorder="1" applyAlignment="1">
      <alignment horizontal="left" wrapText="1"/>
    </xf>
    <xf numFmtId="165" fontId="35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35" fillId="0" borderId="1" xfId="0" applyFont="1" applyBorder="1" applyAlignment="1">
      <alignment wrapText="1"/>
    </xf>
    <xf numFmtId="0" fontId="35" fillId="0" borderId="1" xfId="0" applyFont="1" applyBorder="1" applyAlignment="1">
      <alignment horizontal="left" wrapText="1"/>
    </xf>
    <xf numFmtId="0" fontId="35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6" fillId="0" borderId="0" xfId="0" applyFont="1" applyBorder="1"/>
    <xf numFmtId="0" fontId="28" fillId="0" borderId="0" xfId="0" applyFont="1" applyBorder="1" applyAlignment="1">
      <alignment horizontal="center"/>
    </xf>
    <xf numFmtId="0" fontId="27" fillId="0" borderId="0" xfId="0" applyFont="1" applyBorder="1"/>
    <xf numFmtId="0" fontId="37" fillId="0" borderId="0" xfId="0" applyFont="1" applyBorder="1"/>
    <xf numFmtId="0" fontId="38" fillId="0" borderId="0" xfId="0" applyFont="1" applyBorder="1"/>
    <xf numFmtId="0" fontId="35" fillId="0" borderId="0" xfId="0" applyFont="1" applyBorder="1"/>
    <xf numFmtId="0" fontId="0" fillId="0" borderId="0" xfId="0" applyAlignment="1">
      <alignment horizontal="center"/>
    </xf>
    <xf numFmtId="0" fontId="39" fillId="0" borderId="0" xfId="0" applyFont="1"/>
    <xf numFmtId="0" fontId="39" fillId="4" borderId="0" xfId="0" applyFont="1" applyFill="1"/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4" fontId="0" fillId="0" borderId="0" xfId="0" applyNumberFormat="1" applyFont="1" applyBorder="1" applyAlignment="1">
      <alignment horizontal="center"/>
    </xf>
    <xf numFmtId="0" fontId="39" fillId="4" borderId="0" xfId="0" applyFont="1" applyFill="1" applyBorder="1"/>
    <xf numFmtId="0" fontId="28" fillId="7" borderId="0" xfId="0" applyFont="1" applyFill="1"/>
    <xf numFmtId="0" fontId="40" fillId="0" borderId="1" xfId="0" applyFont="1" applyFill="1" applyBorder="1"/>
    <xf numFmtId="0" fontId="40" fillId="0" borderId="1" xfId="0" applyFont="1" applyBorder="1"/>
    <xf numFmtId="0" fontId="41" fillId="0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7" borderId="0" xfId="0" applyFont="1" applyFill="1" applyBorder="1"/>
    <xf numFmtId="0" fontId="42" fillId="0" borderId="0" xfId="0" applyFont="1" applyBorder="1"/>
    <xf numFmtId="0" fontId="42" fillId="0" borderId="0" xfId="0" applyFont="1" applyFill="1" applyBorder="1"/>
    <xf numFmtId="0" fontId="43" fillId="7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4" fontId="26" fillId="0" borderId="5" xfId="0" applyNumberFormat="1" applyFont="1" applyBorder="1" applyAlignment="1">
      <alignment horizontal="center"/>
    </xf>
    <xf numFmtId="0" fontId="0" fillId="0" borderId="1" xfId="0" applyFont="1" applyFill="1" applyBorder="1" applyAlignment="1"/>
    <xf numFmtId="0" fontId="28" fillId="0" borderId="0" xfId="0" applyFont="1" applyFill="1"/>
    <xf numFmtId="0" fontId="39" fillId="4" borderId="6" xfId="0" applyFont="1" applyFill="1" applyBorder="1"/>
    <xf numFmtId="0" fontId="0" fillId="0" borderId="7" xfId="0" applyFill="1" applyBorder="1"/>
    <xf numFmtId="165" fontId="28" fillId="0" borderId="1" xfId="0" applyNumberFormat="1" applyFont="1" applyBorder="1" applyAlignment="1"/>
    <xf numFmtId="4" fontId="28" fillId="0" borderId="1" xfId="0" applyNumberFormat="1" applyFont="1" applyBorder="1" applyAlignment="1">
      <alignment horizontal="center"/>
    </xf>
    <xf numFmtId="0" fontId="28" fillId="8" borderId="0" xfId="0" applyFont="1" applyFill="1"/>
    <xf numFmtId="0" fontId="44" fillId="6" borderId="4" xfId="0" applyFont="1" applyFill="1" applyBorder="1" applyAlignment="1">
      <alignment horizontal="center"/>
    </xf>
    <xf numFmtId="0" fontId="44" fillId="6" borderId="4" xfId="0" applyFont="1" applyFill="1" applyBorder="1"/>
    <xf numFmtId="0" fontId="43" fillId="6" borderId="4" xfId="0" applyFont="1" applyFill="1" applyBorder="1"/>
    <xf numFmtId="0" fontId="28" fillId="6" borderId="0" xfId="0" applyFont="1" applyFill="1" applyAlignment="1">
      <alignment horizontal="center"/>
    </xf>
    <xf numFmtId="0" fontId="45" fillId="0" borderId="0" xfId="0" applyFont="1" applyFill="1"/>
    <xf numFmtId="0" fontId="0" fillId="8" borderId="0" xfId="0" applyFill="1"/>
    <xf numFmtId="0" fontId="28" fillId="8" borderId="0" xfId="0" applyFont="1" applyFill="1" applyAlignment="1">
      <alignment horizontal="center"/>
    </xf>
    <xf numFmtId="0" fontId="26" fillId="8" borderId="0" xfId="0" applyFont="1" applyFill="1" applyBorder="1"/>
    <xf numFmtId="4" fontId="26" fillId="0" borderId="0" xfId="0" applyNumberFormat="1" applyFont="1" applyFill="1" applyBorder="1" applyAlignment="1">
      <alignment horizontal="center"/>
    </xf>
    <xf numFmtId="0" fontId="29" fillId="0" borderId="0" xfId="0" applyFont="1" applyFill="1"/>
    <xf numFmtId="4" fontId="29" fillId="0" borderId="1" xfId="0" applyNumberFormat="1" applyFont="1" applyFill="1" applyBorder="1" applyAlignment="1">
      <alignment horizontal="center"/>
    </xf>
    <xf numFmtId="4" fontId="29" fillId="0" borderId="2" xfId="0" applyNumberFormat="1" applyFont="1" applyFill="1" applyBorder="1" applyAlignment="1">
      <alignment horizontal="center"/>
    </xf>
    <xf numFmtId="0" fontId="29" fillId="0" borderId="0" xfId="0" applyFont="1"/>
    <xf numFmtId="4" fontId="29" fillId="0" borderId="1" xfId="0" applyNumberFormat="1" applyFont="1" applyBorder="1" applyAlignment="1">
      <alignment horizontal="center"/>
    </xf>
    <xf numFmtId="0" fontId="29" fillId="0" borderId="1" xfId="0" applyFont="1" applyBorder="1"/>
    <xf numFmtId="0" fontId="46" fillId="0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0" fillId="0" borderId="0" xfId="0"/>
    <xf numFmtId="0" fontId="32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/>
    </xf>
    <xf numFmtId="0" fontId="47" fillId="0" borderId="1" xfId="0" applyFont="1" applyBorder="1" applyAlignment="1">
      <alignment horizontal="center" wrapText="1"/>
    </xf>
    <xf numFmtId="0" fontId="48" fillId="0" borderId="1" xfId="0" applyFont="1" applyBorder="1" applyAlignment="1">
      <alignment wrapText="1"/>
    </xf>
    <xf numFmtId="0" fontId="48" fillId="0" borderId="1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6" fontId="0" fillId="0" borderId="0" xfId="0" applyNumberFormat="1" applyBorder="1" applyAlignment="1">
      <alignment horizontal="center" wrapText="1"/>
    </xf>
    <xf numFmtId="0" fontId="36" fillId="0" borderId="0" xfId="0" applyFont="1" applyBorder="1" applyAlignment="1">
      <alignment horizontal="center"/>
    </xf>
    <xf numFmtId="4" fontId="0" fillId="0" borderId="1" xfId="0" applyNumberFormat="1" applyBorder="1"/>
    <xf numFmtId="4" fontId="0" fillId="0" borderId="1" xfId="0" applyNumberFormat="1" applyFill="1" applyBorder="1"/>
    <xf numFmtId="0" fontId="0" fillId="0" borderId="0" xfId="0" applyFill="1" applyAlignment="1">
      <alignment horizontal="center"/>
    </xf>
    <xf numFmtId="0" fontId="50" fillId="6" borderId="4" xfId="0" applyFont="1" applyFill="1" applyBorder="1"/>
    <xf numFmtId="0" fontId="34" fillId="6" borderId="0" xfId="0" applyFont="1" applyFill="1"/>
    <xf numFmtId="1" fontId="51" fillId="0" borderId="1" xfId="4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left"/>
    </xf>
    <xf numFmtId="165" fontId="0" fillId="0" borderId="0" xfId="0" applyNumberFormat="1" applyFont="1" applyBorder="1" applyAlignment="1">
      <alignment horizontal="left"/>
    </xf>
    <xf numFmtId="0" fontId="50" fillId="6" borderId="4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left" vertical="center"/>
    </xf>
    <xf numFmtId="0" fontId="40" fillId="0" borderId="0" xfId="0" applyFont="1"/>
    <xf numFmtId="0" fontId="52" fillId="0" borderId="0" xfId="0" applyFont="1"/>
    <xf numFmtId="0" fontId="28" fillId="0" borderId="0" xfId="0" applyFont="1" applyBorder="1"/>
    <xf numFmtId="0" fontId="30" fillId="5" borderId="5" xfId="0" applyFont="1" applyFill="1" applyBorder="1" applyAlignment="1">
      <alignment horizontal="center"/>
    </xf>
    <xf numFmtId="0" fontId="5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4" fontId="29" fillId="0" borderId="0" xfId="0" applyNumberFormat="1" applyFont="1" applyFill="1" applyBorder="1" applyAlignment="1">
      <alignment horizontal="center"/>
    </xf>
    <xf numFmtId="4" fontId="29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166" fontId="29" fillId="0" borderId="1" xfId="0" applyNumberFormat="1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26" fillId="9" borderId="1" xfId="0" applyFont="1" applyFill="1" applyBorder="1"/>
    <xf numFmtId="166" fontId="29" fillId="9" borderId="1" xfId="0" applyNumberFormat="1" applyFont="1" applyFill="1" applyBorder="1" applyAlignment="1">
      <alignment horizontal="center"/>
    </xf>
    <xf numFmtId="0" fontId="54" fillId="0" borderId="3" xfId="0" applyFont="1" applyFill="1" applyBorder="1"/>
    <xf numFmtId="0" fontId="54" fillId="0" borderId="1" xfId="0" applyFont="1" applyFill="1" applyBorder="1"/>
    <xf numFmtId="0" fontId="29" fillId="5" borderId="1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55" fillId="4" borderId="0" xfId="0" applyFont="1" applyFill="1" applyAlignment="1">
      <alignment horizontal="center"/>
    </xf>
    <xf numFmtId="0" fontId="55" fillId="4" borderId="0" xfId="0" applyFont="1" applyFill="1" applyBorder="1" applyAlignment="1">
      <alignment wrapText="1"/>
    </xf>
    <xf numFmtId="0" fontId="28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5" fillId="4" borderId="0" xfId="0" applyFont="1" applyFill="1" applyBorder="1"/>
    <xf numFmtId="166" fontId="0" fillId="0" borderId="0" xfId="0" applyNumberFormat="1" applyFill="1"/>
    <xf numFmtId="166" fontId="29" fillId="5" borderId="1" xfId="0" applyNumberFormat="1" applyFont="1" applyFill="1" applyBorder="1" applyAlignment="1">
      <alignment horizontal="center"/>
    </xf>
    <xf numFmtId="166" fontId="26" fillId="0" borderId="1" xfId="0" applyNumberFormat="1" applyFont="1" applyFill="1" applyBorder="1" applyAlignment="1">
      <alignment horizontal="center"/>
    </xf>
    <xf numFmtId="166" fontId="26" fillId="0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0" fillId="2" borderId="1" xfId="0" applyNumberFormat="1" applyFill="1" applyBorder="1" applyAlignment="1">
      <alignment horizontal="center"/>
    </xf>
    <xf numFmtId="166" fontId="26" fillId="0" borderId="0" xfId="0" applyNumberFormat="1" applyFont="1" applyBorder="1" applyAlignment="1">
      <alignment horizontal="center"/>
    </xf>
    <xf numFmtId="166" fontId="29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57" fillId="0" borderId="1" xfId="0" applyNumberFormat="1" applyFont="1" applyBorder="1" applyAlignment="1">
      <alignment horizontal="center"/>
    </xf>
    <xf numFmtId="166" fontId="28" fillId="0" borderId="0" xfId="0" applyNumberFormat="1" applyFont="1"/>
    <xf numFmtId="2" fontId="0" fillId="0" borderId="0" xfId="0" applyNumberFormat="1" applyAlignment="1">
      <alignment horizontal="center"/>
    </xf>
    <xf numFmtId="0" fontId="58" fillId="0" borderId="0" xfId="0" applyFont="1"/>
    <xf numFmtId="0" fontId="59" fillId="0" borderId="0" xfId="0" applyFont="1"/>
    <xf numFmtId="0" fontId="60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61" fillId="0" borderId="0" xfId="0" applyFont="1"/>
    <xf numFmtId="0" fontId="62" fillId="0" borderId="0" xfId="0" applyFont="1"/>
    <xf numFmtId="0" fontId="0" fillId="0" borderId="0" xfId="0" applyAlignment="1">
      <alignment horizontal="left"/>
    </xf>
    <xf numFmtId="0" fontId="0" fillId="0" borderId="7" xfId="0" applyFill="1" applyBorder="1" applyAlignment="1">
      <alignment wrapText="1"/>
    </xf>
    <xf numFmtId="0" fontId="32" fillId="0" borderId="0" xfId="0" applyFont="1" applyFill="1" applyBorder="1" applyAlignment="1">
      <alignment horizontal="left" vertical="center"/>
    </xf>
    <xf numFmtId="10" fontId="23" fillId="0" borderId="0" xfId="6" applyNumberFormat="1" applyFont="1"/>
    <xf numFmtId="166" fontId="26" fillId="4" borderId="1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23" fillId="0" borderId="0" xfId="1" applyNumberFormat="1" applyFont="1" applyAlignment="1">
      <alignment horizontal="center"/>
    </xf>
    <xf numFmtId="0" fontId="26" fillId="0" borderId="4" xfId="0" applyFont="1" applyFill="1" applyBorder="1"/>
    <xf numFmtId="166" fontId="0" fillId="0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3" fillId="0" borderId="9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5" fillId="0" borderId="9" xfId="0" applyFont="1" applyBorder="1" applyAlignment="1">
      <alignment vertical="center" wrapText="1"/>
    </xf>
    <xf numFmtId="6" fontId="65" fillId="0" borderId="10" xfId="0" applyNumberFormat="1" applyFont="1" applyBorder="1" applyAlignment="1">
      <alignment vertical="center" wrapText="1"/>
    </xf>
    <xf numFmtId="6" fontId="66" fillId="0" borderId="10" xfId="0" applyNumberFormat="1" applyFont="1" applyBorder="1" applyAlignment="1">
      <alignment vertical="center" wrapText="1"/>
    </xf>
    <xf numFmtId="0" fontId="67" fillId="0" borderId="9" xfId="0" applyFont="1" applyBorder="1" applyAlignment="1">
      <alignment vertical="center" wrapText="1"/>
    </xf>
    <xf numFmtId="0" fontId="67" fillId="0" borderId="10" xfId="0" applyFont="1" applyBorder="1" applyAlignment="1">
      <alignment vertical="center" wrapText="1"/>
    </xf>
    <xf numFmtId="6" fontId="67" fillId="0" borderId="10" xfId="0" applyNumberFormat="1" applyFont="1" applyBorder="1" applyAlignment="1">
      <alignment vertical="center" wrapText="1"/>
    </xf>
    <xf numFmtId="0" fontId="68" fillId="0" borderId="0" xfId="0" applyFont="1"/>
    <xf numFmtId="0" fontId="69" fillId="0" borderId="0" xfId="0" applyFont="1"/>
    <xf numFmtId="0" fontId="65" fillId="0" borderId="11" xfId="0" applyFont="1" applyFill="1" applyBorder="1" applyAlignment="1">
      <alignment vertical="center" wrapText="1"/>
    </xf>
    <xf numFmtId="6" fontId="67" fillId="0" borderId="12" xfId="0" applyNumberFormat="1" applyFont="1" applyFill="1" applyBorder="1" applyAlignment="1">
      <alignment vertical="center" wrapText="1"/>
    </xf>
    <xf numFmtId="0" fontId="64" fillId="0" borderId="10" xfId="0" applyFont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10" fontId="23" fillId="0" borderId="0" xfId="6" applyNumberFormat="1" applyFont="1"/>
    <xf numFmtId="0" fontId="63" fillId="0" borderId="1" xfId="0" applyFont="1" applyBorder="1" applyAlignment="1">
      <alignment vertical="center" wrapText="1"/>
    </xf>
    <xf numFmtId="0" fontId="64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 wrapText="1"/>
    </xf>
    <xf numFmtId="0" fontId="67" fillId="0" borderId="1" xfId="0" applyFont="1" applyBorder="1" applyAlignment="1">
      <alignment vertical="center" wrapText="1"/>
    </xf>
    <xf numFmtId="10" fontId="23" fillId="0" borderId="0" xfId="6" applyNumberFormat="1" applyFont="1"/>
    <xf numFmtId="8" fontId="65" fillId="0" borderId="10" xfId="0" applyNumberFormat="1" applyFont="1" applyFill="1" applyBorder="1" applyAlignment="1">
      <alignment vertical="center" wrapText="1"/>
    </xf>
    <xf numFmtId="8" fontId="29" fillId="0" borderId="1" xfId="5" applyNumberFormat="1" applyFont="1" applyFill="1" applyBorder="1" applyAlignment="1">
      <alignment horizontal="center"/>
    </xf>
    <xf numFmtId="8" fontId="66" fillId="0" borderId="10" xfId="0" applyNumberFormat="1" applyFont="1" applyFill="1" applyBorder="1" applyAlignment="1">
      <alignment vertical="center" wrapText="1"/>
    </xf>
    <xf numFmtId="6" fontId="0" fillId="0" borderId="1" xfId="0" applyNumberFormat="1" applyFill="1" applyBorder="1"/>
    <xf numFmtId="2" fontId="0" fillId="0" borderId="1" xfId="0" applyNumberFormat="1" applyFill="1" applyBorder="1"/>
    <xf numFmtId="6" fontId="67" fillId="0" borderId="10" xfId="0" applyNumberFormat="1" applyFont="1" applyFill="1" applyBorder="1" applyAlignment="1">
      <alignment vertical="center" wrapText="1"/>
    </xf>
    <xf numFmtId="8" fontId="0" fillId="0" borderId="1" xfId="0" applyNumberFormat="1" applyFill="1" applyBorder="1"/>
    <xf numFmtId="6" fontId="70" fillId="0" borderId="18" xfId="0" applyNumberFormat="1" applyFont="1" applyBorder="1" applyAlignment="1">
      <alignment horizontal="center" vertical="center" wrapText="1"/>
    </xf>
    <xf numFmtId="6" fontId="70" fillId="0" borderId="19" xfId="0" applyNumberFormat="1" applyFont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4" xfId="0" applyFont="1" applyFill="1" applyBorder="1"/>
    <xf numFmtId="9" fontId="0" fillId="4" borderId="0" xfId="0" applyNumberFormat="1" applyFill="1"/>
    <xf numFmtId="9" fontId="39" fillId="4" borderId="0" xfId="0" applyNumberFormat="1" applyFont="1" applyFill="1"/>
    <xf numFmtId="0" fontId="25" fillId="0" borderId="0" xfId="3"/>
    <xf numFmtId="4" fontId="71" fillId="0" borderId="1" xfId="0" applyNumberFormat="1" applyFont="1" applyFill="1" applyBorder="1" applyAlignment="1">
      <alignment horizontal="center"/>
    </xf>
    <xf numFmtId="0" fontId="43" fillId="0" borderId="4" xfId="0" applyFont="1" applyFill="1" applyBorder="1"/>
    <xf numFmtId="168" fontId="50" fillId="0" borderId="4" xfId="1" applyNumberFormat="1" applyFont="1" applyFill="1" applyBorder="1"/>
    <xf numFmtId="168" fontId="50" fillId="0" borderId="4" xfId="0" applyNumberFormat="1" applyFont="1" applyFill="1" applyBorder="1"/>
    <xf numFmtId="0" fontId="50" fillId="0" borderId="4" xfId="0" applyFont="1" applyFill="1" applyBorder="1"/>
    <xf numFmtId="0" fontId="50" fillId="0" borderId="4" xfId="0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72" fillId="10" borderId="20" xfId="0" applyFont="1" applyFill="1" applyBorder="1" applyAlignment="1">
      <alignment wrapText="1"/>
    </xf>
    <xf numFmtId="0" fontId="72" fillId="11" borderId="21" xfId="0" applyFont="1" applyFill="1" applyBorder="1" applyAlignment="1">
      <alignment wrapText="1"/>
    </xf>
    <xf numFmtId="0" fontId="72" fillId="10" borderId="22" xfId="0" applyFont="1" applyFill="1" applyBorder="1" applyAlignment="1">
      <alignment wrapText="1"/>
    </xf>
    <xf numFmtId="0" fontId="73" fillId="10" borderId="22" xfId="0" applyFont="1" applyFill="1" applyBorder="1" applyAlignment="1">
      <alignment horizontal="center" vertical="center" wrapText="1"/>
    </xf>
    <xf numFmtId="0" fontId="0" fillId="0" borderId="21" xfId="0" applyBorder="1"/>
    <xf numFmtId="0" fontId="74" fillId="10" borderId="23" xfId="0" applyFont="1" applyFill="1" applyBorder="1" applyAlignment="1">
      <alignment horizontal="center" vertical="center" wrapText="1" readingOrder="1"/>
    </xf>
    <xf numFmtId="0" fontId="74" fillId="10" borderId="24" xfId="0" applyFont="1" applyFill="1" applyBorder="1" applyAlignment="1">
      <alignment horizontal="center" vertical="center" wrapText="1" readingOrder="1"/>
    </xf>
    <xf numFmtId="0" fontId="72" fillId="10" borderId="22" xfId="0" applyFont="1" applyFill="1" applyBorder="1" applyAlignment="1">
      <alignment horizontal="right" vertical="center" wrapText="1"/>
    </xf>
    <xf numFmtId="0" fontId="74" fillId="10" borderId="25" xfId="0" applyFont="1" applyFill="1" applyBorder="1" applyAlignment="1">
      <alignment horizontal="center" vertical="center" wrapText="1" readingOrder="1"/>
    </xf>
    <xf numFmtId="0" fontId="72" fillId="10" borderId="22" xfId="0" applyFont="1" applyFill="1" applyBorder="1" applyAlignment="1">
      <alignment horizontal="center" vertical="center" wrapText="1"/>
    </xf>
    <xf numFmtId="14" fontId="74" fillId="10" borderId="26" xfId="0" applyNumberFormat="1" applyFont="1" applyFill="1" applyBorder="1" applyAlignment="1">
      <alignment horizontal="center" vertical="center" wrapText="1"/>
    </xf>
    <xf numFmtId="6" fontId="74" fillId="10" borderId="22" xfId="0" applyNumberFormat="1" applyFont="1" applyFill="1" applyBorder="1" applyAlignment="1">
      <alignment horizontal="center" wrapText="1"/>
    </xf>
    <xf numFmtId="0" fontId="74" fillId="10" borderId="27" xfId="0" applyFont="1" applyFill="1" applyBorder="1" applyAlignment="1">
      <alignment horizontal="center" wrapText="1" readingOrder="1"/>
    </xf>
    <xf numFmtId="6" fontId="74" fillId="10" borderId="27" xfId="0" applyNumberFormat="1" applyFont="1" applyFill="1" applyBorder="1" applyAlignment="1">
      <alignment horizontal="center" wrapText="1"/>
    </xf>
    <xf numFmtId="6" fontId="74" fillId="10" borderId="22" xfId="0" applyNumberFormat="1" applyFont="1" applyFill="1" applyBorder="1" applyAlignment="1">
      <alignment horizontal="right" wrapText="1"/>
    </xf>
    <xf numFmtId="6" fontId="74" fillId="10" borderId="27" xfId="0" applyNumberFormat="1" applyFont="1" applyFill="1" applyBorder="1" applyAlignment="1">
      <alignment horizontal="right" wrapText="1"/>
    </xf>
    <xf numFmtId="0" fontId="75" fillId="10" borderId="22" xfId="0" applyFont="1" applyFill="1" applyBorder="1" applyAlignment="1">
      <alignment horizontal="center" vertical="center" wrapText="1"/>
    </xf>
    <xf numFmtId="0" fontId="75" fillId="10" borderId="22" xfId="0" applyFont="1" applyFill="1" applyBorder="1" applyAlignment="1">
      <alignment horizontal="center" wrapText="1"/>
    </xf>
    <xf numFmtId="0" fontId="76" fillId="10" borderId="21" xfId="0" applyFont="1" applyFill="1" applyBorder="1" applyAlignment="1">
      <alignment horizontal="center" vertical="center" wrapText="1"/>
    </xf>
    <xf numFmtId="0" fontId="72" fillId="10" borderId="21" xfId="0" applyFont="1" applyFill="1" applyBorder="1" applyAlignment="1">
      <alignment horizontal="center" vertical="center" wrapText="1"/>
    </xf>
    <xf numFmtId="0" fontId="72" fillId="10" borderId="21" xfId="0" applyFont="1" applyFill="1" applyBorder="1" applyAlignment="1">
      <alignment wrapText="1"/>
    </xf>
    <xf numFmtId="0" fontId="74" fillId="10" borderId="21" xfId="0" applyFont="1" applyFill="1" applyBorder="1" applyAlignment="1">
      <alignment wrapText="1"/>
    </xf>
    <xf numFmtId="14" fontId="74" fillId="10" borderId="26" xfId="0" applyNumberFormat="1" applyFont="1" applyFill="1" applyBorder="1" applyAlignment="1">
      <alignment horizontal="right" vertical="center" wrapText="1"/>
    </xf>
    <xf numFmtId="0" fontId="74" fillId="10" borderId="26" xfId="0" applyFont="1" applyFill="1" applyBorder="1" applyAlignment="1">
      <alignment horizontal="right" vertical="center" wrapText="1"/>
    </xf>
    <xf numFmtId="0" fontId="74" fillId="10" borderId="22" xfId="0" applyFont="1" applyFill="1" applyBorder="1" applyAlignment="1">
      <alignment horizontal="center" wrapText="1"/>
    </xf>
    <xf numFmtId="0" fontId="74" fillId="10" borderId="27" xfId="0" applyFont="1" applyFill="1" applyBorder="1" applyAlignment="1">
      <alignment horizontal="center" wrapText="1"/>
    </xf>
    <xf numFmtId="14" fontId="74" fillId="10" borderId="28" xfId="0" applyNumberFormat="1" applyFont="1" applyFill="1" applyBorder="1" applyAlignment="1">
      <alignment horizontal="right" wrapText="1"/>
    </xf>
    <xf numFmtId="6" fontId="74" fillId="10" borderId="24" xfId="0" applyNumberFormat="1" applyFont="1" applyFill="1" applyBorder="1" applyAlignment="1">
      <alignment horizontal="center" wrapText="1"/>
    </xf>
    <xf numFmtId="0" fontId="74" fillId="10" borderId="24" xfId="0" applyFont="1" applyFill="1" applyBorder="1" applyAlignment="1">
      <alignment horizontal="center" wrapText="1" readingOrder="1"/>
    </xf>
    <xf numFmtId="0" fontId="74" fillId="10" borderId="29" xfId="0" applyFont="1" applyFill="1" applyBorder="1" applyAlignment="1">
      <alignment wrapText="1"/>
    </xf>
    <xf numFmtId="0" fontId="72" fillId="10" borderId="28" xfId="0" applyFont="1" applyFill="1" applyBorder="1" applyAlignment="1">
      <alignment wrapText="1"/>
    </xf>
    <xf numFmtId="0" fontId="72" fillId="10" borderId="24" xfId="0" applyFont="1" applyFill="1" applyBorder="1" applyAlignment="1">
      <alignment horizontal="center" wrapText="1"/>
    </xf>
    <xf numFmtId="0" fontId="74" fillId="10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6" fontId="72" fillId="2" borderId="21" xfId="0" applyNumberFormat="1" applyFont="1" applyFill="1" applyBorder="1" applyAlignment="1">
      <alignment horizontal="center" wrapText="1"/>
    </xf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74" fillId="10" borderId="28" xfId="0" applyNumberFormat="1" applyFont="1" applyFill="1" applyBorder="1" applyAlignment="1">
      <alignment horizontal="center" wrapText="1"/>
    </xf>
    <xf numFmtId="0" fontId="77" fillId="0" borderId="0" xfId="0" applyFont="1"/>
    <xf numFmtId="2" fontId="0" fillId="3" borderId="0" xfId="0" applyNumberFormat="1" applyFill="1" applyAlignment="1">
      <alignment horizontal="center"/>
    </xf>
    <xf numFmtId="0" fontId="78" fillId="0" borderId="0" xfId="0" applyFont="1"/>
    <xf numFmtId="2" fontId="0" fillId="0" borderId="0" xfId="0" applyNumberFormat="1" applyFill="1"/>
    <xf numFmtId="0" fontId="79" fillId="0" borderId="0" xfId="0" applyFont="1"/>
    <xf numFmtId="0" fontId="80" fillId="0" borderId="0" xfId="0" applyFont="1"/>
    <xf numFmtId="0" fontId="80" fillId="0" borderId="0" xfId="0" applyFont="1" applyBorder="1"/>
    <xf numFmtId="2" fontId="0" fillId="0" borderId="0" xfId="0" applyNumberFormat="1" applyFill="1" applyAlignment="1">
      <alignment horizontal="center"/>
    </xf>
    <xf numFmtId="0" fontId="55" fillId="0" borderId="0" xfId="0" applyFont="1" applyFill="1" applyBorder="1"/>
    <xf numFmtId="0" fontId="65" fillId="3" borderId="9" xfId="0" applyFont="1" applyFill="1" applyBorder="1" applyAlignment="1">
      <alignment vertical="center" wrapText="1"/>
    </xf>
    <xf numFmtId="0" fontId="65" fillId="0" borderId="11" xfId="0" applyFont="1" applyBorder="1" applyAlignment="1">
      <alignment vertical="center" wrapText="1"/>
    </xf>
    <xf numFmtId="0" fontId="67" fillId="3" borderId="9" xfId="0" applyFont="1" applyFill="1" applyBorder="1" applyAlignment="1">
      <alignment vertical="center" wrapText="1"/>
    </xf>
    <xf numFmtId="6" fontId="65" fillId="0" borderId="12" xfId="0" applyNumberFormat="1" applyFont="1" applyBorder="1" applyAlignment="1">
      <alignment vertical="center" wrapText="1"/>
    </xf>
    <xf numFmtId="8" fontId="65" fillId="0" borderId="12" xfId="0" applyNumberFormat="1" applyFont="1" applyFill="1" applyBorder="1" applyAlignment="1">
      <alignment vertical="center" wrapText="1"/>
    </xf>
    <xf numFmtId="8" fontId="29" fillId="0" borderId="4" xfId="5" applyNumberFormat="1" applyFont="1" applyFill="1" applyBorder="1" applyAlignment="1">
      <alignment horizontal="center"/>
    </xf>
    <xf numFmtId="0" fontId="65" fillId="0" borderId="4" xfId="0" applyFont="1" applyBorder="1" applyAlignment="1">
      <alignment vertical="center" wrapText="1"/>
    </xf>
    <xf numFmtId="8" fontId="0" fillId="0" borderId="4" xfId="0" applyNumberFormat="1" applyFill="1" applyBorder="1"/>
    <xf numFmtId="0" fontId="65" fillId="3" borderId="1" xfId="0" applyFont="1" applyFill="1" applyBorder="1" applyAlignment="1">
      <alignment vertical="center" wrapText="1"/>
    </xf>
    <xf numFmtId="6" fontId="65" fillId="0" borderId="1" xfId="0" applyNumberFormat="1" applyFont="1" applyBorder="1" applyAlignment="1">
      <alignment vertical="center" wrapText="1"/>
    </xf>
    <xf numFmtId="8" fontId="65" fillId="0" borderId="1" xfId="0" applyNumberFormat="1" applyFont="1" applyFill="1" applyBorder="1" applyAlignment="1">
      <alignment vertical="center" wrapText="1"/>
    </xf>
    <xf numFmtId="10" fontId="23" fillId="0" borderId="1" xfId="6" applyNumberFormat="1" applyFont="1" applyBorder="1"/>
    <xf numFmtId="6" fontId="65" fillId="0" borderId="2" xfId="0" applyNumberFormat="1" applyFont="1" applyBorder="1" applyAlignment="1">
      <alignment vertical="center" wrapText="1"/>
    </xf>
    <xf numFmtId="0" fontId="0" fillId="0" borderId="2" xfId="0" applyBorder="1"/>
    <xf numFmtId="0" fontId="0" fillId="0" borderId="6" xfId="0" applyBorder="1"/>
    <xf numFmtId="0" fontId="67" fillId="3" borderId="13" xfId="0" applyFont="1" applyFill="1" applyBorder="1" applyAlignment="1">
      <alignment vertical="center" wrapText="1"/>
    </xf>
    <xf numFmtId="6" fontId="67" fillId="0" borderId="12" xfId="0" applyNumberFormat="1" applyFont="1" applyBorder="1" applyAlignment="1">
      <alignment vertical="center" wrapText="1"/>
    </xf>
    <xf numFmtId="0" fontId="67" fillId="0" borderId="11" xfId="0" applyFont="1" applyBorder="1" applyAlignment="1">
      <alignment vertical="center" wrapText="1"/>
    </xf>
    <xf numFmtId="6" fontId="67" fillId="0" borderId="1" xfId="0" applyNumberFormat="1" applyFont="1" applyFill="1" applyBorder="1" applyAlignment="1">
      <alignment vertical="center" wrapText="1"/>
    </xf>
    <xf numFmtId="0" fontId="0" fillId="12" borderId="0" xfId="0" applyFill="1"/>
    <xf numFmtId="0" fontId="0" fillId="12" borderId="1" xfId="0" applyFill="1" applyBorder="1"/>
    <xf numFmtId="0" fontId="26" fillId="12" borderId="1" xfId="0" applyFont="1" applyFill="1" applyBorder="1"/>
    <xf numFmtId="0" fontId="29" fillId="12" borderId="1" xfId="0" applyFont="1" applyFill="1" applyBorder="1" applyAlignment="1">
      <alignment horizontal="center"/>
    </xf>
    <xf numFmtId="166" fontId="26" fillId="12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0" fillId="0" borderId="0" xfId="0" applyAlignment="1"/>
    <xf numFmtId="0" fontId="3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0" fontId="81" fillId="0" borderId="14" xfId="0" applyFont="1" applyBorder="1" applyAlignment="1">
      <alignment vertical="center" wrapText="1"/>
    </xf>
    <xf numFmtId="0" fontId="81" fillId="0" borderId="15" xfId="0" applyFont="1" applyBorder="1" applyAlignment="1">
      <alignment vertical="center" wrapText="1"/>
    </xf>
    <xf numFmtId="0" fontId="81" fillId="0" borderId="16" xfId="0" applyFont="1" applyBorder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0" fontId="67" fillId="0" borderId="15" xfId="0" applyFont="1" applyBorder="1" applyAlignment="1">
      <alignment vertical="center" wrapText="1"/>
    </xf>
    <xf numFmtId="0" fontId="67" fillId="0" borderId="16" xfId="0" applyFont="1" applyBorder="1" applyAlignment="1">
      <alignment vertical="center" wrapText="1"/>
    </xf>
    <xf numFmtId="0" fontId="82" fillId="10" borderId="34" xfId="0" applyFont="1" applyFill="1" applyBorder="1" applyAlignment="1">
      <alignment horizontal="center" vertical="center" wrapText="1" readingOrder="1"/>
    </xf>
    <xf numFmtId="0" fontId="82" fillId="10" borderId="19" xfId="0" applyFont="1" applyFill="1" applyBorder="1" applyAlignment="1">
      <alignment horizontal="center" vertical="center" wrapText="1" readingOrder="1"/>
    </xf>
    <xf numFmtId="0" fontId="82" fillId="10" borderId="36" xfId="0" applyFont="1" applyFill="1" applyBorder="1" applyAlignment="1">
      <alignment horizontal="center" vertical="center" wrapText="1" readingOrder="1"/>
    </xf>
    <xf numFmtId="0" fontId="82" fillId="10" borderId="24" xfId="0" applyFont="1" applyFill="1" applyBorder="1" applyAlignment="1">
      <alignment horizontal="center" vertical="center" wrapText="1" readingOrder="1"/>
    </xf>
    <xf numFmtId="0" fontId="83" fillId="10" borderId="35" xfId="0" applyFont="1" applyFill="1" applyBorder="1" applyAlignment="1">
      <alignment horizontal="center" vertical="center" wrapText="1" readingOrder="1"/>
    </xf>
    <xf numFmtId="0" fontId="83" fillId="10" borderId="36" xfId="0" applyFont="1" applyFill="1" applyBorder="1" applyAlignment="1">
      <alignment horizontal="center" vertical="center" wrapText="1" readingOrder="1"/>
    </xf>
    <xf numFmtId="0" fontId="83" fillId="10" borderId="24" xfId="0" applyFont="1" applyFill="1" applyBorder="1" applyAlignment="1">
      <alignment horizontal="center" vertical="center" wrapText="1" readingOrder="1"/>
    </xf>
    <xf numFmtId="0" fontId="74" fillId="10" borderId="30" xfId="0" applyFont="1" applyFill="1" applyBorder="1" applyAlignment="1">
      <alignment horizontal="center" vertical="center" wrapText="1" readingOrder="1"/>
    </xf>
    <xf numFmtId="0" fontId="74" fillId="10" borderId="28" xfId="0" applyFont="1" applyFill="1" applyBorder="1" applyAlignment="1">
      <alignment horizontal="center" vertical="center" wrapText="1" readingOrder="1"/>
    </xf>
    <xf numFmtId="0" fontId="84" fillId="10" borderId="31" xfId="0" applyFont="1" applyFill="1" applyBorder="1" applyAlignment="1">
      <alignment horizontal="center" vertical="center" wrapText="1" readingOrder="1"/>
    </xf>
    <xf numFmtId="0" fontId="84" fillId="10" borderId="32" xfId="0" applyFont="1" applyFill="1" applyBorder="1" applyAlignment="1">
      <alignment horizontal="center" vertical="center" wrapText="1" readingOrder="1"/>
    </xf>
    <xf numFmtId="0" fontId="84" fillId="10" borderId="33" xfId="0" applyFont="1" applyFill="1" applyBorder="1" applyAlignment="1">
      <alignment horizontal="center" vertical="center" wrapText="1" readingOrder="1"/>
    </xf>
    <xf numFmtId="0" fontId="74" fillId="10" borderId="31" xfId="0" applyFont="1" applyFill="1" applyBorder="1" applyAlignment="1">
      <alignment horizontal="center" vertical="center" wrapText="1" readingOrder="1"/>
    </xf>
    <xf numFmtId="0" fontId="74" fillId="10" borderId="32" xfId="0" applyFont="1" applyFill="1" applyBorder="1" applyAlignment="1">
      <alignment horizontal="center" vertical="center" wrapText="1" readingOrder="1"/>
    </xf>
    <xf numFmtId="0" fontId="74" fillId="10" borderId="33" xfId="0" applyFont="1" applyFill="1" applyBorder="1" applyAlignment="1">
      <alignment horizontal="center" vertical="center" wrapText="1" readingOrder="1"/>
    </xf>
    <xf numFmtId="0" fontId="74" fillId="10" borderId="30" xfId="0" applyFont="1" applyFill="1" applyBorder="1" applyAlignment="1">
      <alignment horizontal="right" vertical="center" wrapText="1" readingOrder="1"/>
    </xf>
    <xf numFmtId="0" fontId="74" fillId="10" borderId="28" xfId="0" applyFont="1" applyFill="1" applyBorder="1" applyAlignment="1">
      <alignment horizontal="right" vertical="center" wrapText="1" readingOrder="1"/>
    </xf>
    <xf numFmtId="0" fontId="85" fillId="7" borderId="17" xfId="0" applyFont="1" applyFill="1" applyBorder="1" applyAlignment="1">
      <alignment horizontal="left"/>
    </xf>
    <xf numFmtId="0" fontId="29" fillId="7" borderId="17" xfId="0" applyFont="1" applyFill="1" applyBorder="1" applyAlignment="1">
      <alignment horizontal="left"/>
    </xf>
    <xf numFmtId="9" fontId="0" fillId="0" borderId="0" xfId="0" applyNumberFormat="1"/>
  </cellXfs>
  <cellStyles count="7">
    <cellStyle name="Currency" xfId="1" builtinId="4"/>
    <cellStyle name="Currency 2" xfId="2"/>
    <cellStyle name="Hyperlink" xfId="3" builtinId="8"/>
    <cellStyle name="Normal" xfId="0" builtinId="0"/>
    <cellStyle name="Normal 2" xfId="4"/>
    <cellStyle name="Normal 2 2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dong16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2"/>
  <sheetViews>
    <sheetView workbookViewId="0">
      <pane ySplit="5" topLeftCell="A84" activePane="bottomLeft" state="frozen"/>
      <selection pane="bottomLeft" activeCell="C89" sqref="C89"/>
    </sheetView>
  </sheetViews>
  <sheetFormatPr defaultRowHeight="25.5" customHeight="1"/>
  <cols>
    <col min="1" max="1" width="22.140625" customWidth="1"/>
    <col min="2" max="2" width="14.28515625" customWidth="1"/>
    <col min="3" max="3" width="36" bestFit="1" customWidth="1"/>
    <col min="4" max="4" width="10.7109375" customWidth="1"/>
    <col min="5" max="5" width="10.85546875" customWidth="1"/>
    <col min="6" max="6" width="11.28515625" customWidth="1"/>
    <col min="7" max="7" width="21.140625" bestFit="1" customWidth="1"/>
    <col min="8" max="9" width="12.28515625" customWidth="1"/>
    <col min="10" max="10" width="5.140625" customWidth="1"/>
    <col min="11" max="11" width="12" customWidth="1"/>
    <col min="12" max="12" width="11.85546875" customWidth="1"/>
    <col min="13" max="13" width="11" customWidth="1"/>
    <col min="14" max="14" width="10.85546875" customWidth="1"/>
    <col min="15" max="15" width="12.140625" customWidth="1"/>
    <col min="16" max="16" width="35" style="129" bestFit="1" customWidth="1"/>
    <col min="17" max="17" width="14.28515625" customWidth="1"/>
    <col min="18" max="18" width="24.5703125" customWidth="1"/>
  </cols>
  <sheetData>
    <row r="2" spans="1:16" ht="25.5" customHeight="1">
      <c r="C2" s="12" t="s">
        <v>57</v>
      </c>
      <c r="D2" s="12" t="s">
        <v>58</v>
      </c>
      <c r="E2" s="12"/>
      <c r="G2" s="129" t="s">
        <v>263</v>
      </c>
      <c r="J2" s="4"/>
      <c r="K2" t="s">
        <v>340</v>
      </c>
    </row>
    <row r="3" spans="1:16" ht="25.5" customHeight="1">
      <c r="C3" s="13"/>
      <c r="D3" s="13"/>
      <c r="E3" s="13"/>
    </row>
    <row r="4" spans="1:16" ht="25.5" customHeight="1">
      <c r="C4" s="11" t="s">
        <v>59</v>
      </c>
      <c r="K4" s="11" t="s">
        <v>60</v>
      </c>
    </row>
    <row r="5" spans="1:16" ht="25.5" customHeight="1">
      <c r="A5" s="42" t="s">
        <v>100</v>
      </c>
      <c r="B5" s="32" t="s">
        <v>89</v>
      </c>
      <c r="C5" s="2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K5" s="3" t="s">
        <v>1</v>
      </c>
      <c r="L5" s="3" t="s">
        <v>2</v>
      </c>
      <c r="M5" s="3" t="s">
        <v>3</v>
      </c>
      <c r="N5" s="3" t="s">
        <v>4</v>
      </c>
      <c r="O5" s="3" t="s">
        <v>6</v>
      </c>
      <c r="P5" s="161" t="s">
        <v>262</v>
      </c>
    </row>
    <row r="6" spans="1:16" s="129" customFormat="1" ht="25.5" customHeight="1">
      <c r="A6" s="156"/>
      <c r="B6" s="157"/>
      <c r="C6" s="158">
        <v>5</v>
      </c>
      <c r="D6" s="159"/>
      <c r="E6" s="159"/>
      <c r="F6" s="159"/>
      <c r="G6" s="159"/>
      <c r="H6" s="159"/>
      <c r="I6" s="159"/>
      <c r="J6" s="38"/>
      <c r="K6" s="159"/>
      <c r="L6" s="159"/>
      <c r="M6" s="159"/>
      <c r="N6" s="160"/>
      <c r="O6" s="159"/>
      <c r="P6" s="162"/>
    </row>
    <row r="7" spans="1:16" ht="25.5" customHeight="1">
      <c r="A7" s="38" t="s">
        <v>101</v>
      </c>
      <c r="B7" s="41">
        <v>166</v>
      </c>
      <c r="C7" s="7" t="s">
        <v>8</v>
      </c>
      <c r="D7" s="167">
        <v>600</v>
      </c>
      <c r="E7" s="167">
        <v>430</v>
      </c>
      <c r="F7" s="167">
        <f>E7*2/3</f>
        <v>286.66666666666669</v>
      </c>
      <c r="G7" s="167">
        <f>E7*2/4</f>
        <v>215</v>
      </c>
      <c r="H7" s="167">
        <v>265</v>
      </c>
      <c r="I7" s="167">
        <v>495</v>
      </c>
      <c r="J7" s="117"/>
      <c r="K7" s="118">
        <f>D7*0.7</f>
        <v>420</v>
      </c>
      <c r="L7" s="118">
        <f>E7*0.7</f>
        <v>301</v>
      </c>
      <c r="M7" s="118">
        <f>E7*2*0.7/3</f>
        <v>200.66666666666666</v>
      </c>
      <c r="N7" s="119">
        <f>E7*2*0.7/4</f>
        <v>150.5</v>
      </c>
      <c r="O7" s="118">
        <f>I7*0.7</f>
        <v>346.5</v>
      </c>
      <c r="P7" s="163" t="s">
        <v>242</v>
      </c>
    </row>
    <row r="8" spans="1:16" ht="25.5" customHeight="1">
      <c r="A8" s="37" t="s">
        <v>101</v>
      </c>
      <c r="B8" s="168">
        <v>215</v>
      </c>
      <c r="C8" s="169" t="s">
        <v>241</v>
      </c>
      <c r="D8" s="170">
        <v>502</v>
      </c>
      <c r="E8" s="170">
        <v>352</v>
      </c>
      <c r="F8" s="170">
        <f>E8*2/3</f>
        <v>234.66666666666666</v>
      </c>
      <c r="G8" s="170">
        <f>E8*2/4</f>
        <v>176</v>
      </c>
      <c r="H8" s="170">
        <v>267</v>
      </c>
      <c r="I8" s="170">
        <v>417</v>
      </c>
      <c r="J8" s="117"/>
      <c r="K8" s="118">
        <f t="shared" ref="K8:K63" si="0">D8*0.7</f>
        <v>351.4</v>
      </c>
      <c r="L8" s="118">
        <f t="shared" ref="L8:L63" si="1">E8*0.7</f>
        <v>246.39999999999998</v>
      </c>
      <c r="M8" s="118">
        <f t="shared" ref="M8:M63" si="2">E8*2*0.7/3</f>
        <v>164.26666666666665</v>
      </c>
      <c r="N8" s="119">
        <f t="shared" ref="N8:N63" si="3">E8*2*0.7/4</f>
        <v>123.19999999999999</v>
      </c>
      <c r="O8" s="118">
        <f>I8*0.7</f>
        <v>291.89999999999998</v>
      </c>
      <c r="P8" s="163" t="s">
        <v>242</v>
      </c>
    </row>
    <row r="9" spans="1:16" s="129" customFormat="1" ht="25.5" customHeight="1">
      <c r="A9" s="37"/>
      <c r="B9" s="25"/>
      <c r="D9" s="167"/>
      <c r="E9" s="167"/>
      <c r="F9" s="167"/>
      <c r="G9" s="167"/>
      <c r="H9" s="167"/>
      <c r="I9" s="167"/>
      <c r="J9" s="117"/>
      <c r="K9" s="118"/>
      <c r="L9" s="118"/>
      <c r="M9" s="118"/>
      <c r="N9" s="119"/>
      <c r="O9" s="118"/>
      <c r="P9" s="163"/>
    </row>
    <row r="10" spans="1:16" ht="25.5" customHeight="1">
      <c r="A10" s="37" t="s">
        <v>101</v>
      </c>
      <c r="B10" s="25">
        <v>32</v>
      </c>
      <c r="C10" s="7" t="s">
        <v>9</v>
      </c>
      <c r="D10" s="167">
        <v>720</v>
      </c>
      <c r="E10" s="167">
        <v>510</v>
      </c>
      <c r="F10" s="167">
        <f>E10*2/3</f>
        <v>340</v>
      </c>
      <c r="G10" s="167">
        <f>E10*2/4</f>
        <v>255</v>
      </c>
      <c r="H10" s="167">
        <v>315</v>
      </c>
      <c r="I10" s="167">
        <v>575</v>
      </c>
      <c r="J10" s="117"/>
      <c r="K10" s="118">
        <f t="shared" si="0"/>
        <v>503.99999999999994</v>
      </c>
      <c r="L10" s="118">
        <f t="shared" si="1"/>
        <v>357</v>
      </c>
      <c r="M10" s="118">
        <f t="shared" si="2"/>
        <v>238</v>
      </c>
      <c r="N10" s="119">
        <f t="shared" si="3"/>
        <v>178.5</v>
      </c>
      <c r="O10" s="118">
        <f t="shared" ref="O10:O63" si="4">I10*0.7</f>
        <v>402.5</v>
      </c>
      <c r="P10" s="163" t="s">
        <v>242</v>
      </c>
    </row>
    <row r="11" spans="1:16" ht="25.5" customHeight="1">
      <c r="A11" s="37" t="s">
        <v>101</v>
      </c>
      <c r="B11" s="168">
        <v>216</v>
      </c>
      <c r="C11" s="169" t="s">
        <v>85</v>
      </c>
      <c r="D11" s="170">
        <v>588</v>
      </c>
      <c r="E11" s="170">
        <v>398</v>
      </c>
      <c r="F11" s="170">
        <v>266</v>
      </c>
      <c r="G11" s="170">
        <f>E11*2/4</f>
        <v>199</v>
      </c>
      <c r="H11" s="170">
        <v>298</v>
      </c>
      <c r="I11" s="170">
        <v>463</v>
      </c>
      <c r="J11" s="117"/>
      <c r="K11" s="118">
        <f>D11*0.7</f>
        <v>411.59999999999997</v>
      </c>
      <c r="L11" s="118">
        <f>E11*0.7</f>
        <v>278.59999999999997</v>
      </c>
      <c r="M11" s="118">
        <f>E11*2*0.7/3</f>
        <v>185.73333333333332</v>
      </c>
      <c r="N11" s="119">
        <f>E11*2*0.7/4</f>
        <v>139.29999999999998</v>
      </c>
      <c r="O11" s="118">
        <f t="shared" si="4"/>
        <v>324.09999999999997</v>
      </c>
      <c r="P11" s="163" t="s">
        <v>242</v>
      </c>
    </row>
    <row r="12" spans="1:16" ht="25.5" customHeight="1">
      <c r="A12" s="37" t="s">
        <v>107</v>
      </c>
      <c r="B12" s="25">
        <v>1135</v>
      </c>
      <c r="C12" s="7" t="s">
        <v>7</v>
      </c>
      <c r="D12" s="167">
        <v>720</v>
      </c>
      <c r="E12" s="167">
        <v>510</v>
      </c>
      <c r="F12" s="167">
        <f>E12*2/3</f>
        <v>340</v>
      </c>
      <c r="G12" s="167">
        <f t="shared" ref="G12:G38" si="5">E12*2/4</f>
        <v>255</v>
      </c>
      <c r="H12" s="167">
        <v>315</v>
      </c>
      <c r="I12" s="167">
        <v>575</v>
      </c>
      <c r="J12" s="117"/>
      <c r="K12" s="118">
        <f t="shared" si="0"/>
        <v>503.99999999999994</v>
      </c>
      <c r="L12" s="118">
        <f t="shared" si="1"/>
        <v>357</v>
      </c>
      <c r="M12" s="118">
        <f t="shared" si="2"/>
        <v>238</v>
      </c>
      <c r="N12" s="119">
        <f t="shared" si="3"/>
        <v>178.5</v>
      </c>
      <c r="O12" s="118">
        <f t="shared" si="4"/>
        <v>402.5</v>
      </c>
      <c r="P12" s="163" t="s">
        <v>242</v>
      </c>
    </row>
    <row r="13" spans="1:16" ht="25.5" customHeight="1">
      <c r="A13" s="37" t="s">
        <v>108</v>
      </c>
      <c r="B13" s="168">
        <v>1054</v>
      </c>
      <c r="C13" s="169" t="s">
        <v>85</v>
      </c>
      <c r="D13" s="170">
        <v>588</v>
      </c>
      <c r="E13" s="170">
        <v>398</v>
      </c>
      <c r="F13" s="170">
        <v>266</v>
      </c>
      <c r="G13" s="170">
        <f t="shared" si="5"/>
        <v>199</v>
      </c>
      <c r="H13" s="170">
        <v>298</v>
      </c>
      <c r="I13" s="170">
        <v>463</v>
      </c>
      <c r="J13" s="117"/>
      <c r="K13" s="118">
        <f t="shared" si="0"/>
        <v>411.59999999999997</v>
      </c>
      <c r="L13" s="118">
        <f t="shared" si="1"/>
        <v>278.59999999999997</v>
      </c>
      <c r="M13" s="118">
        <f t="shared" si="2"/>
        <v>185.73333333333332</v>
      </c>
      <c r="N13" s="119">
        <f t="shared" si="3"/>
        <v>139.29999999999998</v>
      </c>
      <c r="O13" s="118">
        <f t="shared" si="4"/>
        <v>324.09999999999997</v>
      </c>
      <c r="P13" s="163" t="s">
        <v>242</v>
      </c>
    </row>
    <row r="14" spans="1:16" ht="25.5" customHeight="1">
      <c r="A14" s="37" t="s">
        <v>102</v>
      </c>
      <c r="B14" s="25">
        <v>319</v>
      </c>
      <c r="C14" s="7" t="s">
        <v>13</v>
      </c>
      <c r="D14" s="167">
        <v>720</v>
      </c>
      <c r="E14" s="167">
        <v>510</v>
      </c>
      <c r="F14" s="167">
        <f t="shared" ref="F14:F38" si="6">E14*2/3</f>
        <v>340</v>
      </c>
      <c r="G14" s="167">
        <f t="shared" si="5"/>
        <v>255</v>
      </c>
      <c r="H14" s="167">
        <v>315</v>
      </c>
      <c r="I14" s="167">
        <v>575</v>
      </c>
      <c r="J14" s="117"/>
      <c r="K14" s="118">
        <f t="shared" si="0"/>
        <v>503.99999999999994</v>
      </c>
      <c r="L14" s="118">
        <f t="shared" si="1"/>
        <v>357</v>
      </c>
      <c r="M14" s="118">
        <f t="shared" si="2"/>
        <v>238</v>
      </c>
      <c r="N14" s="119">
        <f t="shared" si="3"/>
        <v>178.5</v>
      </c>
      <c r="O14" s="118">
        <f t="shared" si="4"/>
        <v>402.5</v>
      </c>
      <c r="P14" s="163" t="s">
        <v>242</v>
      </c>
    </row>
    <row r="15" spans="1:16" ht="25.5" customHeight="1">
      <c r="A15" s="37" t="s">
        <v>102</v>
      </c>
      <c r="B15" s="25">
        <v>320</v>
      </c>
      <c r="C15" s="7" t="s">
        <v>14</v>
      </c>
      <c r="D15" s="167">
        <v>720</v>
      </c>
      <c r="E15" s="167">
        <v>510</v>
      </c>
      <c r="F15" s="167">
        <f t="shared" si="6"/>
        <v>340</v>
      </c>
      <c r="G15" s="167">
        <f t="shared" si="5"/>
        <v>255</v>
      </c>
      <c r="H15" s="167">
        <v>315</v>
      </c>
      <c r="I15" s="167">
        <v>575</v>
      </c>
      <c r="J15" s="117"/>
      <c r="K15" s="118">
        <f t="shared" si="0"/>
        <v>503.99999999999994</v>
      </c>
      <c r="L15" s="118">
        <f t="shared" si="1"/>
        <v>357</v>
      </c>
      <c r="M15" s="118">
        <f t="shared" si="2"/>
        <v>238</v>
      </c>
      <c r="N15" s="119">
        <f t="shared" si="3"/>
        <v>178.5</v>
      </c>
      <c r="O15" s="118">
        <f t="shared" si="4"/>
        <v>402.5</v>
      </c>
      <c r="P15" s="163" t="s">
        <v>242</v>
      </c>
    </row>
    <row r="16" spans="1:16" ht="25.5" customHeight="1">
      <c r="A16" s="37" t="s">
        <v>102</v>
      </c>
      <c r="B16" s="25">
        <v>321</v>
      </c>
      <c r="C16" s="7" t="s">
        <v>15</v>
      </c>
      <c r="D16" s="167">
        <v>720</v>
      </c>
      <c r="E16" s="167">
        <v>510</v>
      </c>
      <c r="F16" s="167">
        <f t="shared" si="6"/>
        <v>340</v>
      </c>
      <c r="G16" s="167">
        <f t="shared" si="5"/>
        <v>255</v>
      </c>
      <c r="H16" s="167">
        <v>315</v>
      </c>
      <c r="I16" s="167">
        <v>575</v>
      </c>
      <c r="J16" s="117"/>
      <c r="K16" s="118">
        <f t="shared" si="0"/>
        <v>503.99999999999994</v>
      </c>
      <c r="L16" s="118">
        <f t="shared" si="1"/>
        <v>357</v>
      </c>
      <c r="M16" s="118">
        <f t="shared" si="2"/>
        <v>238</v>
      </c>
      <c r="N16" s="119">
        <f t="shared" si="3"/>
        <v>178.5</v>
      </c>
      <c r="O16" s="118">
        <f t="shared" si="4"/>
        <v>402.5</v>
      </c>
      <c r="P16" s="163" t="s">
        <v>242</v>
      </c>
    </row>
    <row r="17" spans="1:16" ht="25.5" customHeight="1">
      <c r="A17" s="37" t="s">
        <v>102</v>
      </c>
      <c r="B17" s="25" t="s">
        <v>90</v>
      </c>
      <c r="C17" s="43" t="s">
        <v>16</v>
      </c>
      <c r="D17" s="167">
        <v>720</v>
      </c>
      <c r="E17" s="167">
        <v>510</v>
      </c>
      <c r="F17" s="167">
        <f t="shared" si="6"/>
        <v>340</v>
      </c>
      <c r="G17" s="167">
        <f t="shared" si="5"/>
        <v>255</v>
      </c>
      <c r="H17" s="167">
        <v>315</v>
      </c>
      <c r="I17" s="167">
        <v>575</v>
      </c>
      <c r="J17" s="117"/>
      <c r="K17" s="118">
        <f t="shared" si="0"/>
        <v>503.99999999999994</v>
      </c>
      <c r="L17" s="118">
        <f t="shared" si="1"/>
        <v>357</v>
      </c>
      <c r="M17" s="118">
        <f t="shared" si="2"/>
        <v>238</v>
      </c>
      <c r="N17" s="119">
        <f t="shared" si="3"/>
        <v>178.5</v>
      </c>
      <c r="O17" s="118">
        <f t="shared" si="4"/>
        <v>402.5</v>
      </c>
      <c r="P17" s="163" t="s">
        <v>242</v>
      </c>
    </row>
    <row r="18" spans="1:16" ht="25.5" customHeight="1">
      <c r="A18" s="39">
        <v>3.6</v>
      </c>
      <c r="B18" s="25">
        <v>136</v>
      </c>
      <c r="C18" s="7" t="s">
        <v>243</v>
      </c>
      <c r="D18" s="167">
        <v>738</v>
      </c>
      <c r="E18" s="167">
        <v>528</v>
      </c>
      <c r="F18" s="167">
        <f>E18*2/3</f>
        <v>352</v>
      </c>
      <c r="G18" s="167">
        <f>E18*2/4</f>
        <v>264</v>
      </c>
      <c r="H18" s="167">
        <v>315</v>
      </c>
      <c r="I18" s="167">
        <v>593</v>
      </c>
      <c r="J18" s="117"/>
      <c r="K18" s="118">
        <f t="shared" si="0"/>
        <v>516.6</v>
      </c>
      <c r="L18" s="118">
        <f t="shared" si="1"/>
        <v>369.59999999999997</v>
      </c>
      <c r="M18" s="118">
        <f t="shared" si="2"/>
        <v>246.39999999999998</v>
      </c>
      <c r="N18" s="119">
        <f t="shared" si="3"/>
        <v>184.79999999999998</v>
      </c>
      <c r="O18" s="118">
        <f t="shared" si="4"/>
        <v>415.09999999999997</v>
      </c>
      <c r="P18" s="163" t="s">
        <v>242</v>
      </c>
    </row>
    <row r="19" spans="1:16" s="129" customFormat="1" ht="25.5" customHeight="1">
      <c r="A19" s="39"/>
      <c r="B19" s="25"/>
      <c r="C19" s="158">
        <v>7</v>
      </c>
      <c r="D19" s="167"/>
      <c r="E19" s="167"/>
      <c r="F19" s="167"/>
      <c r="G19" s="167"/>
      <c r="H19" s="167"/>
      <c r="I19" s="167"/>
      <c r="J19" s="117"/>
      <c r="K19" s="118"/>
      <c r="L19" s="118"/>
      <c r="M19" s="118"/>
      <c r="N19" s="119"/>
      <c r="O19" s="118"/>
      <c r="P19" s="163"/>
    </row>
    <row r="20" spans="1:16" ht="25.5" customHeight="1">
      <c r="A20" s="40" t="s">
        <v>103</v>
      </c>
      <c r="B20" s="25">
        <v>137</v>
      </c>
      <c r="C20" s="7" t="s">
        <v>10</v>
      </c>
      <c r="D20" s="167">
        <v>850</v>
      </c>
      <c r="E20" s="167">
        <v>595</v>
      </c>
      <c r="F20" s="167">
        <f>E20*2/3</f>
        <v>396.66666666666669</v>
      </c>
      <c r="G20" s="167">
        <f>E20*2/4</f>
        <v>297.5</v>
      </c>
      <c r="H20" s="167">
        <v>355</v>
      </c>
      <c r="I20" s="167">
        <v>660</v>
      </c>
      <c r="J20" s="117"/>
      <c r="K20" s="118">
        <f>D20*0.7</f>
        <v>595</v>
      </c>
      <c r="L20" s="118">
        <f>E20*0.7</f>
        <v>416.5</v>
      </c>
      <c r="M20" s="118">
        <f>E20*2*0.7/3</f>
        <v>277.66666666666669</v>
      </c>
      <c r="N20" s="119">
        <f t="shared" si="3"/>
        <v>208.25</v>
      </c>
      <c r="O20" s="118">
        <f>I20*0.7</f>
        <v>461.99999999999994</v>
      </c>
      <c r="P20" s="163" t="s">
        <v>242</v>
      </c>
    </row>
    <row r="21" spans="1:16" ht="25.5" customHeight="1">
      <c r="A21" s="39">
        <v>2.5</v>
      </c>
      <c r="B21" s="25">
        <v>322</v>
      </c>
      <c r="C21" s="7" t="s">
        <v>17</v>
      </c>
      <c r="D21" s="167">
        <v>850</v>
      </c>
      <c r="E21" s="167">
        <v>595</v>
      </c>
      <c r="F21" s="167">
        <f t="shared" si="6"/>
        <v>396.66666666666669</v>
      </c>
      <c r="G21" s="167">
        <f t="shared" si="5"/>
        <v>297.5</v>
      </c>
      <c r="H21" s="167">
        <v>355</v>
      </c>
      <c r="I21" s="167">
        <v>660</v>
      </c>
      <c r="J21" s="117"/>
      <c r="K21" s="118">
        <f t="shared" si="0"/>
        <v>595</v>
      </c>
      <c r="L21" s="118">
        <f t="shared" si="1"/>
        <v>416.5</v>
      </c>
      <c r="M21" s="118">
        <f t="shared" si="2"/>
        <v>277.66666666666669</v>
      </c>
      <c r="N21" s="119">
        <f t="shared" si="3"/>
        <v>208.25</v>
      </c>
      <c r="O21" s="118">
        <f t="shared" si="4"/>
        <v>461.99999999999994</v>
      </c>
      <c r="P21" s="163" t="s">
        <v>242</v>
      </c>
    </row>
    <row r="22" spans="1:16" ht="25.5" customHeight="1">
      <c r="A22" s="39" t="s">
        <v>104</v>
      </c>
      <c r="B22" s="25">
        <v>323</v>
      </c>
      <c r="C22" s="7" t="s">
        <v>18</v>
      </c>
      <c r="D22" s="167">
        <v>850</v>
      </c>
      <c r="E22" s="167">
        <v>595</v>
      </c>
      <c r="F22" s="167">
        <f t="shared" si="6"/>
        <v>396.66666666666669</v>
      </c>
      <c r="G22" s="167">
        <f t="shared" si="5"/>
        <v>297.5</v>
      </c>
      <c r="H22" s="167">
        <v>355</v>
      </c>
      <c r="I22" s="167">
        <v>660</v>
      </c>
      <c r="J22" s="117"/>
      <c r="K22" s="118">
        <f t="shared" si="0"/>
        <v>595</v>
      </c>
      <c r="L22" s="118">
        <f t="shared" si="1"/>
        <v>416.5</v>
      </c>
      <c r="M22" s="118">
        <f t="shared" si="2"/>
        <v>277.66666666666669</v>
      </c>
      <c r="N22" s="119">
        <f t="shared" si="3"/>
        <v>208.25</v>
      </c>
      <c r="O22" s="118">
        <f t="shared" si="4"/>
        <v>461.99999999999994</v>
      </c>
      <c r="P22" s="163" t="s">
        <v>242</v>
      </c>
    </row>
    <row r="23" spans="1:16" ht="25.5" customHeight="1">
      <c r="A23" s="39" t="s">
        <v>105</v>
      </c>
      <c r="B23" s="25">
        <v>324</v>
      </c>
      <c r="C23" s="7" t="s">
        <v>19</v>
      </c>
      <c r="D23" s="167">
        <v>850</v>
      </c>
      <c r="E23" s="167">
        <v>595</v>
      </c>
      <c r="F23" s="167">
        <f t="shared" si="6"/>
        <v>396.66666666666669</v>
      </c>
      <c r="G23" s="167">
        <f t="shared" si="5"/>
        <v>297.5</v>
      </c>
      <c r="H23" s="167">
        <v>355</v>
      </c>
      <c r="I23" s="167">
        <v>660</v>
      </c>
      <c r="J23" s="117"/>
      <c r="K23" s="118">
        <f t="shared" si="0"/>
        <v>595</v>
      </c>
      <c r="L23" s="118">
        <f t="shared" si="1"/>
        <v>416.5</v>
      </c>
      <c r="M23" s="118">
        <f t="shared" si="2"/>
        <v>277.66666666666669</v>
      </c>
      <c r="N23" s="119">
        <f t="shared" si="3"/>
        <v>208.25</v>
      </c>
      <c r="O23" s="118">
        <f t="shared" si="4"/>
        <v>461.99999999999994</v>
      </c>
      <c r="P23" s="163" t="s">
        <v>242</v>
      </c>
    </row>
    <row r="24" spans="1:16" ht="25.5" customHeight="1">
      <c r="A24" s="39" t="s">
        <v>105</v>
      </c>
      <c r="B24" s="25">
        <v>347</v>
      </c>
      <c r="C24" s="7" t="s">
        <v>20</v>
      </c>
      <c r="D24" s="167">
        <v>850</v>
      </c>
      <c r="E24" s="167">
        <v>595</v>
      </c>
      <c r="F24" s="167">
        <f t="shared" si="6"/>
        <v>396.66666666666669</v>
      </c>
      <c r="G24" s="167">
        <f t="shared" si="5"/>
        <v>297.5</v>
      </c>
      <c r="H24" s="167">
        <v>355</v>
      </c>
      <c r="I24" s="167">
        <v>660</v>
      </c>
      <c r="J24" s="117"/>
      <c r="K24" s="118">
        <f t="shared" si="0"/>
        <v>595</v>
      </c>
      <c r="L24" s="118">
        <f t="shared" si="1"/>
        <v>416.5</v>
      </c>
      <c r="M24" s="118">
        <f t="shared" si="2"/>
        <v>277.66666666666669</v>
      </c>
      <c r="N24" s="119">
        <f t="shared" si="3"/>
        <v>208.25</v>
      </c>
      <c r="O24" s="118">
        <f t="shared" si="4"/>
        <v>461.99999999999994</v>
      </c>
      <c r="P24" s="163" t="s">
        <v>242</v>
      </c>
    </row>
    <row r="25" spans="1:16" ht="25.5" customHeight="1">
      <c r="A25" s="39" t="s">
        <v>103</v>
      </c>
      <c r="B25" s="25">
        <v>698</v>
      </c>
      <c r="C25" s="7" t="s">
        <v>21</v>
      </c>
      <c r="D25" s="167">
        <v>850</v>
      </c>
      <c r="E25" s="167">
        <v>595</v>
      </c>
      <c r="F25" s="167">
        <f t="shared" si="6"/>
        <v>396.66666666666669</v>
      </c>
      <c r="G25" s="167">
        <f t="shared" si="5"/>
        <v>297.5</v>
      </c>
      <c r="H25" s="167">
        <v>355</v>
      </c>
      <c r="I25" s="167">
        <v>660</v>
      </c>
      <c r="J25" s="117"/>
      <c r="K25" s="118">
        <f t="shared" si="0"/>
        <v>595</v>
      </c>
      <c r="L25" s="118">
        <f t="shared" si="1"/>
        <v>416.5</v>
      </c>
      <c r="M25" s="118">
        <f t="shared" si="2"/>
        <v>277.66666666666669</v>
      </c>
      <c r="N25" s="119">
        <f t="shared" si="3"/>
        <v>208.25</v>
      </c>
      <c r="O25" s="118">
        <f t="shared" si="4"/>
        <v>461.99999999999994</v>
      </c>
      <c r="P25" s="163" t="s">
        <v>242</v>
      </c>
    </row>
    <row r="26" spans="1:16" s="129" customFormat="1" ht="25.5" customHeight="1">
      <c r="A26" s="39"/>
      <c r="B26" s="25"/>
      <c r="C26" s="158">
        <v>8</v>
      </c>
      <c r="D26" s="167"/>
      <c r="E26" s="167"/>
      <c r="F26" s="167"/>
      <c r="G26" s="167"/>
      <c r="H26" s="167"/>
      <c r="I26" s="167"/>
      <c r="J26" s="117"/>
      <c r="K26" s="118"/>
      <c r="L26" s="118"/>
      <c r="M26" s="118"/>
      <c r="N26" s="119"/>
      <c r="O26" s="118"/>
      <c r="P26" s="163"/>
    </row>
    <row r="27" spans="1:16" ht="25.5" customHeight="1">
      <c r="A27" s="39" t="s">
        <v>103</v>
      </c>
      <c r="B27" s="25">
        <v>140</v>
      </c>
      <c r="C27" s="7" t="s">
        <v>11</v>
      </c>
      <c r="D27" s="167">
        <v>965</v>
      </c>
      <c r="E27" s="167">
        <v>670</v>
      </c>
      <c r="F27" s="167">
        <f>E27*2/3</f>
        <v>446.66666666666669</v>
      </c>
      <c r="G27" s="167">
        <f>E27*2/4</f>
        <v>335</v>
      </c>
      <c r="H27" s="167">
        <v>405</v>
      </c>
      <c r="I27" s="167">
        <v>735</v>
      </c>
      <c r="J27" s="117"/>
      <c r="K27" s="118">
        <f>D27*0.7</f>
        <v>675.5</v>
      </c>
      <c r="L27" s="118">
        <f>E27*0.7</f>
        <v>468.99999999999994</v>
      </c>
      <c r="M27" s="118">
        <f>E27*2*0.7/3</f>
        <v>312.66666666666663</v>
      </c>
      <c r="N27" s="119">
        <f>E27*2*0.7/4</f>
        <v>234.49999999999997</v>
      </c>
      <c r="O27" s="118">
        <f>I27*0.7</f>
        <v>514.5</v>
      </c>
      <c r="P27" s="163" t="s">
        <v>242</v>
      </c>
    </row>
    <row r="28" spans="1:16" ht="25.5" customHeight="1">
      <c r="A28" s="39">
        <v>2.5</v>
      </c>
      <c r="B28" s="25" t="s">
        <v>91</v>
      </c>
      <c r="C28" s="7" t="s">
        <v>22</v>
      </c>
      <c r="D28" s="167">
        <v>965</v>
      </c>
      <c r="E28" s="167">
        <v>670</v>
      </c>
      <c r="F28" s="167">
        <f t="shared" si="6"/>
        <v>446.66666666666669</v>
      </c>
      <c r="G28" s="167">
        <f t="shared" si="5"/>
        <v>335</v>
      </c>
      <c r="H28" s="167">
        <v>405</v>
      </c>
      <c r="I28" s="167">
        <v>735</v>
      </c>
      <c r="J28" s="117"/>
      <c r="K28" s="118">
        <f t="shared" si="0"/>
        <v>675.5</v>
      </c>
      <c r="L28" s="118">
        <f t="shared" si="1"/>
        <v>468.99999999999994</v>
      </c>
      <c r="M28" s="118">
        <f t="shared" si="2"/>
        <v>312.66666666666663</v>
      </c>
      <c r="N28" s="119">
        <f t="shared" si="3"/>
        <v>234.49999999999997</v>
      </c>
      <c r="O28" s="118">
        <f t="shared" si="4"/>
        <v>514.5</v>
      </c>
      <c r="P28" s="163" t="s">
        <v>242</v>
      </c>
    </row>
    <row r="29" spans="1:16" ht="25.5" customHeight="1">
      <c r="A29" s="39">
        <v>2.5</v>
      </c>
      <c r="B29" s="25">
        <v>326</v>
      </c>
      <c r="C29" s="7" t="s">
        <v>23</v>
      </c>
      <c r="D29" s="167">
        <v>965</v>
      </c>
      <c r="E29" s="167">
        <v>670</v>
      </c>
      <c r="F29" s="167">
        <f t="shared" si="6"/>
        <v>446.66666666666669</v>
      </c>
      <c r="G29" s="167">
        <f t="shared" si="5"/>
        <v>335</v>
      </c>
      <c r="H29" s="167">
        <v>405</v>
      </c>
      <c r="I29" s="167">
        <v>735</v>
      </c>
      <c r="J29" s="117"/>
      <c r="K29" s="118">
        <f t="shared" si="0"/>
        <v>675.5</v>
      </c>
      <c r="L29" s="118">
        <f t="shared" si="1"/>
        <v>468.99999999999994</v>
      </c>
      <c r="M29" s="118">
        <f t="shared" si="2"/>
        <v>312.66666666666663</v>
      </c>
      <c r="N29" s="119">
        <f t="shared" si="3"/>
        <v>234.49999999999997</v>
      </c>
      <c r="O29" s="118">
        <f t="shared" si="4"/>
        <v>514.5</v>
      </c>
      <c r="P29" s="163" t="s">
        <v>242</v>
      </c>
    </row>
    <row r="30" spans="1:16" ht="25.5" customHeight="1">
      <c r="A30" s="39">
        <v>2.5</v>
      </c>
      <c r="B30" s="25">
        <v>327</v>
      </c>
      <c r="C30" s="7" t="s">
        <v>24</v>
      </c>
      <c r="D30" s="167">
        <v>965</v>
      </c>
      <c r="E30" s="167">
        <v>670</v>
      </c>
      <c r="F30" s="167">
        <f t="shared" si="6"/>
        <v>446.66666666666669</v>
      </c>
      <c r="G30" s="167">
        <f t="shared" si="5"/>
        <v>335</v>
      </c>
      <c r="H30" s="167">
        <v>405</v>
      </c>
      <c r="I30" s="167">
        <v>735</v>
      </c>
      <c r="J30" s="117"/>
      <c r="K30" s="118">
        <f t="shared" si="0"/>
        <v>675.5</v>
      </c>
      <c r="L30" s="118">
        <f t="shared" si="1"/>
        <v>468.99999999999994</v>
      </c>
      <c r="M30" s="118">
        <f t="shared" si="2"/>
        <v>312.66666666666663</v>
      </c>
      <c r="N30" s="119">
        <f t="shared" si="3"/>
        <v>234.49999999999997</v>
      </c>
      <c r="O30" s="118">
        <f t="shared" si="4"/>
        <v>514.5</v>
      </c>
      <c r="P30" s="163" t="s">
        <v>242</v>
      </c>
    </row>
    <row r="31" spans="1:16" ht="25.5" customHeight="1">
      <c r="A31" s="39">
        <v>2.5</v>
      </c>
      <c r="B31" s="25" t="s">
        <v>92</v>
      </c>
      <c r="C31" s="7" t="s">
        <v>25</v>
      </c>
      <c r="D31" s="167">
        <v>965</v>
      </c>
      <c r="E31" s="167">
        <v>670</v>
      </c>
      <c r="F31" s="167">
        <f t="shared" si="6"/>
        <v>446.66666666666669</v>
      </c>
      <c r="G31" s="167">
        <f t="shared" si="5"/>
        <v>335</v>
      </c>
      <c r="H31" s="167">
        <v>405</v>
      </c>
      <c r="I31" s="167">
        <v>735</v>
      </c>
      <c r="J31" s="117"/>
      <c r="K31" s="118">
        <f t="shared" si="0"/>
        <v>675.5</v>
      </c>
      <c r="L31" s="118">
        <f t="shared" si="1"/>
        <v>468.99999999999994</v>
      </c>
      <c r="M31" s="118">
        <f t="shared" si="2"/>
        <v>312.66666666666663</v>
      </c>
      <c r="N31" s="119">
        <f t="shared" si="3"/>
        <v>234.49999999999997</v>
      </c>
      <c r="O31" s="118">
        <f t="shared" si="4"/>
        <v>514.5</v>
      </c>
      <c r="P31" s="163" t="s">
        <v>242</v>
      </c>
    </row>
    <row r="32" spans="1:16" ht="25.5" customHeight="1">
      <c r="A32" s="39">
        <v>3.6</v>
      </c>
      <c r="B32" s="25">
        <v>138</v>
      </c>
      <c r="C32" s="7" t="s">
        <v>244</v>
      </c>
      <c r="D32" s="167">
        <v>989</v>
      </c>
      <c r="E32" s="167">
        <v>694</v>
      </c>
      <c r="F32" s="167">
        <f>E32*2/3</f>
        <v>462.66666666666669</v>
      </c>
      <c r="G32" s="167">
        <f>E32*2/4</f>
        <v>347</v>
      </c>
      <c r="H32" s="167">
        <v>405</v>
      </c>
      <c r="I32" s="167">
        <v>759</v>
      </c>
      <c r="J32" s="117"/>
      <c r="K32" s="118">
        <f>D32*0.7</f>
        <v>692.3</v>
      </c>
      <c r="L32" s="118">
        <f>E32*0.7</f>
        <v>485.79999999999995</v>
      </c>
      <c r="M32" s="118">
        <f>E32*2*0.7/3</f>
        <v>323.86666666666662</v>
      </c>
      <c r="N32" s="119">
        <f>E32*2*0.7/4</f>
        <v>242.89999999999998</v>
      </c>
      <c r="O32" s="118">
        <f>I32*0.7</f>
        <v>531.29999999999995</v>
      </c>
      <c r="P32" s="163" t="s">
        <v>242</v>
      </c>
    </row>
    <row r="33" spans="1:18" ht="25.5" customHeight="1">
      <c r="A33" s="39" t="s">
        <v>106</v>
      </c>
      <c r="B33" s="25" t="s">
        <v>93</v>
      </c>
      <c r="C33" s="7" t="s">
        <v>26</v>
      </c>
      <c r="D33" s="167">
        <v>1085</v>
      </c>
      <c r="E33" s="167">
        <v>754</v>
      </c>
      <c r="F33" s="167">
        <f>E33*2/3</f>
        <v>502.66666666666669</v>
      </c>
      <c r="G33" s="167">
        <f t="shared" si="5"/>
        <v>377</v>
      </c>
      <c r="H33" s="167">
        <v>485</v>
      </c>
      <c r="I33" s="167">
        <v>819</v>
      </c>
      <c r="J33" s="117"/>
      <c r="K33" s="118">
        <f>D33*0.7</f>
        <v>759.5</v>
      </c>
      <c r="L33" s="118">
        <f>E33*0.7</f>
        <v>527.79999999999995</v>
      </c>
      <c r="M33" s="118">
        <f>E33*2*0.7/3</f>
        <v>351.86666666666662</v>
      </c>
      <c r="N33" s="119">
        <f>E33*2*0.7/4</f>
        <v>263.89999999999998</v>
      </c>
      <c r="O33" s="118">
        <f>I33*0.7</f>
        <v>573.29999999999995</v>
      </c>
      <c r="P33" s="163" t="s">
        <v>242</v>
      </c>
    </row>
    <row r="34" spans="1:18" ht="25.5" customHeight="1">
      <c r="A34" s="39">
        <v>2.5</v>
      </c>
      <c r="B34" s="25">
        <v>329</v>
      </c>
      <c r="C34" s="7" t="s">
        <v>27</v>
      </c>
      <c r="D34" s="167">
        <v>1085</v>
      </c>
      <c r="E34" s="167">
        <v>754</v>
      </c>
      <c r="F34" s="167">
        <f>E34*2/3</f>
        <v>502.66666666666669</v>
      </c>
      <c r="G34" s="167">
        <f t="shared" si="5"/>
        <v>377</v>
      </c>
      <c r="H34" s="167">
        <v>485</v>
      </c>
      <c r="I34" s="167">
        <v>819</v>
      </c>
      <c r="J34" s="117"/>
      <c r="K34" s="118">
        <f t="shared" si="0"/>
        <v>759.5</v>
      </c>
      <c r="L34" s="118">
        <f t="shared" si="1"/>
        <v>527.79999999999995</v>
      </c>
      <c r="M34" s="118">
        <f t="shared" si="2"/>
        <v>351.86666666666662</v>
      </c>
      <c r="N34" s="119">
        <f t="shared" si="3"/>
        <v>263.89999999999998</v>
      </c>
      <c r="O34" s="118">
        <f t="shared" si="4"/>
        <v>573.29999999999995</v>
      </c>
      <c r="P34" s="163" t="s">
        <v>242</v>
      </c>
    </row>
    <row r="35" spans="1:18" ht="25.5" customHeight="1">
      <c r="A35" s="39">
        <v>2.5</v>
      </c>
      <c r="B35" s="25">
        <v>352</v>
      </c>
      <c r="C35" s="7" t="s">
        <v>28</v>
      </c>
      <c r="D35" s="167">
        <v>1085</v>
      </c>
      <c r="E35" s="167">
        <v>754</v>
      </c>
      <c r="F35" s="167">
        <f>E35*2/3</f>
        <v>502.66666666666669</v>
      </c>
      <c r="G35" s="167">
        <f t="shared" si="5"/>
        <v>377</v>
      </c>
      <c r="H35" s="167">
        <v>485</v>
      </c>
      <c r="I35" s="167">
        <v>819</v>
      </c>
      <c r="J35" s="117"/>
      <c r="K35" s="118">
        <f>D35*0.7</f>
        <v>759.5</v>
      </c>
      <c r="L35" s="118">
        <f>E35*0.7</f>
        <v>527.79999999999995</v>
      </c>
      <c r="M35" s="118">
        <f t="shared" si="2"/>
        <v>351.86666666666662</v>
      </c>
      <c r="N35" s="119">
        <f t="shared" si="3"/>
        <v>263.89999999999998</v>
      </c>
      <c r="O35" s="118">
        <f t="shared" si="4"/>
        <v>573.29999999999995</v>
      </c>
      <c r="P35" s="163" t="s">
        <v>242</v>
      </c>
    </row>
    <row r="36" spans="1:18" ht="25.5" customHeight="1">
      <c r="A36" s="39">
        <v>2.5</v>
      </c>
      <c r="B36" s="25">
        <v>330</v>
      </c>
      <c r="C36" s="7" t="s">
        <v>245</v>
      </c>
      <c r="D36" s="167">
        <v>1184</v>
      </c>
      <c r="E36" s="167">
        <v>780</v>
      </c>
      <c r="F36" s="167">
        <f>E36*2/3</f>
        <v>520</v>
      </c>
      <c r="G36" s="167">
        <f>E36*2/4</f>
        <v>390</v>
      </c>
      <c r="H36" s="167">
        <v>485</v>
      </c>
      <c r="I36" s="167">
        <v>845</v>
      </c>
      <c r="J36" s="117"/>
      <c r="K36" s="118">
        <f>D36*0.7</f>
        <v>828.8</v>
      </c>
      <c r="L36" s="118">
        <f>E36*0.7</f>
        <v>546</v>
      </c>
      <c r="M36" s="118">
        <f>E36*2*0.7/3</f>
        <v>364</v>
      </c>
      <c r="N36" s="119">
        <f>E36*2*0.7/4</f>
        <v>273</v>
      </c>
      <c r="O36" s="118">
        <f t="shared" si="4"/>
        <v>591.5</v>
      </c>
      <c r="P36" s="163" t="s">
        <v>242</v>
      </c>
    </row>
    <row r="37" spans="1:18" ht="25.5" customHeight="1">
      <c r="A37" s="39">
        <v>2.5</v>
      </c>
      <c r="B37" s="25">
        <v>331</v>
      </c>
      <c r="C37" s="7" t="s">
        <v>246</v>
      </c>
      <c r="D37" s="167">
        <v>1184</v>
      </c>
      <c r="E37" s="167">
        <v>780</v>
      </c>
      <c r="F37" s="167">
        <f t="shared" si="6"/>
        <v>520</v>
      </c>
      <c r="G37" s="167">
        <f t="shared" si="5"/>
        <v>390</v>
      </c>
      <c r="H37" s="167">
        <v>485</v>
      </c>
      <c r="I37" s="167">
        <v>845</v>
      </c>
      <c r="J37" s="117"/>
      <c r="K37" s="118">
        <f t="shared" si="0"/>
        <v>828.8</v>
      </c>
      <c r="L37" s="118">
        <f t="shared" si="1"/>
        <v>546</v>
      </c>
      <c r="M37" s="118">
        <f t="shared" si="2"/>
        <v>364</v>
      </c>
      <c r="N37" s="119">
        <f t="shared" si="3"/>
        <v>273</v>
      </c>
      <c r="O37" s="118">
        <f t="shared" si="4"/>
        <v>591.5</v>
      </c>
      <c r="P37" s="163" t="s">
        <v>242</v>
      </c>
    </row>
    <row r="38" spans="1:18" ht="25.5" customHeight="1">
      <c r="A38" s="39">
        <v>2.5</v>
      </c>
      <c r="B38" s="25">
        <v>332</v>
      </c>
      <c r="C38" s="7" t="s">
        <v>247</v>
      </c>
      <c r="D38" s="167">
        <v>1184</v>
      </c>
      <c r="E38" s="167">
        <v>780</v>
      </c>
      <c r="F38" s="167">
        <f t="shared" si="6"/>
        <v>520</v>
      </c>
      <c r="G38" s="167">
        <f t="shared" si="5"/>
        <v>390</v>
      </c>
      <c r="H38" s="167">
        <v>485</v>
      </c>
      <c r="I38" s="167">
        <v>845</v>
      </c>
      <c r="J38" s="117"/>
      <c r="K38" s="118">
        <f t="shared" si="0"/>
        <v>828.8</v>
      </c>
      <c r="L38" s="118">
        <f t="shared" si="1"/>
        <v>546</v>
      </c>
      <c r="M38" s="118">
        <f t="shared" si="2"/>
        <v>364</v>
      </c>
      <c r="N38" s="119">
        <f t="shared" si="3"/>
        <v>273</v>
      </c>
      <c r="O38" s="118">
        <f t="shared" si="4"/>
        <v>591.5</v>
      </c>
      <c r="P38" s="163" t="s">
        <v>242</v>
      </c>
    </row>
    <row r="39" spans="1:18" ht="25.5" customHeight="1">
      <c r="A39" s="39"/>
      <c r="B39" s="26"/>
      <c r="C39" s="171" t="s">
        <v>250</v>
      </c>
      <c r="D39" s="180"/>
      <c r="E39" s="180"/>
      <c r="F39" s="180"/>
      <c r="G39" s="180"/>
      <c r="H39" s="180"/>
      <c r="I39" s="180"/>
      <c r="J39" s="18"/>
      <c r="K39" s="17"/>
      <c r="L39" s="17"/>
      <c r="M39" s="17"/>
      <c r="N39" s="19"/>
      <c r="O39" s="17"/>
      <c r="P39" s="116"/>
    </row>
    <row r="40" spans="1:18" ht="25.5" customHeight="1">
      <c r="A40" s="39" t="s">
        <v>110</v>
      </c>
      <c r="B40" s="25">
        <v>246</v>
      </c>
      <c r="C40" s="7" t="s">
        <v>31</v>
      </c>
      <c r="D40" s="167">
        <v>600</v>
      </c>
      <c r="E40" s="167">
        <v>430</v>
      </c>
      <c r="F40" s="167">
        <f t="shared" ref="F40:F59" si="7">E40*2/3</f>
        <v>286.66666666666669</v>
      </c>
      <c r="G40" s="167">
        <f t="shared" ref="G40:G59" si="8">E40*2/4</f>
        <v>215</v>
      </c>
      <c r="H40" s="167">
        <v>265</v>
      </c>
      <c r="I40" s="167">
        <v>495</v>
      </c>
      <c r="J40" s="117"/>
      <c r="K40" s="118">
        <f>D40*0.7</f>
        <v>420</v>
      </c>
      <c r="L40" s="118">
        <f>E40*0.7</f>
        <v>301</v>
      </c>
      <c r="M40" s="118">
        <f>E40*2*0.7/3</f>
        <v>200.66666666666666</v>
      </c>
      <c r="N40" s="119">
        <f>E40*2*0.7/4</f>
        <v>150.5</v>
      </c>
      <c r="O40" s="118">
        <f>I40*0.7</f>
        <v>346.5</v>
      </c>
      <c r="P40" s="163" t="s">
        <v>242</v>
      </c>
    </row>
    <row r="41" spans="1:18" ht="25.5" customHeight="1">
      <c r="A41" s="39" t="s">
        <v>111</v>
      </c>
      <c r="B41" s="25">
        <v>148</v>
      </c>
      <c r="C41" s="7" t="s">
        <v>248</v>
      </c>
      <c r="D41" s="167">
        <v>615</v>
      </c>
      <c r="E41" s="167">
        <v>445</v>
      </c>
      <c r="F41" s="167">
        <f t="shared" si="7"/>
        <v>296.66666666666669</v>
      </c>
      <c r="G41" s="167">
        <f t="shared" si="8"/>
        <v>222.5</v>
      </c>
      <c r="H41" s="167">
        <v>265</v>
      </c>
      <c r="I41" s="167">
        <v>510</v>
      </c>
      <c r="J41" s="117"/>
      <c r="K41" s="118">
        <f>D41*0.7</f>
        <v>430.5</v>
      </c>
      <c r="L41" s="118">
        <f>E41*0.7</f>
        <v>311.5</v>
      </c>
      <c r="M41" s="118">
        <f>E41*2*0.7/3</f>
        <v>207.66666666666666</v>
      </c>
      <c r="N41" s="119">
        <f>E41*2*0.7/4</f>
        <v>155.75</v>
      </c>
      <c r="O41" s="118">
        <f>I41*0.7</f>
        <v>357</v>
      </c>
      <c r="P41" s="163" t="s">
        <v>242</v>
      </c>
    </row>
    <row r="42" spans="1:18" ht="25.5" customHeight="1">
      <c r="A42" s="39" t="s">
        <v>112</v>
      </c>
      <c r="B42" s="25" t="s">
        <v>94</v>
      </c>
      <c r="C42" s="7" t="s">
        <v>32</v>
      </c>
      <c r="D42" s="167">
        <v>720</v>
      </c>
      <c r="E42" s="167">
        <v>510</v>
      </c>
      <c r="F42" s="167">
        <f>E42*2/3</f>
        <v>340</v>
      </c>
      <c r="G42" s="167">
        <f t="shared" si="8"/>
        <v>255</v>
      </c>
      <c r="H42" s="167">
        <v>315</v>
      </c>
      <c r="I42" s="167">
        <v>575</v>
      </c>
      <c r="J42" s="117"/>
      <c r="K42" s="118">
        <f t="shared" si="0"/>
        <v>503.99999999999994</v>
      </c>
      <c r="L42" s="118">
        <f t="shared" si="1"/>
        <v>357</v>
      </c>
      <c r="M42" s="118">
        <f t="shared" si="2"/>
        <v>238</v>
      </c>
      <c r="N42" s="119">
        <f t="shared" si="3"/>
        <v>178.5</v>
      </c>
      <c r="O42" s="118">
        <f t="shared" si="4"/>
        <v>402.5</v>
      </c>
      <c r="P42" s="163" t="s">
        <v>242</v>
      </c>
    </row>
    <row r="43" spans="1:18" ht="25.5" customHeight="1">
      <c r="A43" s="38" t="s">
        <v>110</v>
      </c>
      <c r="B43" s="25">
        <v>150</v>
      </c>
      <c r="C43" s="7" t="s">
        <v>249</v>
      </c>
      <c r="D43" s="167">
        <v>871</v>
      </c>
      <c r="E43" s="167">
        <v>616</v>
      </c>
      <c r="F43" s="167">
        <f>E43*2/3</f>
        <v>410.66666666666669</v>
      </c>
      <c r="G43" s="167">
        <f>E43*2/4</f>
        <v>308</v>
      </c>
      <c r="H43" s="167">
        <v>355</v>
      </c>
      <c r="I43" s="167">
        <v>681</v>
      </c>
      <c r="J43" s="117"/>
      <c r="K43" s="118">
        <f t="shared" si="0"/>
        <v>609.69999999999993</v>
      </c>
      <c r="L43" s="118">
        <f t="shared" si="1"/>
        <v>431.2</v>
      </c>
      <c r="M43" s="118">
        <f t="shared" si="2"/>
        <v>287.46666666666664</v>
      </c>
      <c r="N43" s="119">
        <f t="shared" si="3"/>
        <v>215.6</v>
      </c>
      <c r="O43" s="118">
        <f t="shared" si="4"/>
        <v>476.7</v>
      </c>
      <c r="P43" s="163" t="s">
        <v>242</v>
      </c>
      <c r="Q43" s="18"/>
    </row>
    <row r="44" spans="1:18" ht="25.5" customHeight="1">
      <c r="A44" s="39" t="s">
        <v>110</v>
      </c>
      <c r="B44" s="25">
        <v>151</v>
      </c>
      <c r="C44" s="7" t="s">
        <v>33</v>
      </c>
      <c r="D44" s="167">
        <v>850</v>
      </c>
      <c r="E44" s="167">
        <v>595</v>
      </c>
      <c r="F44" s="167">
        <f t="shared" si="7"/>
        <v>396.66666666666669</v>
      </c>
      <c r="G44" s="167">
        <f t="shared" si="8"/>
        <v>297.5</v>
      </c>
      <c r="H44" s="167">
        <v>355</v>
      </c>
      <c r="I44" s="167">
        <v>660</v>
      </c>
      <c r="J44" s="117"/>
      <c r="K44" s="118">
        <f t="shared" si="0"/>
        <v>595</v>
      </c>
      <c r="L44" s="118">
        <f t="shared" si="1"/>
        <v>416.5</v>
      </c>
      <c r="M44" s="118">
        <f t="shared" si="2"/>
        <v>277.66666666666669</v>
      </c>
      <c r="N44" s="119">
        <f t="shared" si="3"/>
        <v>208.25</v>
      </c>
      <c r="O44" s="118">
        <f t="shared" si="4"/>
        <v>461.99999999999994</v>
      </c>
      <c r="P44" s="163" t="s">
        <v>242</v>
      </c>
    </row>
    <row r="45" spans="1:18" ht="25.5" customHeight="1">
      <c r="A45" s="39" t="s">
        <v>110</v>
      </c>
      <c r="B45" s="168">
        <v>214</v>
      </c>
      <c r="C45" s="169" t="s">
        <v>251</v>
      </c>
      <c r="D45" s="170">
        <v>502</v>
      </c>
      <c r="E45" s="170">
        <v>352</v>
      </c>
      <c r="F45" s="170">
        <f t="shared" si="7"/>
        <v>234.66666666666666</v>
      </c>
      <c r="G45" s="170">
        <f t="shared" si="8"/>
        <v>176</v>
      </c>
      <c r="H45" s="170">
        <v>267</v>
      </c>
      <c r="I45" s="170">
        <v>417</v>
      </c>
      <c r="J45" s="117"/>
      <c r="K45" s="118">
        <f>D45*0.7</f>
        <v>351.4</v>
      </c>
      <c r="L45" s="118">
        <f>E45*0.7</f>
        <v>246.39999999999998</v>
      </c>
      <c r="M45" s="118">
        <f>E45*2*0.7/3</f>
        <v>164.26666666666665</v>
      </c>
      <c r="N45" s="119">
        <f>E45*2*0.7/4</f>
        <v>123.19999999999999</v>
      </c>
      <c r="O45" s="118">
        <f>I45*0.7</f>
        <v>291.89999999999998</v>
      </c>
      <c r="P45" s="163" t="s">
        <v>242</v>
      </c>
    </row>
    <row r="46" spans="1:18" s="129" customFormat="1" ht="25.5" customHeight="1">
      <c r="A46" s="39"/>
      <c r="B46" s="25"/>
      <c r="C46" s="172" t="s">
        <v>252</v>
      </c>
      <c r="D46" s="167"/>
      <c r="E46" s="167"/>
      <c r="F46" s="167"/>
      <c r="G46" s="167"/>
      <c r="H46" s="167"/>
      <c r="I46" s="167"/>
      <c r="J46" s="117"/>
      <c r="K46" s="118"/>
      <c r="L46" s="118"/>
      <c r="M46" s="118"/>
      <c r="N46" s="119"/>
      <c r="O46" s="118"/>
      <c r="P46" s="163"/>
    </row>
    <row r="47" spans="1:18" ht="25.5" customHeight="1">
      <c r="A47" s="39" t="s">
        <v>115</v>
      </c>
      <c r="B47" s="25">
        <v>35</v>
      </c>
      <c r="C47" s="7" t="s">
        <v>34</v>
      </c>
      <c r="D47" s="167">
        <v>600</v>
      </c>
      <c r="E47" s="167">
        <v>430</v>
      </c>
      <c r="F47" s="167">
        <f>E47*2/3</f>
        <v>286.66666666666669</v>
      </c>
      <c r="G47" s="167">
        <f t="shared" si="8"/>
        <v>215</v>
      </c>
      <c r="H47" s="167">
        <v>265</v>
      </c>
      <c r="I47" s="167">
        <v>495</v>
      </c>
      <c r="J47" s="117"/>
      <c r="K47" s="118">
        <f>D47*0.7</f>
        <v>420</v>
      </c>
      <c r="L47" s="118">
        <f>E47*0.7</f>
        <v>301</v>
      </c>
      <c r="M47" s="118">
        <f>E47*2*0.7/3</f>
        <v>200.66666666666666</v>
      </c>
      <c r="N47" s="119">
        <f>E47*2*0.7/4</f>
        <v>150.5</v>
      </c>
      <c r="O47" s="118">
        <f>I47*0.7</f>
        <v>346.5</v>
      </c>
      <c r="P47" s="163" t="s">
        <v>242</v>
      </c>
      <c r="R47" s="44"/>
    </row>
    <row r="48" spans="1:18" ht="25.5" customHeight="1">
      <c r="A48" s="39" t="s">
        <v>113</v>
      </c>
      <c r="B48" s="25">
        <v>153</v>
      </c>
      <c r="C48" s="7" t="s">
        <v>35</v>
      </c>
      <c r="D48" s="167">
        <v>720</v>
      </c>
      <c r="E48" s="167">
        <v>510</v>
      </c>
      <c r="F48" s="167">
        <f t="shared" si="7"/>
        <v>340</v>
      </c>
      <c r="G48" s="167">
        <f t="shared" si="8"/>
        <v>255</v>
      </c>
      <c r="H48" s="167">
        <v>315</v>
      </c>
      <c r="I48" s="167">
        <v>575</v>
      </c>
      <c r="J48" s="117"/>
      <c r="K48" s="118">
        <f>D48*0.7</f>
        <v>503.99999999999994</v>
      </c>
      <c r="L48" s="118">
        <f>E48*0.7</f>
        <v>357</v>
      </c>
      <c r="M48" s="118">
        <f>E48*2*0.7/3</f>
        <v>238</v>
      </c>
      <c r="N48" s="119">
        <f>E48*2*0.7/4</f>
        <v>178.5</v>
      </c>
      <c r="O48" s="118">
        <f>I48*0.7</f>
        <v>402.5</v>
      </c>
      <c r="P48" s="163" t="s">
        <v>242</v>
      </c>
    </row>
    <row r="49" spans="1:16" ht="25.5" customHeight="1">
      <c r="A49" s="38" t="s">
        <v>115</v>
      </c>
      <c r="B49" s="25">
        <v>142</v>
      </c>
      <c r="C49" s="7" t="s">
        <v>36</v>
      </c>
      <c r="D49" s="167">
        <v>871</v>
      </c>
      <c r="E49" s="167">
        <v>616</v>
      </c>
      <c r="F49" s="167">
        <f t="shared" si="7"/>
        <v>410.66666666666669</v>
      </c>
      <c r="G49" s="167">
        <f t="shared" si="8"/>
        <v>308</v>
      </c>
      <c r="H49" s="167">
        <v>355</v>
      </c>
      <c r="I49" s="167">
        <v>681</v>
      </c>
      <c r="J49" s="117"/>
      <c r="K49" s="118">
        <f t="shared" si="0"/>
        <v>609.69999999999993</v>
      </c>
      <c r="L49" s="118">
        <f t="shared" si="1"/>
        <v>431.2</v>
      </c>
      <c r="M49" s="118">
        <f t="shared" si="2"/>
        <v>287.46666666666664</v>
      </c>
      <c r="N49" s="119">
        <f t="shared" si="3"/>
        <v>215.6</v>
      </c>
      <c r="O49" s="118">
        <f t="shared" si="4"/>
        <v>476.7</v>
      </c>
      <c r="P49" s="163" t="s">
        <v>242</v>
      </c>
    </row>
    <row r="50" spans="1:16" ht="25.5" customHeight="1">
      <c r="A50" s="38" t="s">
        <v>115</v>
      </c>
      <c r="B50" s="25">
        <v>213</v>
      </c>
      <c r="C50" s="7" t="s">
        <v>278</v>
      </c>
      <c r="D50" s="167">
        <v>502</v>
      </c>
      <c r="E50" s="167">
        <v>352</v>
      </c>
      <c r="F50" s="167">
        <f t="shared" si="7"/>
        <v>234.66666666666666</v>
      </c>
      <c r="G50" s="167">
        <f t="shared" si="8"/>
        <v>176</v>
      </c>
      <c r="H50" s="167">
        <v>267</v>
      </c>
      <c r="I50" s="167">
        <v>417</v>
      </c>
      <c r="J50" s="117"/>
      <c r="K50" s="118">
        <f>D50*0.7</f>
        <v>351.4</v>
      </c>
      <c r="L50" s="118">
        <f>E50*0.7</f>
        <v>246.39999999999998</v>
      </c>
      <c r="M50" s="118">
        <f>E50*2*0.7/3</f>
        <v>164.26666666666665</v>
      </c>
      <c r="N50" s="119">
        <f>E50*2*0.7/4</f>
        <v>123.19999999999999</v>
      </c>
      <c r="O50" s="118">
        <f>I50*0.7</f>
        <v>291.89999999999998</v>
      </c>
      <c r="P50" s="163" t="s">
        <v>242</v>
      </c>
    </row>
    <row r="51" spans="1:16" ht="25.5" customHeight="1">
      <c r="A51" s="38" t="s">
        <v>115</v>
      </c>
      <c r="B51" s="25">
        <v>36</v>
      </c>
      <c r="C51" s="7" t="s">
        <v>37</v>
      </c>
      <c r="D51" s="167">
        <v>600</v>
      </c>
      <c r="E51" s="167">
        <v>430</v>
      </c>
      <c r="F51" s="167">
        <f>E51*2/3</f>
        <v>286.66666666666669</v>
      </c>
      <c r="G51" s="167">
        <f t="shared" si="8"/>
        <v>215</v>
      </c>
      <c r="H51" s="167">
        <v>265</v>
      </c>
      <c r="I51" s="167">
        <v>495</v>
      </c>
      <c r="J51" s="117"/>
      <c r="K51" s="118">
        <f t="shared" si="0"/>
        <v>420</v>
      </c>
      <c r="L51" s="118">
        <f t="shared" si="1"/>
        <v>301</v>
      </c>
      <c r="M51" s="118">
        <f t="shared" si="2"/>
        <v>200.66666666666666</v>
      </c>
      <c r="N51" s="119">
        <f t="shared" si="3"/>
        <v>150.5</v>
      </c>
      <c r="O51" s="118">
        <f t="shared" si="4"/>
        <v>346.5</v>
      </c>
      <c r="P51" s="163" t="s">
        <v>242</v>
      </c>
    </row>
    <row r="52" spans="1:16" ht="25.5" customHeight="1">
      <c r="A52" s="39" t="s">
        <v>114</v>
      </c>
      <c r="B52" s="25">
        <v>1047</v>
      </c>
      <c r="C52" s="7" t="s">
        <v>38</v>
      </c>
      <c r="D52" s="167">
        <v>720</v>
      </c>
      <c r="E52" s="167">
        <v>510</v>
      </c>
      <c r="F52" s="167">
        <f t="shared" si="7"/>
        <v>340</v>
      </c>
      <c r="G52" s="167">
        <f t="shared" si="8"/>
        <v>255</v>
      </c>
      <c r="H52" s="167">
        <v>315</v>
      </c>
      <c r="I52" s="167">
        <v>575</v>
      </c>
      <c r="J52" s="117"/>
      <c r="K52" s="118">
        <f t="shared" si="0"/>
        <v>503.99999999999994</v>
      </c>
      <c r="L52" s="118">
        <f t="shared" si="1"/>
        <v>357</v>
      </c>
      <c r="M52" s="118">
        <f t="shared" si="2"/>
        <v>238</v>
      </c>
      <c r="N52" s="119">
        <f t="shared" si="3"/>
        <v>178.5</v>
      </c>
      <c r="O52" s="118">
        <f t="shared" si="4"/>
        <v>402.5</v>
      </c>
      <c r="P52" s="163" t="s">
        <v>242</v>
      </c>
    </row>
    <row r="53" spans="1:16" ht="25.5" customHeight="1">
      <c r="A53" s="38" t="s">
        <v>115</v>
      </c>
      <c r="B53" s="25">
        <v>133</v>
      </c>
      <c r="C53" s="7" t="s">
        <v>253</v>
      </c>
      <c r="D53" s="167">
        <v>871</v>
      </c>
      <c r="E53" s="167">
        <v>616</v>
      </c>
      <c r="F53" s="167">
        <f t="shared" si="7"/>
        <v>410.66666666666669</v>
      </c>
      <c r="G53" s="167">
        <f t="shared" si="8"/>
        <v>308</v>
      </c>
      <c r="H53" s="167">
        <v>355</v>
      </c>
      <c r="I53" s="167">
        <v>681</v>
      </c>
      <c r="J53" s="117"/>
      <c r="K53" s="118">
        <f t="shared" si="0"/>
        <v>609.69999999999993</v>
      </c>
      <c r="L53" s="118">
        <f t="shared" si="1"/>
        <v>431.2</v>
      </c>
      <c r="M53" s="118">
        <f t="shared" si="2"/>
        <v>287.46666666666664</v>
      </c>
      <c r="N53" s="119">
        <f t="shared" si="3"/>
        <v>215.6</v>
      </c>
      <c r="O53" s="118">
        <f t="shared" si="4"/>
        <v>476.7</v>
      </c>
      <c r="P53" s="163" t="s">
        <v>242</v>
      </c>
    </row>
    <row r="54" spans="1:16" ht="25.5" customHeight="1">
      <c r="A54" s="38" t="s">
        <v>115</v>
      </c>
      <c r="B54" s="168">
        <v>211</v>
      </c>
      <c r="C54" s="169" t="s">
        <v>254</v>
      </c>
      <c r="D54" s="170">
        <v>502</v>
      </c>
      <c r="E54" s="170">
        <v>352</v>
      </c>
      <c r="F54" s="170">
        <f t="shared" si="7"/>
        <v>234.66666666666666</v>
      </c>
      <c r="G54" s="170">
        <f t="shared" si="8"/>
        <v>176</v>
      </c>
      <c r="H54" s="170">
        <v>267</v>
      </c>
      <c r="I54" s="170">
        <v>417</v>
      </c>
      <c r="J54" s="117"/>
      <c r="K54" s="118">
        <f t="shared" si="0"/>
        <v>351.4</v>
      </c>
      <c r="L54" s="118">
        <f t="shared" si="1"/>
        <v>246.39999999999998</v>
      </c>
      <c r="M54" s="118">
        <f t="shared" si="2"/>
        <v>164.26666666666665</v>
      </c>
      <c r="N54" s="119">
        <f t="shared" si="3"/>
        <v>123.19999999999999</v>
      </c>
      <c r="O54" s="118">
        <f t="shared" si="4"/>
        <v>291.89999999999998</v>
      </c>
      <c r="P54" s="163" t="s">
        <v>242</v>
      </c>
    </row>
    <row r="55" spans="1:16" s="129" customFormat="1" ht="25.5" customHeight="1">
      <c r="A55" s="38"/>
      <c r="B55" s="173"/>
      <c r="C55" s="43" t="s">
        <v>255</v>
      </c>
      <c r="D55" s="181"/>
      <c r="E55" s="181"/>
      <c r="F55" s="181"/>
      <c r="G55" s="181"/>
      <c r="H55" s="181"/>
      <c r="I55" s="181"/>
      <c r="J55" s="117"/>
      <c r="K55" s="118"/>
      <c r="L55" s="118"/>
      <c r="M55" s="118"/>
      <c r="N55" s="119"/>
      <c r="O55" s="118"/>
      <c r="P55" s="163"/>
    </row>
    <row r="56" spans="1:16" ht="25.5" customHeight="1">
      <c r="A56" s="38" t="s">
        <v>111</v>
      </c>
      <c r="B56" s="25" t="s">
        <v>96</v>
      </c>
      <c r="C56" s="7" t="s">
        <v>39</v>
      </c>
      <c r="D56" s="167">
        <v>600</v>
      </c>
      <c r="E56" s="167">
        <v>430</v>
      </c>
      <c r="F56" s="167">
        <f t="shared" si="7"/>
        <v>286.66666666666669</v>
      </c>
      <c r="G56" s="167">
        <f t="shared" si="8"/>
        <v>215</v>
      </c>
      <c r="H56" s="167">
        <v>265</v>
      </c>
      <c r="I56" s="167">
        <v>495</v>
      </c>
      <c r="J56" s="117"/>
      <c r="K56" s="118">
        <f t="shared" si="0"/>
        <v>420</v>
      </c>
      <c r="L56" s="118">
        <f t="shared" si="1"/>
        <v>301</v>
      </c>
      <c r="M56" s="118">
        <f t="shared" si="2"/>
        <v>200.66666666666666</v>
      </c>
      <c r="N56" s="119">
        <f t="shared" si="3"/>
        <v>150.5</v>
      </c>
      <c r="O56" s="118">
        <f t="shared" si="4"/>
        <v>346.5</v>
      </c>
      <c r="P56" s="163" t="s">
        <v>242</v>
      </c>
    </row>
    <row r="57" spans="1:16" ht="25.5" customHeight="1">
      <c r="A57" s="38" t="s">
        <v>111</v>
      </c>
      <c r="B57" s="25" t="s">
        <v>97</v>
      </c>
      <c r="C57" s="7" t="s">
        <v>40</v>
      </c>
      <c r="D57" s="167">
        <v>600</v>
      </c>
      <c r="E57" s="167">
        <v>430</v>
      </c>
      <c r="F57" s="167">
        <f t="shared" si="7"/>
        <v>286.66666666666669</v>
      </c>
      <c r="G57" s="167">
        <f t="shared" si="8"/>
        <v>215</v>
      </c>
      <c r="H57" s="167">
        <v>265</v>
      </c>
      <c r="I57" s="167">
        <v>495</v>
      </c>
      <c r="J57" s="117"/>
      <c r="K57" s="118">
        <f t="shared" si="0"/>
        <v>420</v>
      </c>
      <c r="L57" s="118">
        <f t="shared" si="1"/>
        <v>301</v>
      </c>
      <c r="M57" s="118">
        <f t="shared" si="2"/>
        <v>200.66666666666666</v>
      </c>
      <c r="N57" s="119">
        <f t="shared" si="3"/>
        <v>150.5</v>
      </c>
      <c r="O57" s="118">
        <f t="shared" si="4"/>
        <v>346.5</v>
      </c>
      <c r="P57" s="163" t="s">
        <v>242</v>
      </c>
    </row>
    <row r="58" spans="1:16" ht="25.5" customHeight="1">
      <c r="A58" s="38" t="s">
        <v>111</v>
      </c>
      <c r="B58" s="25">
        <v>375</v>
      </c>
      <c r="C58" s="7" t="s">
        <v>256</v>
      </c>
      <c r="D58" s="167">
        <v>738</v>
      </c>
      <c r="E58" s="167">
        <v>528</v>
      </c>
      <c r="F58" s="167">
        <f t="shared" si="7"/>
        <v>352</v>
      </c>
      <c r="G58" s="167">
        <f t="shared" si="8"/>
        <v>264</v>
      </c>
      <c r="H58" s="167">
        <v>315</v>
      </c>
      <c r="I58" s="167">
        <v>593</v>
      </c>
      <c r="J58" s="117"/>
      <c r="K58" s="118">
        <f t="shared" si="0"/>
        <v>516.6</v>
      </c>
      <c r="L58" s="118">
        <f t="shared" si="1"/>
        <v>369.59999999999997</v>
      </c>
      <c r="M58" s="118">
        <f t="shared" si="2"/>
        <v>246.39999999999998</v>
      </c>
      <c r="N58" s="119">
        <f t="shared" si="3"/>
        <v>184.79999999999998</v>
      </c>
      <c r="O58" s="118">
        <f t="shared" si="4"/>
        <v>415.09999999999997</v>
      </c>
      <c r="P58" s="163" t="s">
        <v>242</v>
      </c>
    </row>
    <row r="59" spans="1:16" ht="25.5" customHeight="1">
      <c r="A59" s="38" t="s">
        <v>111</v>
      </c>
      <c r="B59" s="25" t="s">
        <v>95</v>
      </c>
      <c r="C59" s="7" t="s">
        <v>41</v>
      </c>
      <c r="D59" s="167">
        <v>871</v>
      </c>
      <c r="E59" s="167">
        <v>616</v>
      </c>
      <c r="F59" s="167">
        <f t="shared" si="7"/>
        <v>410.66666666666669</v>
      </c>
      <c r="G59" s="167">
        <f t="shared" si="8"/>
        <v>308</v>
      </c>
      <c r="H59" s="167">
        <v>355</v>
      </c>
      <c r="I59" s="167">
        <v>681</v>
      </c>
      <c r="J59" s="117"/>
      <c r="K59" s="118">
        <f t="shared" si="0"/>
        <v>609.69999999999993</v>
      </c>
      <c r="L59" s="118">
        <f t="shared" si="1"/>
        <v>431.2</v>
      </c>
      <c r="M59" s="118">
        <f t="shared" si="2"/>
        <v>287.46666666666664</v>
      </c>
      <c r="N59" s="119">
        <f t="shared" si="3"/>
        <v>215.6</v>
      </c>
      <c r="O59" s="118">
        <f t="shared" si="4"/>
        <v>476.7</v>
      </c>
      <c r="P59" s="163" t="s">
        <v>242</v>
      </c>
    </row>
    <row r="60" spans="1:16" ht="25.5" customHeight="1">
      <c r="A60" s="38" t="s">
        <v>111</v>
      </c>
      <c r="B60" s="25"/>
      <c r="C60" s="7" t="s">
        <v>42</v>
      </c>
      <c r="D60" s="182"/>
      <c r="E60" s="182"/>
      <c r="F60" s="182"/>
      <c r="G60" s="182"/>
      <c r="H60" s="182"/>
      <c r="I60" s="182"/>
      <c r="J60" s="4" t="s">
        <v>45</v>
      </c>
      <c r="K60" s="17"/>
      <c r="L60" s="17"/>
      <c r="M60" s="17"/>
      <c r="N60" s="19"/>
      <c r="O60" s="17"/>
      <c r="P60" s="116"/>
    </row>
    <row r="61" spans="1:16" ht="25.5" customHeight="1">
      <c r="A61" s="38" t="s">
        <v>116</v>
      </c>
      <c r="B61" s="25">
        <v>33</v>
      </c>
      <c r="C61" s="7" t="s">
        <v>43</v>
      </c>
      <c r="D61" s="167">
        <v>600</v>
      </c>
      <c r="E61" s="167">
        <v>430</v>
      </c>
      <c r="F61" s="167">
        <f>E61*2/3</f>
        <v>286.66666666666669</v>
      </c>
      <c r="G61" s="167">
        <f>E61*2/4</f>
        <v>215</v>
      </c>
      <c r="H61" s="167">
        <v>265</v>
      </c>
      <c r="I61" s="167">
        <v>495</v>
      </c>
      <c r="J61" s="117"/>
      <c r="K61" s="118">
        <f>D61*0.7</f>
        <v>420</v>
      </c>
      <c r="L61" s="118">
        <f>E61*0.7</f>
        <v>301</v>
      </c>
      <c r="M61" s="118">
        <f>E61*2*0.7/3</f>
        <v>200.66666666666666</v>
      </c>
      <c r="N61" s="119">
        <f>E61*2*0.7/4</f>
        <v>150.5</v>
      </c>
      <c r="O61" s="118">
        <f t="shared" si="4"/>
        <v>346.5</v>
      </c>
      <c r="P61" s="163" t="s">
        <v>242</v>
      </c>
    </row>
    <row r="62" spans="1:16" ht="25.5" customHeight="1">
      <c r="A62" s="39" t="s">
        <v>117</v>
      </c>
      <c r="B62" s="25">
        <v>1712</v>
      </c>
      <c r="C62" s="7" t="s">
        <v>44</v>
      </c>
      <c r="D62" s="167">
        <v>720</v>
      </c>
      <c r="E62" s="167">
        <v>510</v>
      </c>
      <c r="F62" s="167">
        <f>E62*2/3</f>
        <v>340</v>
      </c>
      <c r="G62" s="167">
        <f>E62*2/4</f>
        <v>255</v>
      </c>
      <c r="H62" s="167">
        <v>315</v>
      </c>
      <c r="I62" s="167">
        <v>575</v>
      </c>
      <c r="J62" s="117"/>
      <c r="K62" s="118">
        <f t="shared" si="0"/>
        <v>503.99999999999994</v>
      </c>
      <c r="L62" s="118">
        <f t="shared" si="1"/>
        <v>357</v>
      </c>
      <c r="M62" s="118">
        <f t="shared" si="2"/>
        <v>238</v>
      </c>
      <c r="N62" s="119">
        <f t="shared" si="3"/>
        <v>178.5</v>
      </c>
      <c r="O62" s="118">
        <f t="shared" si="4"/>
        <v>402.5</v>
      </c>
      <c r="P62" s="163" t="s">
        <v>242</v>
      </c>
    </row>
    <row r="63" spans="1:16" ht="25.5" customHeight="1">
      <c r="A63" s="38" t="s">
        <v>116</v>
      </c>
      <c r="B63" s="25">
        <v>147</v>
      </c>
      <c r="C63" s="7" t="s">
        <v>257</v>
      </c>
      <c r="D63" s="167">
        <v>871</v>
      </c>
      <c r="E63" s="167">
        <v>616</v>
      </c>
      <c r="F63" s="167">
        <f>E63*2/3</f>
        <v>410.66666666666669</v>
      </c>
      <c r="G63" s="167">
        <f>E63*2/4</f>
        <v>308</v>
      </c>
      <c r="H63" s="167">
        <v>355</v>
      </c>
      <c r="I63" s="167">
        <v>681</v>
      </c>
      <c r="J63" s="117"/>
      <c r="K63" s="118">
        <f t="shared" si="0"/>
        <v>609.69999999999993</v>
      </c>
      <c r="L63" s="118">
        <f t="shared" si="1"/>
        <v>431.2</v>
      </c>
      <c r="M63" s="118">
        <f t="shared" si="2"/>
        <v>287.46666666666664</v>
      </c>
      <c r="N63" s="119">
        <f t="shared" si="3"/>
        <v>215.6</v>
      </c>
      <c r="O63" s="118">
        <f t="shared" si="4"/>
        <v>476.7</v>
      </c>
      <c r="P63" s="163" t="s">
        <v>242</v>
      </c>
    </row>
    <row r="64" spans="1:16" ht="21" customHeight="1">
      <c r="A64" s="38"/>
      <c r="B64" s="49"/>
      <c r="C64" s="21"/>
      <c r="D64" s="183"/>
      <c r="E64" s="183"/>
      <c r="F64" s="183"/>
      <c r="G64" s="183"/>
      <c r="H64" s="183"/>
      <c r="I64" s="183"/>
      <c r="J64" s="18"/>
      <c r="K64" s="116"/>
      <c r="L64" s="116"/>
      <c r="M64" s="116"/>
      <c r="N64" s="116"/>
      <c r="O64" s="116"/>
      <c r="P64" s="116"/>
    </row>
    <row r="65" spans="1:18" ht="25.5" customHeight="1">
      <c r="A65" s="39"/>
      <c r="B65" s="107" t="s">
        <v>62</v>
      </c>
      <c r="C65" s="113"/>
      <c r="D65" s="184" t="s">
        <v>59</v>
      </c>
      <c r="E65" s="184"/>
      <c r="F65" s="184"/>
      <c r="G65" s="184"/>
      <c r="H65" s="184"/>
      <c r="I65" s="184"/>
      <c r="K65" t="s">
        <v>60</v>
      </c>
    </row>
    <row r="66" spans="1:18" ht="25.5" customHeight="1">
      <c r="A66" s="39"/>
      <c r="B66" s="32" t="s">
        <v>89</v>
      </c>
      <c r="C66" s="2" t="s">
        <v>0</v>
      </c>
      <c r="D66" s="185" t="s">
        <v>1</v>
      </c>
      <c r="E66" s="185" t="s">
        <v>2</v>
      </c>
      <c r="F66" s="185" t="s">
        <v>3</v>
      </c>
      <c r="G66" s="185" t="s">
        <v>4</v>
      </c>
      <c r="H66" s="185" t="s">
        <v>5</v>
      </c>
      <c r="I66" s="185" t="s">
        <v>6</v>
      </c>
      <c r="K66" s="3" t="s">
        <v>1</v>
      </c>
      <c r="L66" s="3" t="s">
        <v>2</v>
      </c>
      <c r="M66" s="3" t="s">
        <v>3</v>
      </c>
      <c r="N66" s="3" t="s">
        <v>4</v>
      </c>
      <c r="O66" s="3" t="s">
        <v>6</v>
      </c>
      <c r="P66" s="161"/>
    </row>
    <row r="67" spans="1:18" ht="25.5" customHeight="1">
      <c r="A67" s="39">
        <v>3.6</v>
      </c>
      <c r="B67" s="25">
        <v>1555</v>
      </c>
      <c r="C67" s="7" t="s">
        <v>29</v>
      </c>
      <c r="D67" s="187">
        <v>1389</v>
      </c>
      <c r="E67" s="187">
        <v>1029</v>
      </c>
      <c r="F67" s="167">
        <f>E67*2/3</f>
        <v>686</v>
      </c>
      <c r="G67" s="187">
        <f>(E67*2+H67)/4</f>
        <v>696.75</v>
      </c>
      <c r="H67" s="187">
        <v>729</v>
      </c>
      <c r="I67" s="187" t="s">
        <v>46</v>
      </c>
      <c r="J67" s="120"/>
      <c r="K67" s="121">
        <f>D67*0.7</f>
        <v>972.3</v>
      </c>
      <c r="L67" s="121">
        <f>E67*0.7</f>
        <v>720.3</v>
      </c>
      <c r="M67" s="121">
        <f>E67*2*0.7/3</f>
        <v>480.2</v>
      </c>
      <c r="N67" s="121">
        <f>(E67*2+H67)*0.7/4</f>
        <v>487.72499999999997</v>
      </c>
      <c r="O67" s="82" t="s">
        <v>58</v>
      </c>
      <c r="P67" s="174" t="s">
        <v>242</v>
      </c>
      <c r="Q67" s="82"/>
      <c r="R67" s="82"/>
    </row>
    <row r="68" spans="1:18" ht="25.5" customHeight="1">
      <c r="A68" s="39">
        <v>2.5</v>
      </c>
      <c r="B68" s="25">
        <v>1552</v>
      </c>
      <c r="C68" s="7" t="s">
        <v>30</v>
      </c>
      <c r="D68" s="167">
        <v>1534</v>
      </c>
      <c r="E68" s="167">
        <v>1134</v>
      </c>
      <c r="F68" s="167">
        <f>E68*2/3</f>
        <v>756</v>
      </c>
      <c r="G68" s="187">
        <f>(E68*2+H68)/4</f>
        <v>775.5</v>
      </c>
      <c r="H68" s="167">
        <v>834</v>
      </c>
      <c r="I68" s="167" t="s">
        <v>46</v>
      </c>
      <c r="J68" s="117"/>
      <c r="K68" s="121">
        <f>D68*0.7</f>
        <v>1073.8</v>
      </c>
      <c r="L68" s="121">
        <f>E68*0.7</f>
        <v>793.8</v>
      </c>
      <c r="M68" s="121">
        <f>E68*2*0.7/3</f>
        <v>529.19999999999993</v>
      </c>
      <c r="N68" s="121">
        <f>(E68*2+H68)*0.7/4</f>
        <v>542.84999999999991</v>
      </c>
      <c r="O68" s="83" t="s">
        <v>58</v>
      </c>
      <c r="P68" s="175" t="s">
        <v>258</v>
      </c>
      <c r="Q68" s="82"/>
    </row>
    <row r="69" spans="1:18" ht="25.5" customHeight="1">
      <c r="A69" s="39"/>
      <c r="B69" s="26"/>
      <c r="C69" s="21"/>
      <c r="D69" s="186"/>
      <c r="E69" s="186"/>
      <c r="F69" s="186"/>
      <c r="G69" s="186"/>
      <c r="H69" s="186"/>
      <c r="I69" s="183"/>
      <c r="J69" s="9"/>
      <c r="K69" s="24"/>
      <c r="L69" s="24"/>
      <c r="M69" s="23"/>
      <c r="N69" s="23"/>
      <c r="O69" s="16"/>
      <c r="P69" s="16"/>
      <c r="Q69" s="18"/>
    </row>
    <row r="70" spans="1:18" ht="25.5" customHeight="1">
      <c r="A70" s="39"/>
      <c r="B70" s="114" t="s">
        <v>200</v>
      </c>
      <c r="C70" s="115"/>
      <c r="D70" s="186" t="s">
        <v>59</v>
      </c>
      <c r="E70" s="186"/>
      <c r="F70" s="183"/>
      <c r="G70" s="186"/>
      <c r="H70" s="186"/>
      <c r="I70" s="183"/>
      <c r="J70" s="9"/>
      <c r="K70" s="100" t="s">
        <v>60</v>
      </c>
      <c r="L70" s="100"/>
      <c r="M70" s="23"/>
      <c r="N70" s="23"/>
      <c r="O70" s="23"/>
      <c r="P70" s="23"/>
      <c r="Q70" s="14"/>
      <c r="R70" s="18"/>
    </row>
    <row r="71" spans="1:18" ht="40.5" customHeight="1">
      <c r="A71" s="39"/>
      <c r="B71" s="32" t="s">
        <v>89</v>
      </c>
      <c r="C71" s="2" t="s">
        <v>0</v>
      </c>
      <c r="D71" s="185" t="s">
        <v>1</v>
      </c>
      <c r="E71" s="185" t="s">
        <v>2</v>
      </c>
      <c r="F71" s="185" t="s">
        <v>3</v>
      </c>
      <c r="G71" s="185" t="s">
        <v>4</v>
      </c>
      <c r="H71" s="185" t="s">
        <v>5</v>
      </c>
      <c r="I71" s="185" t="s">
        <v>6</v>
      </c>
      <c r="K71" s="3" t="s">
        <v>1</v>
      </c>
      <c r="L71" s="3" t="s">
        <v>2</v>
      </c>
      <c r="M71" s="3" t="s">
        <v>3</v>
      </c>
      <c r="N71" s="3" t="s">
        <v>4</v>
      </c>
      <c r="O71" s="3" t="s">
        <v>6</v>
      </c>
      <c r="P71" s="161"/>
    </row>
    <row r="72" spans="1:18" ht="25.5" customHeight="1">
      <c r="A72" s="39" t="s">
        <v>109</v>
      </c>
      <c r="B72" s="25">
        <v>636</v>
      </c>
      <c r="C72" s="5" t="s">
        <v>12</v>
      </c>
      <c r="D72" s="189">
        <v>490</v>
      </c>
      <c r="E72" s="187">
        <v>340</v>
      </c>
      <c r="F72" s="187">
        <v>307</v>
      </c>
      <c r="G72" s="187">
        <v>290</v>
      </c>
      <c r="H72" s="187">
        <v>290</v>
      </c>
      <c r="I72" s="187">
        <v>405</v>
      </c>
      <c r="J72" s="120"/>
      <c r="K72" s="245">
        <f t="shared" ref="K72:N76" si="9">D72*0.7</f>
        <v>343</v>
      </c>
      <c r="L72" s="118">
        <f t="shared" si="9"/>
        <v>237.99999999999997</v>
      </c>
      <c r="M72" s="118">
        <f t="shared" si="9"/>
        <v>214.89999999999998</v>
      </c>
      <c r="N72" s="118">
        <f t="shared" si="9"/>
        <v>203</v>
      </c>
      <c r="O72" s="118">
        <f>I72*0.7</f>
        <v>283.5</v>
      </c>
      <c r="P72" s="164" t="s">
        <v>259</v>
      </c>
      <c r="Q72" s="242">
        <v>0.3</v>
      </c>
      <c r="R72" t="s">
        <v>317</v>
      </c>
    </row>
    <row r="73" spans="1:18" ht="25.5" customHeight="1">
      <c r="A73" s="39"/>
      <c r="B73" s="25">
        <v>2867</v>
      </c>
      <c r="C73" s="5" t="s">
        <v>201</v>
      </c>
      <c r="D73" s="187">
        <v>345</v>
      </c>
      <c r="E73" s="187">
        <v>235</v>
      </c>
      <c r="F73" s="187">
        <v>219</v>
      </c>
      <c r="G73" s="187">
        <v>210</v>
      </c>
      <c r="H73" s="187">
        <v>210</v>
      </c>
      <c r="I73" s="187">
        <v>295</v>
      </c>
      <c r="J73" s="120"/>
      <c r="K73" s="245">
        <f t="shared" si="9"/>
        <v>241.49999999999997</v>
      </c>
      <c r="L73" s="118">
        <f t="shared" si="9"/>
        <v>164.5</v>
      </c>
      <c r="M73" s="118">
        <f t="shared" si="9"/>
        <v>153.29999999999998</v>
      </c>
      <c r="N73" s="118">
        <f t="shared" si="9"/>
        <v>147</v>
      </c>
      <c r="O73" s="118">
        <f>I73*0.7</f>
        <v>206.5</v>
      </c>
      <c r="P73" s="164" t="s">
        <v>242</v>
      </c>
      <c r="Q73" s="243">
        <v>0.3</v>
      </c>
      <c r="R73" s="129" t="s">
        <v>317</v>
      </c>
    </row>
    <row r="74" spans="1:18" ht="25.5" customHeight="1">
      <c r="A74" s="39"/>
      <c r="B74" s="25">
        <v>2868</v>
      </c>
      <c r="C74" s="5" t="s">
        <v>204</v>
      </c>
      <c r="D74" s="187">
        <v>345</v>
      </c>
      <c r="E74" s="187">
        <v>235</v>
      </c>
      <c r="F74" s="187">
        <v>219</v>
      </c>
      <c r="G74" s="187">
        <v>210</v>
      </c>
      <c r="H74" s="187">
        <v>210</v>
      </c>
      <c r="I74" s="187">
        <v>295</v>
      </c>
      <c r="J74" s="120"/>
      <c r="K74" s="245">
        <f t="shared" si="9"/>
        <v>241.49999999999997</v>
      </c>
      <c r="L74" s="118">
        <f t="shared" si="9"/>
        <v>164.5</v>
      </c>
      <c r="M74" s="118">
        <f t="shared" si="9"/>
        <v>153.29999999999998</v>
      </c>
      <c r="N74" s="118">
        <f t="shared" si="9"/>
        <v>147</v>
      </c>
      <c r="O74" s="118">
        <f>I74*0.7</f>
        <v>206.5</v>
      </c>
      <c r="P74" s="164" t="s">
        <v>242</v>
      </c>
      <c r="Q74" s="243">
        <v>0.3</v>
      </c>
      <c r="R74" s="129" t="s">
        <v>317</v>
      </c>
    </row>
    <row r="75" spans="1:18" ht="25.5" customHeight="1">
      <c r="A75" s="39"/>
      <c r="B75" s="25">
        <v>2866</v>
      </c>
      <c r="C75" s="5" t="s">
        <v>202</v>
      </c>
      <c r="D75" s="187">
        <v>600</v>
      </c>
      <c r="E75" s="187">
        <v>430</v>
      </c>
      <c r="F75" s="187">
        <v>384</v>
      </c>
      <c r="G75" s="187">
        <v>360</v>
      </c>
      <c r="H75" s="187">
        <v>360</v>
      </c>
      <c r="I75" s="187">
        <v>495</v>
      </c>
      <c r="J75" s="120"/>
      <c r="K75" s="245">
        <f t="shared" si="9"/>
        <v>420</v>
      </c>
      <c r="L75" s="118">
        <f t="shared" si="9"/>
        <v>301</v>
      </c>
      <c r="M75" s="118">
        <f t="shared" si="9"/>
        <v>268.79999999999995</v>
      </c>
      <c r="N75" s="118">
        <f t="shared" si="9"/>
        <v>251.99999999999997</v>
      </c>
      <c r="O75" s="118">
        <f>I75*0.7</f>
        <v>346.5</v>
      </c>
      <c r="P75" s="164" t="s">
        <v>242</v>
      </c>
      <c r="Q75" s="243">
        <v>0.3</v>
      </c>
      <c r="R75" s="129" t="s">
        <v>317</v>
      </c>
    </row>
    <row r="76" spans="1:18" ht="25.5" customHeight="1">
      <c r="A76" s="39"/>
      <c r="B76" s="25">
        <v>2865</v>
      </c>
      <c r="C76" s="5" t="s">
        <v>203</v>
      </c>
      <c r="D76" s="187">
        <v>600</v>
      </c>
      <c r="E76" s="187">
        <v>430</v>
      </c>
      <c r="F76" s="187">
        <v>384</v>
      </c>
      <c r="G76" s="187">
        <v>360</v>
      </c>
      <c r="H76" s="187">
        <v>360</v>
      </c>
      <c r="I76" s="187">
        <v>495</v>
      </c>
      <c r="J76" s="120"/>
      <c r="K76" s="245">
        <f t="shared" si="9"/>
        <v>420</v>
      </c>
      <c r="L76" s="118">
        <f t="shared" si="9"/>
        <v>301</v>
      </c>
      <c r="M76" s="118">
        <f t="shared" si="9"/>
        <v>268.79999999999995</v>
      </c>
      <c r="N76" s="118">
        <f t="shared" si="9"/>
        <v>251.99999999999997</v>
      </c>
      <c r="O76" s="118">
        <f>I76*0.7</f>
        <v>346.5</v>
      </c>
      <c r="P76" s="164" t="s">
        <v>242</v>
      </c>
      <c r="Q76" s="243">
        <v>0.3</v>
      </c>
      <c r="R76" s="129" t="s">
        <v>317</v>
      </c>
    </row>
    <row r="77" spans="1:18" ht="25.5" customHeight="1">
      <c r="A77" s="39"/>
      <c r="B77" s="49"/>
      <c r="C77" s="50"/>
      <c r="D77" s="186"/>
      <c r="E77" s="186"/>
      <c r="F77" s="186"/>
      <c r="G77" s="186"/>
      <c r="H77" s="186"/>
      <c r="I77" s="186"/>
      <c r="K77" s="23"/>
      <c r="L77" s="23"/>
      <c r="M77" s="23"/>
      <c r="N77" s="23"/>
      <c r="O77" s="23"/>
      <c r="P77" s="23"/>
      <c r="Q77" s="83"/>
      <c r="R77" s="82"/>
    </row>
    <row r="78" spans="1:18" ht="25.5" customHeight="1">
      <c r="B78" s="107" t="s">
        <v>120</v>
      </c>
      <c r="C78" s="113"/>
      <c r="D78" s="190" t="s">
        <v>59</v>
      </c>
      <c r="E78" s="184"/>
      <c r="F78" s="184"/>
      <c r="G78" s="184"/>
      <c r="H78" s="184"/>
      <c r="I78" s="184"/>
      <c r="K78" s="20" t="s">
        <v>60</v>
      </c>
    </row>
    <row r="79" spans="1:18" ht="25.5" customHeight="1">
      <c r="B79" s="32" t="s">
        <v>89</v>
      </c>
      <c r="C79" s="2" t="s">
        <v>0</v>
      </c>
      <c r="D79" s="185" t="s">
        <v>1</v>
      </c>
      <c r="E79" s="185" t="s">
        <v>2</v>
      </c>
      <c r="F79" s="185" t="s">
        <v>3</v>
      </c>
      <c r="G79" s="185" t="s">
        <v>4</v>
      </c>
      <c r="H79" s="185" t="s">
        <v>5</v>
      </c>
      <c r="I79" s="185" t="s">
        <v>6</v>
      </c>
      <c r="K79" s="3" t="s">
        <v>1</v>
      </c>
      <c r="L79" s="3" t="s">
        <v>2</v>
      </c>
      <c r="M79" s="3" t="s">
        <v>3</v>
      </c>
      <c r="N79" s="3" t="s">
        <v>4</v>
      </c>
      <c r="O79" s="3" t="s">
        <v>6</v>
      </c>
      <c r="P79" s="161"/>
    </row>
    <row r="80" spans="1:18" ht="25.5" customHeight="1">
      <c r="B80" s="1"/>
      <c r="C80" s="5" t="s">
        <v>123</v>
      </c>
      <c r="D80" s="188" t="s">
        <v>121</v>
      </c>
      <c r="E80" s="188" t="s">
        <v>122</v>
      </c>
      <c r="F80" s="188"/>
      <c r="G80" s="188"/>
      <c r="H80" s="188"/>
      <c r="I80" s="188"/>
      <c r="J80" s="99"/>
      <c r="K80" s="98" t="s">
        <v>134</v>
      </c>
      <c r="L80" s="98" t="s">
        <v>135</v>
      </c>
      <c r="M80" s="98"/>
      <c r="N80" s="98"/>
      <c r="O80" s="98"/>
      <c r="P80" s="165"/>
    </row>
    <row r="81" spans="1:21" ht="25.5" customHeight="1">
      <c r="B81" s="1"/>
      <c r="C81" s="5" t="s">
        <v>124</v>
      </c>
      <c r="D81" s="187">
        <v>255</v>
      </c>
      <c r="E81" s="187">
        <v>175</v>
      </c>
      <c r="F81" s="167">
        <f>(E81*2+H81)/3</f>
        <v>155</v>
      </c>
      <c r="G81" s="187">
        <f>(E81*2+H81*2)/4</f>
        <v>145</v>
      </c>
      <c r="H81" s="187">
        <v>115</v>
      </c>
      <c r="I81" s="187">
        <v>200</v>
      </c>
      <c r="J81" s="26"/>
      <c r="K81" s="121">
        <f>D81*0.8</f>
        <v>204</v>
      </c>
      <c r="L81" s="121">
        <f>E81*0.8</f>
        <v>140</v>
      </c>
      <c r="M81" s="121">
        <f>F81*0.8</f>
        <v>124</v>
      </c>
      <c r="N81" s="121">
        <f>G81*0.8</f>
        <v>116</v>
      </c>
      <c r="O81" s="121">
        <f>I81*0.8</f>
        <v>160</v>
      </c>
      <c r="P81" s="164" t="s">
        <v>242</v>
      </c>
      <c r="Q81" t="s">
        <v>61</v>
      </c>
      <c r="S81" s="155" t="s">
        <v>240</v>
      </c>
      <c r="T81" s="154"/>
      <c r="U81" s="154"/>
    </row>
    <row r="82" spans="1:21" ht="25.5" customHeight="1">
      <c r="B82" s="1"/>
      <c r="C82" s="5" t="s">
        <v>125</v>
      </c>
      <c r="D82" s="187">
        <v>255</v>
      </c>
      <c r="E82" s="187">
        <v>175</v>
      </c>
      <c r="F82" s="167">
        <f>(E82*2+H82)/3</f>
        <v>155</v>
      </c>
      <c r="G82" s="187">
        <f>(E82*2+H82*2)/4</f>
        <v>145</v>
      </c>
      <c r="H82" s="187">
        <v>115</v>
      </c>
      <c r="I82" s="187">
        <v>200</v>
      </c>
      <c r="J82" s="26"/>
      <c r="K82" s="121">
        <f t="shared" ref="K82:K91" si="10">D82*0.8</f>
        <v>204</v>
      </c>
      <c r="L82" s="121">
        <f t="shared" ref="L82:L91" si="11">E82*0.8</f>
        <v>140</v>
      </c>
      <c r="M82" s="121">
        <f t="shared" ref="M82:M91" si="12">F82*0.8</f>
        <v>124</v>
      </c>
      <c r="N82" s="121">
        <f t="shared" ref="N82:N91" si="13">G82*0.8</f>
        <v>116</v>
      </c>
      <c r="O82" s="121">
        <f t="shared" ref="O82:O91" si="14">I82*0.8</f>
        <v>160</v>
      </c>
      <c r="P82" s="164" t="s">
        <v>242</v>
      </c>
      <c r="Q82" t="s">
        <v>61</v>
      </c>
      <c r="S82" s="155" t="s">
        <v>240</v>
      </c>
      <c r="T82" s="154"/>
      <c r="U82" s="154"/>
    </row>
    <row r="83" spans="1:21" ht="25.5" customHeight="1">
      <c r="B83" s="1"/>
      <c r="C83" s="5" t="s">
        <v>126</v>
      </c>
      <c r="D83" s="187">
        <v>345</v>
      </c>
      <c r="E83" s="187">
        <v>235</v>
      </c>
      <c r="F83" s="167">
        <v>219</v>
      </c>
      <c r="G83" s="187">
        <f t="shared" ref="G83:G90" si="15">(E83*2+H83*2)/4</f>
        <v>210</v>
      </c>
      <c r="H83" s="187">
        <v>185</v>
      </c>
      <c r="I83" s="187">
        <v>295</v>
      </c>
      <c r="J83" s="26"/>
      <c r="K83" s="121">
        <f t="shared" si="10"/>
        <v>276</v>
      </c>
      <c r="L83" s="121">
        <f t="shared" si="11"/>
        <v>188</v>
      </c>
      <c r="M83" s="121">
        <f t="shared" si="12"/>
        <v>175.20000000000002</v>
      </c>
      <c r="N83" s="121">
        <f t="shared" si="13"/>
        <v>168</v>
      </c>
      <c r="O83" s="121">
        <f t="shared" si="14"/>
        <v>236</v>
      </c>
      <c r="P83" s="164" t="s">
        <v>242</v>
      </c>
      <c r="Q83" t="s">
        <v>61</v>
      </c>
      <c r="S83" s="155" t="s">
        <v>240</v>
      </c>
      <c r="T83" s="154"/>
      <c r="U83" s="154"/>
    </row>
    <row r="84" spans="1:21" ht="25.5" customHeight="1">
      <c r="B84" s="1"/>
      <c r="C84" s="5" t="s">
        <v>127</v>
      </c>
      <c r="D84" s="187">
        <v>490</v>
      </c>
      <c r="E84" s="187">
        <v>340</v>
      </c>
      <c r="F84" s="167">
        <f>(E84*2+H84)/3</f>
        <v>306.66666666666669</v>
      </c>
      <c r="G84" s="187">
        <f t="shared" si="15"/>
        <v>290</v>
      </c>
      <c r="H84" s="187">
        <v>240</v>
      </c>
      <c r="I84" s="187">
        <v>405</v>
      </c>
      <c r="J84" s="26"/>
      <c r="K84" s="121">
        <f t="shared" si="10"/>
        <v>392</v>
      </c>
      <c r="L84" s="121">
        <f t="shared" si="11"/>
        <v>272</v>
      </c>
      <c r="M84" s="121">
        <f t="shared" si="12"/>
        <v>245.33333333333337</v>
      </c>
      <c r="N84" s="121">
        <f t="shared" si="13"/>
        <v>232</v>
      </c>
      <c r="O84" s="121">
        <f t="shared" si="14"/>
        <v>324</v>
      </c>
      <c r="P84" s="164" t="s">
        <v>242</v>
      </c>
      <c r="Q84" t="s">
        <v>61</v>
      </c>
      <c r="S84" s="155" t="s">
        <v>240</v>
      </c>
      <c r="T84" s="154"/>
      <c r="U84" s="154"/>
    </row>
    <row r="85" spans="1:21" ht="25.5" customHeight="1">
      <c r="B85" s="1"/>
      <c r="C85" s="5" t="s">
        <v>128</v>
      </c>
      <c r="D85" s="187">
        <v>600</v>
      </c>
      <c r="E85" s="187">
        <v>430</v>
      </c>
      <c r="F85" s="167">
        <v>383</v>
      </c>
      <c r="G85" s="187">
        <f t="shared" si="15"/>
        <v>360</v>
      </c>
      <c r="H85" s="187">
        <v>290</v>
      </c>
      <c r="I85" s="187">
        <v>495</v>
      </c>
      <c r="J85" s="26"/>
      <c r="K85" s="121">
        <f t="shared" si="10"/>
        <v>480</v>
      </c>
      <c r="L85" s="121">
        <f t="shared" si="11"/>
        <v>344</v>
      </c>
      <c r="M85" s="121">
        <f t="shared" si="12"/>
        <v>306.40000000000003</v>
      </c>
      <c r="N85" s="121">
        <f t="shared" si="13"/>
        <v>288</v>
      </c>
      <c r="O85" s="121">
        <f t="shared" si="14"/>
        <v>396</v>
      </c>
      <c r="P85" s="164" t="s">
        <v>242</v>
      </c>
      <c r="Q85" t="s">
        <v>61</v>
      </c>
      <c r="S85" s="155" t="s">
        <v>240</v>
      </c>
      <c r="T85" s="154"/>
      <c r="U85" s="154"/>
    </row>
    <row r="86" spans="1:21" ht="25.5" customHeight="1">
      <c r="B86" s="1"/>
      <c r="C86" s="5" t="s">
        <v>129</v>
      </c>
      <c r="D86" s="187">
        <v>720</v>
      </c>
      <c r="E86" s="187">
        <v>510</v>
      </c>
      <c r="F86" s="167">
        <f>(E86*2+H86)/3</f>
        <v>456.66666666666669</v>
      </c>
      <c r="G86" s="187">
        <f t="shared" si="15"/>
        <v>430</v>
      </c>
      <c r="H86" s="187">
        <v>350</v>
      </c>
      <c r="I86" s="187">
        <v>575</v>
      </c>
      <c r="J86" s="26"/>
      <c r="K86" s="118">
        <f>D86*0.7</f>
        <v>503.99999999999994</v>
      </c>
      <c r="L86" s="118">
        <f>E86*0.7</f>
        <v>357</v>
      </c>
      <c r="M86" s="118">
        <f>F86*0.7</f>
        <v>319.66666666666669</v>
      </c>
      <c r="N86" s="118">
        <f>G86*0.7</f>
        <v>301</v>
      </c>
      <c r="O86" s="118">
        <f>I86*0.7</f>
        <v>402.5</v>
      </c>
      <c r="P86" s="164" t="s">
        <v>242</v>
      </c>
      <c r="Q86" t="s">
        <v>58</v>
      </c>
      <c r="R86" t="s">
        <v>331</v>
      </c>
      <c r="S86" s="155" t="s">
        <v>240</v>
      </c>
      <c r="T86" s="154"/>
      <c r="U86" s="154"/>
    </row>
    <row r="87" spans="1:21" s="129" customFormat="1" ht="25.5" customHeight="1">
      <c r="B87" s="1"/>
      <c r="C87" s="7" t="s">
        <v>336</v>
      </c>
      <c r="D87" s="167">
        <v>850</v>
      </c>
      <c r="E87" s="167">
        <v>595</v>
      </c>
      <c r="F87" s="167">
        <f>ROUNDUP((E87*2+H87)/3,0)</f>
        <v>534</v>
      </c>
      <c r="G87" s="167">
        <f>ROUNDUP((E87*2+H87*2)/4,0)</f>
        <v>503</v>
      </c>
      <c r="H87" s="167">
        <f>410</f>
        <v>410</v>
      </c>
      <c r="I87" s="167">
        <v>660</v>
      </c>
      <c r="J87" s="252"/>
      <c r="K87" s="118">
        <f>D87*0.7</f>
        <v>595</v>
      </c>
      <c r="L87" s="118">
        <f>E87*0.7</f>
        <v>416.5</v>
      </c>
      <c r="M87" s="118">
        <v>373.33</v>
      </c>
      <c r="N87" s="118">
        <v>351.75</v>
      </c>
      <c r="O87" s="118">
        <f>I87*0.7</f>
        <v>461.99999999999994</v>
      </c>
      <c r="P87" s="164" t="s">
        <v>337</v>
      </c>
      <c r="Q87" s="129" t="s">
        <v>58</v>
      </c>
      <c r="R87" s="129" t="s">
        <v>338</v>
      </c>
      <c r="S87" s="155" t="s">
        <v>240</v>
      </c>
      <c r="T87" s="154"/>
      <c r="U87" s="154"/>
    </row>
    <row r="88" spans="1:21" ht="25.5" customHeight="1">
      <c r="B88" s="1"/>
      <c r="C88" s="5" t="s">
        <v>130</v>
      </c>
      <c r="D88" s="187">
        <v>850</v>
      </c>
      <c r="E88" s="187">
        <v>595</v>
      </c>
      <c r="F88" s="167">
        <v>534</v>
      </c>
      <c r="G88" s="187">
        <f t="shared" si="15"/>
        <v>502.5</v>
      </c>
      <c r="H88" s="187">
        <v>410</v>
      </c>
      <c r="I88" s="187">
        <v>660</v>
      </c>
      <c r="J88" s="26"/>
      <c r="K88" s="121">
        <f t="shared" si="10"/>
        <v>680</v>
      </c>
      <c r="L88" s="121">
        <f t="shared" si="11"/>
        <v>476</v>
      </c>
      <c r="M88" s="121">
        <f t="shared" si="12"/>
        <v>427.20000000000005</v>
      </c>
      <c r="N88" s="121">
        <f t="shared" si="13"/>
        <v>402</v>
      </c>
      <c r="O88" s="121">
        <f t="shared" si="14"/>
        <v>528</v>
      </c>
      <c r="P88" s="164" t="s">
        <v>242</v>
      </c>
      <c r="Q88" t="s">
        <v>61</v>
      </c>
      <c r="S88" s="155" t="s">
        <v>240</v>
      </c>
      <c r="T88" s="154"/>
      <c r="U88" s="154"/>
    </row>
    <row r="89" spans="1:21" ht="25.5" customHeight="1">
      <c r="B89" s="1"/>
      <c r="C89" s="5" t="s">
        <v>131</v>
      </c>
      <c r="D89" s="187">
        <v>850</v>
      </c>
      <c r="E89" s="187">
        <v>595</v>
      </c>
      <c r="F89" s="167">
        <v>534</v>
      </c>
      <c r="G89" s="187">
        <f t="shared" si="15"/>
        <v>502.5</v>
      </c>
      <c r="H89" s="187">
        <v>410</v>
      </c>
      <c r="I89" s="187">
        <v>660</v>
      </c>
      <c r="J89" s="26"/>
      <c r="K89" s="121">
        <f t="shared" si="10"/>
        <v>680</v>
      </c>
      <c r="L89" s="121">
        <f t="shared" si="11"/>
        <v>476</v>
      </c>
      <c r="M89" s="121">
        <f t="shared" si="12"/>
        <v>427.20000000000005</v>
      </c>
      <c r="N89" s="121">
        <f t="shared" si="13"/>
        <v>402</v>
      </c>
      <c r="O89" s="121">
        <f t="shared" si="14"/>
        <v>528</v>
      </c>
      <c r="P89" s="164" t="s">
        <v>242</v>
      </c>
      <c r="Q89" t="s">
        <v>61</v>
      </c>
      <c r="S89" s="155" t="s">
        <v>240</v>
      </c>
      <c r="T89" s="154"/>
      <c r="U89" s="154"/>
    </row>
    <row r="90" spans="1:21" ht="25.5" customHeight="1">
      <c r="B90" s="1"/>
      <c r="C90" s="5" t="s">
        <v>132</v>
      </c>
      <c r="D90" s="187">
        <v>965</v>
      </c>
      <c r="E90" s="187">
        <v>670</v>
      </c>
      <c r="F90" s="167">
        <v>604</v>
      </c>
      <c r="G90" s="187">
        <f t="shared" si="15"/>
        <v>570</v>
      </c>
      <c r="H90" s="187">
        <v>470</v>
      </c>
      <c r="I90" s="187">
        <v>735</v>
      </c>
      <c r="J90" s="26"/>
      <c r="K90" s="121">
        <f t="shared" si="10"/>
        <v>772</v>
      </c>
      <c r="L90" s="121">
        <f t="shared" si="11"/>
        <v>536</v>
      </c>
      <c r="M90" s="121">
        <f t="shared" si="12"/>
        <v>483.20000000000005</v>
      </c>
      <c r="N90" s="121">
        <f t="shared" si="13"/>
        <v>456</v>
      </c>
      <c r="O90" s="121">
        <f>I90*0.8</f>
        <v>588</v>
      </c>
      <c r="P90" s="164" t="s">
        <v>242</v>
      </c>
      <c r="Q90" t="s">
        <v>61</v>
      </c>
      <c r="S90" s="155" t="s">
        <v>240</v>
      </c>
      <c r="T90" s="154"/>
      <c r="U90" s="154"/>
    </row>
    <row r="91" spans="1:21" ht="25.5" customHeight="1">
      <c r="B91" s="1"/>
      <c r="C91" s="5" t="s">
        <v>199</v>
      </c>
      <c r="D91" s="187">
        <v>720</v>
      </c>
      <c r="E91" s="187">
        <v>510</v>
      </c>
      <c r="F91" s="167">
        <v>457</v>
      </c>
      <c r="G91" s="187">
        <v>430</v>
      </c>
      <c r="H91" s="187">
        <v>350</v>
      </c>
      <c r="I91" s="187">
        <v>575</v>
      </c>
      <c r="J91" s="26"/>
      <c r="K91" s="121">
        <f t="shared" si="10"/>
        <v>576</v>
      </c>
      <c r="L91" s="121">
        <f t="shared" si="11"/>
        <v>408</v>
      </c>
      <c r="M91" s="121">
        <f t="shared" si="12"/>
        <v>365.6</v>
      </c>
      <c r="N91" s="121">
        <f t="shared" si="13"/>
        <v>344</v>
      </c>
      <c r="O91" s="121">
        <f t="shared" si="14"/>
        <v>460</v>
      </c>
      <c r="P91" s="164" t="s">
        <v>242</v>
      </c>
      <c r="Q91" t="s">
        <v>61</v>
      </c>
      <c r="S91" s="155" t="s">
        <v>240</v>
      </c>
      <c r="T91" s="154"/>
      <c r="U91" s="154"/>
    </row>
    <row r="92" spans="1:21" ht="25.5" customHeight="1">
      <c r="B92" s="1"/>
      <c r="C92" s="5" t="s">
        <v>133</v>
      </c>
      <c r="D92" s="187">
        <v>965</v>
      </c>
      <c r="E92" s="187">
        <v>670</v>
      </c>
      <c r="F92" s="167">
        <v>604</v>
      </c>
      <c r="G92" s="187">
        <f>(E92*2+H92*2)/4</f>
        <v>570</v>
      </c>
      <c r="H92" s="187">
        <v>470</v>
      </c>
      <c r="I92" s="187">
        <v>735</v>
      </c>
      <c r="J92" s="26"/>
      <c r="K92" s="121">
        <f>D92*0.7</f>
        <v>675.5</v>
      </c>
      <c r="L92" s="121">
        <f t="shared" ref="K92:N93" si="16">E92*0.7</f>
        <v>468.99999999999994</v>
      </c>
      <c r="M92" s="121">
        <f t="shared" si="16"/>
        <v>422.79999999999995</v>
      </c>
      <c r="N92" s="121">
        <f t="shared" si="16"/>
        <v>399</v>
      </c>
      <c r="O92" s="121">
        <f>I92*0.7</f>
        <v>514.5</v>
      </c>
      <c r="P92" s="164" t="s">
        <v>242</v>
      </c>
      <c r="Q92" s="82" t="s">
        <v>58</v>
      </c>
      <c r="R92" s="82"/>
      <c r="S92" s="155" t="s">
        <v>240</v>
      </c>
      <c r="T92" s="154"/>
      <c r="U92" s="154"/>
    </row>
    <row r="93" spans="1:21" ht="25.5" customHeight="1">
      <c r="B93" s="1"/>
      <c r="C93" s="5" t="s">
        <v>194</v>
      </c>
      <c r="D93" s="187">
        <v>965</v>
      </c>
      <c r="E93" s="187">
        <v>670</v>
      </c>
      <c r="F93" s="167">
        <v>603</v>
      </c>
      <c r="G93" s="187">
        <v>570</v>
      </c>
      <c r="H93" s="187">
        <v>470</v>
      </c>
      <c r="I93" s="187">
        <v>735</v>
      </c>
      <c r="J93" s="120"/>
      <c r="K93" s="121">
        <f t="shared" si="16"/>
        <v>675.5</v>
      </c>
      <c r="L93" s="121">
        <f t="shared" si="16"/>
        <v>468.99999999999994</v>
      </c>
      <c r="M93" s="121">
        <f t="shared" si="16"/>
        <v>422.09999999999997</v>
      </c>
      <c r="N93" s="121">
        <f t="shared" si="16"/>
        <v>399</v>
      </c>
      <c r="O93" s="121">
        <f>I93*0.7</f>
        <v>514.5</v>
      </c>
      <c r="P93" s="164" t="s">
        <v>242</v>
      </c>
      <c r="Q93" s="82" t="s">
        <v>58</v>
      </c>
      <c r="R93" s="82"/>
      <c r="S93" s="155" t="s">
        <v>240</v>
      </c>
      <c r="T93" s="154"/>
      <c r="U93" s="154"/>
    </row>
    <row r="94" spans="1:21" ht="20.25" customHeight="1">
      <c r="D94" s="184"/>
      <c r="E94" s="184"/>
      <c r="F94" s="184"/>
      <c r="G94" s="184"/>
      <c r="H94" s="184"/>
      <c r="I94" s="184"/>
    </row>
    <row r="95" spans="1:21" ht="25.5" customHeight="1">
      <c r="A95" t="s">
        <v>218</v>
      </c>
      <c r="B95" s="25">
        <v>1648</v>
      </c>
      <c r="C95" s="7" t="s">
        <v>86</v>
      </c>
      <c r="D95" s="187">
        <v>850</v>
      </c>
      <c r="E95" s="187">
        <v>595</v>
      </c>
      <c r="F95" s="167">
        <v>534</v>
      </c>
      <c r="G95" s="187">
        <f>(E95*2+H95*2)/4</f>
        <v>502.5</v>
      </c>
      <c r="H95" s="187">
        <v>410</v>
      </c>
      <c r="I95" s="167">
        <v>660</v>
      </c>
      <c r="J95" s="122"/>
      <c r="K95" s="121">
        <f t="shared" ref="K95:N96" si="17">D95*0.8</f>
        <v>680</v>
      </c>
      <c r="L95" s="121">
        <f t="shared" si="17"/>
        <v>476</v>
      </c>
      <c r="M95" s="121">
        <f t="shared" si="17"/>
        <v>427.20000000000005</v>
      </c>
      <c r="N95" s="121">
        <f t="shared" si="17"/>
        <v>402</v>
      </c>
      <c r="O95" s="121">
        <f>I95*0.8</f>
        <v>528</v>
      </c>
      <c r="P95" s="164" t="s">
        <v>242</v>
      </c>
      <c r="Q95" s="14" t="s">
        <v>61</v>
      </c>
      <c r="R95" s="18"/>
    </row>
    <row r="96" spans="1:21" ht="25.5" customHeight="1">
      <c r="A96" t="s">
        <v>219</v>
      </c>
      <c r="B96" s="25">
        <v>1651</v>
      </c>
      <c r="C96" s="7" t="s">
        <v>87</v>
      </c>
      <c r="D96" s="187">
        <v>850</v>
      </c>
      <c r="E96" s="187">
        <v>595</v>
      </c>
      <c r="F96" s="167">
        <v>534</v>
      </c>
      <c r="G96" s="187">
        <f>(E96*2+H96*2)/4</f>
        <v>502.5</v>
      </c>
      <c r="H96" s="187">
        <v>410</v>
      </c>
      <c r="I96" s="167">
        <v>660</v>
      </c>
      <c r="J96" s="122"/>
      <c r="K96" s="121">
        <f t="shared" si="17"/>
        <v>680</v>
      </c>
      <c r="L96" s="121">
        <f t="shared" si="17"/>
        <v>476</v>
      </c>
      <c r="M96" s="121">
        <f t="shared" si="17"/>
        <v>427.20000000000005</v>
      </c>
      <c r="N96" s="121">
        <f t="shared" si="17"/>
        <v>402</v>
      </c>
      <c r="O96" s="121">
        <f>I96*0.8</f>
        <v>528</v>
      </c>
      <c r="P96" s="164" t="s">
        <v>242</v>
      </c>
      <c r="Q96" s="14" t="s">
        <v>61</v>
      </c>
      <c r="R96" s="18"/>
    </row>
    <row r="99" spans="1:5" ht="25.5" customHeight="1">
      <c r="A99" t="s">
        <v>339</v>
      </c>
    </row>
    <row r="101" spans="1:5" ht="25.5" customHeight="1">
      <c r="A101" t="s">
        <v>330</v>
      </c>
    </row>
    <row r="103" spans="1:5" ht="25.5" customHeight="1">
      <c r="A103" t="s">
        <v>265</v>
      </c>
    </row>
    <row r="105" spans="1:5" ht="25.5" customHeight="1">
      <c r="A105" t="s">
        <v>260</v>
      </c>
    </row>
    <row r="107" spans="1:5" ht="25.5" customHeight="1">
      <c r="A107" t="s">
        <v>261</v>
      </c>
      <c r="E107" t="s">
        <v>324</v>
      </c>
    </row>
    <row r="109" spans="1:5" ht="25.5" customHeight="1">
      <c r="A109" t="s">
        <v>318</v>
      </c>
    </row>
    <row r="110" spans="1:5" ht="25.5" customHeight="1">
      <c r="A110" t="s">
        <v>319</v>
      </c>
    </row>
    <row r="111" spans="1:5" s="129" customFormat="1" ht="25.5" customHeight="1">
      <c r="A111" s="244" t="s">
        <v>320</v>
      </c>
    </row>
    <row r="112" spans="1:5" s="129" customFormat="1" ht="25.5" customHeight="1">
      <c r="A112" t="s">
        <v>321</v>
      </c>
    </row>
    <row r="113" spans="1:4" s="129" customFormat="1" ht="25.5" customHeight="1">
      <c r="A113" t="s">
        <v>322</v>
      </c>
    </row>
    <row r="114" spans="1:4" s="129" customFormat="1" ht="25.5" customHeight="1">
      <c r="A114" s="129" t="s">
        <v>323</v>
      </c>
    </row>
    <row r="115" spans="1:4" s="129" customFormat="1" ht="25.5" customHeight="1"/>
    <row r="116" spans="1:4" s="129" customFormat="1" ht="25.5" customHeight="1">
      <c r="A116" s="129" t="s">
        <v>326</v>
      </c>
    </row>
    <row r="117" spans="1:4" s="129" customFormat="1" ht="25.5" customHeight="1">
      <c r="A117" s="129" t="s">
        <v>327</v>
      </c>
    </row>
    <row r="118" spans="1:4" s="129" customFormat="1" ht="25.5" customHeight="1">
      <c r="A118" s="129" t="s">
        <v>328</v>
      </c>
    </row>
    <row r="119" spans="1:4" s="129" customFormat="1" ht="25.5" customHeight="1">
      <c r="A119" s="129" t="s">
        <v>329</v>
      </c>
    </row>
    <row r="120" spans="1:4" s="129" customFormat="1" ht="25.5" customHeight="1"/>
    <row r="121" spans="1:4" ht="25.5" customHeight="1">
      <c r="C121" s="20" t="s">
        <v>63</v>
      </c>
    </row>
    <row r="122" spans="1:4" ht="25.5" customHeight="1">
      <c r="C122" t="s">
        <v>64</v>
      </c>
      <c r="D122" t="s">
        <v>73</v>
      </c>
    </row>
    <row r="123" spans="1:4" ht="25.5" customHeight="1">
      <c r="C123" t="s">
        <v>65</v>
      </c>
      <c r="D123" t="s">
        <v>74</v>
      </c>
    </row>
    <row r="124" spans="1:4" ht="25.5" customHeight="1">
      <c r="C124" t="s">
        <v>66</v>
      </c>
      <c r="D124" t="s">
        <v>75</v>
      </c>
    </row>
    <row r="125" spans="1:4" ht="25.5" customHeight="1">
      <c r="C125" t="s">
        <v>67</v>
      </c>
      <c r="D125" t="s">
        <v>79</v>
      </c>
    </row>
    <row r="126" spans="1:4" ht="25.5" customHeight="1">
      <c r="C126" t="s">
        <v>77</v>
      </c>
      <c r="D126" t="s">
        <v>78</v>
      </c>
    </row>
    <row r="128" spans="1:4" ht="25.5" customHeight="1">
      <c r="C128" s="20" t="s">
        <v>84</v>
      </c>
    </row>
    <row r="129" spans="3:10" ht="25.5" customHeight="1">
      <c r="C129" t="s">
        <v>64</v>
      </c>
      <c r="D129" t="s">
        <v>83</v>
      </c>
    </row>
    <row r="130" spans="3:10" ht="25.5" customHeight="1">
      <c r="C130" t="s">
        <v>65</v>
      </c>
      <c r="D130" t="s">
        <v>71</v>
      </c>
    </row>
    <row r="131" spans="3:10" ht="25.5" customHeight="1">
      <c r="C131" t="s">
        <v>66</v>
      </c>
      <c r="D131" t="s">
        <v>72</v>
      </c>
    </row>
    <row r="132" spans="3:10" ht="25.5" customHeight="1">
      <c r="C132" t="s">
        <v>67</v>
      </c>
      <c r="D132" t="s">
        <v>81</v>
      </c>
      <c r="H132" s="325" t="s">
        <v>88</v>
      </c>
      <c r="I132" s="325"/>
      <c r="J132" s="325"/>
    </row>
  </sheetData>
  <mergeCells count="1">
    <mergeCell ref="H132:J132"/>
  </mergeCells>
  <hyperlinks>
    <hyperlink ref="A111" r:id="rId1" display="mailto:daviddong168@gmail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7"/>
  <sheetViews>
    <sheetView zoomScaleNormal="100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E13" sqref="E13"/>
    </sheetView>
  </sheetViews>
  <sheetFormatPr defaultRowHeight="23.25" customHeight="1"/>
  <cols>
    <col min="2" max="2" width="15" customWidth="1"/>
    <col min="3" max="3" width="13.85546875" customWidth="1"/>
    <col min="4" max="5" width="12" customWidth="1"/>
    <col min="6" max="6" width="11.7109375" customWidth="1"/>
    <col min="7" max="7" width="11.140625" customWidth="1"/>
    <col min="8" max="8" width="12.85546875" customWidth="1"/>
    <col min="10" max="10" width="13.85546875" customWidth="1"/>
    <col min="11" max="11" width="14.5703125" customWidth="1"/>
    <col min="12" max="12" width="12.7109375" customWidth="1"/>
    <col min="13" max="13" width="12" customWidth="1"/>
    <col min="14" max="14" width="16.140625" bestFit="1" customWidth="1"/>
    <col min="17" max="17" width="9.5703125" bestFit="1" customWidth="1"/>
    <col min="19" max="19" width="8.28515625" bestFit="1" customWidth="1"/>
  </cols>
  <sheetData>
    <row r="2" spans="2:27" ht="23.25" customHeight="1">
      <c r="C2" s="12" t="s">
        <v>57</v>
      </c>
      <c r="D2" s="12" t="s">
        <v>61</v>
      </c>
      <c r="E2" s="12"/>
    </row>
    <row r="3" spans="2:27" ht="23.25" customHeight="1">
      <c r="C3" s="13"/>
      <c r="D3" s="13"/>
      <c r="E3" s="13"/>
      <c r="O3" s="20" t="s">
        <v>277</v>
      </c>
    </row>
    <row r="4" spans="2:27" ht="23.25" customHeight="1">
      <c r="C4" s="8" t="s">
        <v>59</v>
      </c>
      <c r="J4" s="8" t="s">
        <v>60</v>
      </c>
      <c r="P4" s="20"/>
      <c r="Q4" s="20"/>
      <c r="R4" s="20"/>
      <c r="S4" s="20"/>
    </row>
    <row r="5" spans="2:27" ht="23.25" customHeight="1">
      <c r="B5" s="31" t="s">
        <v>89</v>
      </c>
      <c r="C5" s="2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J5" s="3" t="s">
        <v>1</v>
      </c>
      <c r="K5" s="3" t="s">
        <v>2</v>
      </c>
      <c r="L5" s="3" t="s">
        <v>3</v>
      </c>
      <c r="M5" s="3" t="s">
        <v>4</v>
      </c>
      <c r="N5" s="203" t="s">
        <v>269</v>
      </c>
      <c r="O5" s="30"/>
      <c r="P5" s="30"/>
      <c r="Q5" s="30"/>
      <c r="R5" s="30"/>
      <c r="S5" s="30"/>
      <c r="T5" s="16"/>
      <c r="U5" s="30"/>
      <c r="V5" s="30"/>
      <c r="W5" s="30"/>
      <c r="X5" s="30"/>
      <c r="Y5" s="30"/>
    </row>
    <row r="6" spans="2:27" ht="23.25" customHeight="1">
      <c r="B6" s="25">
        <v>714</v>
      </c>
      <c r="C6" s="5" t="s">
        <v>271</v>
      </c>
      <c r="D6" s="15">
        <v>136</v>
      </c>
      <c r="E6" s="15">
        <v>76</v>
      </c>
      <c r="F6" s="15">
        <f t="shared" ref="F6:F13" si="0">E6*2/3</f>
        <v>50.666666666666664</v>
      </c>
      <c r="G6" s="15">
        <f t="shared" ref="G6:G13" si="1">(E6*2+H6)/4</f>
        <v>53</v>
      </c>
      <c r="H6" s="15">
        <v>60</v>
      </c>
      <c r="I6" s="201"/>
      <c r="J6" s="15">
        <f>E6*0.8+50</f>
        <v>110.80000000000001</v>
      </c>
      <c r="K6" s="15">
        <f>E6*0.8</f>
        <v>60.800000000000004</v>
      </c>
      <c r="L6" s="15">
        <f>E6*2*0.8/3</f>
        <v>40.533333333333339</v>
      </c>
      <c r="M6" s="15">
        <f>(E6*2+H6)*0.8/4</f>
        <v>42.400000000000006</v>
      </c>
      <c r="N6" s="195" t="s">
        <v>271</v>
      </c>
      <c r="O6" s="30" t="s">
        <v>242</v>
      </c>
      <c r="P6" s="30"/>
      <c r="Q6" s="204"/>
      <c r="R6" s="30"/>
      <c r="S6" s="30"/>
      <c r="T6" s="16"/>
      <c r="U6" s="16"/>
      <c r="V6" s="16"/>
      <c r="W6" s="16"/>
      <c r="X6" s="16"/>
      <c r="Y6" s="16"/>
      <c r="AA6" s="196"/>
    </row>
    <row r="7" spans="2:27" ht="23.25" customHeight="1">
      <c r="B7" s="25">
        <v>26</v>
      </c>
      <c r="C7" s="5" t="s">
        <v>270</v>
      </c>
      <c r="D7" s="15">
        <v>152</v>
      </c>
      <c r="E7" s="15">
        <v>92</v>
      </c>
      <c r="F7" s="182">
        <v>62</v>
      </c>
      <c r="G7" s="15">
        <f t="shared" si="1"/>
        <v>63</v>
      </c>
      <c r="H7" s="15">
        <v>68</v>
      </c>
      <c r="I7" s="201"/>
      <c r="J7" s="15">
        <f>E7*0.8+50</f>
        <v>123.60000000000001</v>
      </c>
      <c r="K7" s="15">
        <f t="shared" ref="K7:K16" si="2">E7*0.8</f>
        <v>73.600000000000009</v>
      </c>
      <c r="L7" s="15">
        <f t="shared" ref="L7:L13" si="3">E7*2*0.8/3</f>
        <v>49.06666666666667</v>
      </c>
      <c r="M7" s="15">
        <f t="shared" ref="M7:M13" si="4">(E7*2+H7)*0.8/4</f>
        <v>50.400000000000006</v>
      </c>
      <c r="N7" s="194" t="s">
        <v>270</v>
      </c>
      <c r="O7" s="30" t="s">
        <v>242</v>
      </c>
      <c r="P7" s="30"/>
      <c r="Q7" s="204"/>
      <c r="R7" s="30"/>
      <c r="S7" s="30"/>
      <c r="T7" s="16"/>
      <c r="U7" s="16"/>
      <c r="V7" s="16"/>
      <c r="W7" s="16"/>
      <c r="X7" s="16"/>
      <c r="Y7" s="16"/>
      <c r="AA7" s="193"/>
    </row>
    <row r="8" spans="2:27" ht="23.25" customHeight="1">
      <c r="B8" s="25">
        <v>28</v>
      </c>
      <c r="C8" s="5" t="s">
        <v>47</v>
      </c>
      <c r="D8" s="15">
        <v>168</v>
      </c>
      <c r="E8" s="15">
        <v>108</v>
      </c>
      <c r="F8" s="15">
        <f t="shared" si="0"/>
        <v>72</v>
      </c>
      <c r="G8" s="15">
        <f t="shared" si="1"/>
        <v>73</v>
      </c>
      <c r="H8" s="15">
        <v>76</v>
      </c>
      <c r="I8" s="201"/>
      <c r="J8" s="15">
        <f>E8*0.8+50</f>
        <v>136.4</v>
      </c>
      <c r="K8" s="15">
        <f t="shared" si="2"/>
        <v>86.4</v>
      </c>
      <c r="L8" s="15">
        <f t="shared" si="3"/>
        <v>57.6</v>
      </c>
      <c r="M8" s="15">
        <f t="shared" si="4"/>
        <v>58.400000000000006</v>
      </c>
      <c r="O8" s="30" t="s">
        <v>242</v>
      </c>
      <c r="P8" s="30"/>
      <c r="Q8" s="30"/>
      <c r="R8" s="30"/>
      <c r="S8" s="30"/>
      <c r="T8" s="16"/>
      <c r="U8" s="16"/>
      <c r="V8" s="16"/>
      <c r="W8" s="16"/>
      <c r="X8" s="16"/>
      <c r="Y8" s="16"/>
      <c r="AA8" s="192"/>
    </row>
    <row r="9" spans="2:27" ht="23.25" customHeight="1">
      <c r="B9" s="25">
        <v>1465</v>
      </c>
      <c r="C9" s="5" t="s">
        <v>48</v>
      </c>
      <c r="D9" s="15">
        <v>172</v>
      </c>
      <c r="E9" s="15">
        <v>112</v>
      </c>
      <c r="F9" s="15">
        <f t="shared" si="0"/>
        <v>74.666666666666671</v>
      </c>
      <c r="G9" s="15">
        <f t="shared" si="1"/>
        <v>76</v>
      </c>
      <c r="H9" s="15">
        <v>80</v>
      </c>
      <c r="I9" s="201"/>
      <c r="J9" s="15">
        <f>E9*0.8+50</f>
        <v>139.60000000000002</v>
      </c>
      <c r="K9" s="15">
        <f t="shared" si="2"/>
        <v>89.600000000000009</v>
      </c>
      <c r="L9" s="15">
        <f t="shared" si="3"/>
        <v>59.733333333333341</v>
      </c>
      <c r="M9" s="15">
        <f t="shared" si="4"/>
        <v>60.800000000000004</v>
      </c>
      <c r="O9" s="30" t="s">
        <v>242</v>
      </c>
      <c r="P9" s="30"/>
      <c r="Q9" s="204"/>
      <c r="R9" s="30"/>
      <c r="S9" s="30"/>
      <c r="T9" s="16"/>
      <c r="U9" s="16"/>
      <c r="V9" s="16"/>
      <c r="W9" s="16"/>
      <c r="X9" s="16"/>
      <c r="Y9" s="16"/>
    </row>
    <row r="10" spans="2:27" ht="23.25" customHeight="1">
      <c r="B10" s="25">
        <v>31</v>
      </c>
      <c r="C10" s="5" t="s">
        <v>49</v>
      </c>
      <c r="D10" s="15">
        <v>168</v>
      </c>
      <c r="E10" s="15">
        <v>108</v>
      </c>
      <c r="F10" s="15">
        <f t="shared" si="0"/>
        <v>72</v>
      </c>
      <c r="G10" s="15">
        <f>(E10*2+H10)/4</f>
        <v>73</v>
      </c>
      <c r="H10" s="15">
        <v>76</v>
      </c>
      <c r="I10" s="201"/>
      <c r="J10" s="15">
        <f>E10*0.8+50</f>
        <v>136.4</v>
      </c>
      <c r="K10" s="15">
        <f t="shared" si="2"/>
        <v>86.4</v>
      </c>
      <c r="L10" s="15">
        <f t="shared" si="3"/>
        <v>57.6</v>
      </c>
      <c r="M10" s="15">
        <f t="shared" si="4"/>
        <v>58.400000000000006</v>
      </c>
      <c r="O10" s="30" t="s">
        <v>242</v>
      </c>
      <c r="P10" s="30"/>
      <c r="Q10" s="30"/>
      <c r="R10" s="204"/>
      <c r="S10" s="30"/>
      <c r="T10" s="16"/>
      <c r="U10" s="16"/>
      <c r="V10" s="16"/>
      <c r="W10" s="16"/>
      <c r="X10" s="16"/>
      <c r="Y10" s="16"/>
    </row>
    <row r="11" spans="2:27" ht="23.25" customHeight="1">
      <c r="B11" s="25">
        <v>86</v>
      </c>
      <c r="C11" s="5" t="s">
        <v>50</v>
      </c>
      <c r="D11" s="15">
        <v>272</v>
      </c>
      <c r="E11" s="15">
        <v>152</v>
      </c>
      <c r="F11" s="182">
        <v>102</v>
      </c>
      <c r="G11" s="15">
        <f t="shared" si="1"/>
        <v>102</v>
      </c>
      <c r="H11" s="15">
        <v>104</v>
      </c>
      <c r="I11" s="201"/>
      <c r="J11" s="15">
        <f>E11*0.8+100</f>
        <v>221.60000000000002</v>
      </c>
      <c r="K11" s="15">
        <f t="shared" si="2"/>
        <v>121.60000000000001</v>
      </c>
      <c r="L11" s="15">
        <f t="shared" si="3"/>
        <v>81.066666666666677</v>
      </c>
      <c r="M11" s="15">
        <f t="shared" si="4"/>
        <v>81.600000000000009</v>
      </c>
      <c r="O11" s="30" t="s">
        <v>242</v>
      </c>
      <c r="P11" s="30"/>
      <c r="Q11" s="204"/>
      <c r="R11" s="30"/>
      <c r="S11" s="30"/>
      <c r="T11" s="16"/>
      <c r="U11" s="16"/>
      <c r="V11" s="16"/>
      <c r="W11" s="16"/>
      <c r="X11" s="16"/>
      <c r="Y11" s="16"/>
      <c r="AA11" s="193"/>
    </row>
    <row r="12" spans="2:27" s="129" customFormat="1" ht="23.25" customHeight="1">
      <c r="B12" s="25"/>
      <c r="C12" s="5" t="s">
        <v>50</v>
      </c>
      <c r="D12" s="205"/>
      <c r="E12" s="205"/>
      <c r="F12" s="205"/>
      <c r="G12" s="205"/>
      <c r="H12" s="15"/>
      <c r="J12" s="15"/>
      <c r="K12" s="15"/>
      <c r="L12" s="15"/>
      <c r="M12" s="15"/>
      <c r="N12" s="129" t="s">
        <v>273</v>
      </c>
      <c r="P12" s="129" t="s">
        <v>272</v>
      </c>
      <c r="S12" s="81"/>
      <c r="AA12" s="193"/>
    </row>
    <row r="13" spans="2:27" ht="23.25" customHeight="1">
      <c r="B13" s="25">
        <v>969</v>
      </c>
      <c r="C13" s="5" t="s">
        <v>274</v>
      </c>
      <c r="D13" s="15">
        <v>252</v>
      </c>
      <c r="E13" s="15">
        <v>132</v>
      </c>
      <c r="F13" s="15">
        <f t="shared" si="0"/>
        <v>88</v>
      </c>
      <c r="G13" s="15">
        <f t="shared" si="1"/>
        <v>90</v>
      </c>
      <c r="H13" s="15">
        <v>96</v>
      </c>
      <c r="J13" s="15">
        <f>E13*0.8+100</f>
        <v>205.60000000000002</v>
      </c>
      <c r="K13" s="15">
        <f t="shared" si="2"/>
        <v>105.60000000000001</v>
      </c>
      <c r="L13" s="15">
        <f t="shared" si="3"/>
        <v>70.400000000000006</v>
      </c>
      <c r="M13" s="15">
        <f t="shared" si="4"/>
        <v>72</v>
      </c>
      <c r="N13" t="s">
        <v>274</v>
      </c>
      <c r="O13" s="81" t="s">
        <v>242</v>
      </c>
      <c r="P13" s="81"/>
      <c r="Q13" s="81"/>
      <c r="R13" s="81"/>
      <c r="S13" s="81"/>
      <c r="AA13" s="197"/>
    </row>
    <row r="14" spans="2:27" ht="23.25" customHeight="1">
      <c r="B14" s="25">
        <v>301</v>
      </c>
      <c r="C14" s="5" t="s">
        <v>118</v>
      </c>
      <c r="D14" s="15">
        <v>335</v>
      </c>
      <c r="E14" s="15">
        <v>215</v>
      </c>
      <c r="F14" s="15">
        <v>195</v>
      </c>
      <c r="G14" s="15">
        <v>185</v>
      </c>
      <c r="H14" s="15">
        <v>155</v>
      </c>
      <c r="J14" s="15">
        <f>E14*0.8+100</f>
        <v>272</v>
      </c>
      <c r="K14" s="15">
        <f t="shared" si="2"/>
        <v>172</v>
      </c>
      <c r="L14" s="15">
        <f>(E14*2+H14)*0.8/3</f>
        <v>156</v>
      </c>
      <c r="M14" s="15">
        <f>(E14*2+H14+H14)*0.8/4</f>
        <v>148</v>
      </c>
      <c r="N14" s="48" t="s">
        <v>56</v>
      </c>
      <c r="O14" s="81" t="s">
        <v>242</v>
      </c>
      <c r="P14" s="81"/>
      <c r="Q14" s="81"/>
      <c r="R14" s="81"/>
      <c r="S14" s="81"/>
      <c r="AA14" s="193"/>
    </row>
    <row r="15" spans="2:27" ht="23.25" customHeight="1">
      <c r="B15" s="28">
        <v>303</v>
      </c>
      <c r="C15" s="206" t="s">
        <v>51</v>
      </c>
      <c r="D15" s="29">
        <v>400</v>
      </c>
      <c r="E15" s="29">
        <v>220</v>
      </c>
      <c r="F15" s="29">
        <v>147</v>
      </c>
      <c r="G15" s="29">
        <v>144</v>
      </c>
      <c r="H15" s="29">
        <v>135</v>
      </c>
      <c r="J15" s="29">
        <f>E15*0.8+150</f>
        <v>326</v>
      </c>
      <c r="K15" s="29">
        <f t="shared" si="2"/>
        <v>176</v>
      </c>
      <c r="L15" s="29">
        <f>E15*2*0.8/3</f>
        <v>117.33333333333333</v>
      </c>
      <c r="M15" s="29">
        <f>(E15*2+H15)*0.8/4</f>
        <v>115</v>
      </c>
      <c r="O15" s="81" t="s">
        <v>242</v>
      </c>
      <c r="P15" s="81"/>
      <c r="Q15" s="191"/>
      <c r="R15" s="81"/>
      <c r="S15" s="81"/>
      <c r="AA15" s="193"/>
    </row>
    <row r="16" spans="2:27" ht="23.25" customHeight="1">
      <c r="B16" s="45">
        <v>302</v>
      </c>
      <c r="C16" s="7" t="s">
        <v>98</v>
      </c>
      <c r="D16" s="182">
        <v>272</v>
      </c>
      <c r="E16" s="182">
        <v>152</v>
      </c>
      <c r="F16" s="182">
        <v>102</v>
      </c>
      <c r="G16" s="182">
        <v>102</v>
      </c>
      <c r="H16" s="182">
        <v>104</v>
      </c>
      <c r="I16" s="16"/>
      <c r="J16" s="46">
        <v>221.6</v>
      </c>
      <c r="K16" s="46">
        <f t="shared" si="2"/>
        <v>121.60000000000001</v>
      </c>
      <c r="L16" s="47">
        <f>E16*2*0.8/3</f>
        <v>81.066666666666677</v>
      </c>
      <c r="M16" s="47">
        <f>(E16*2+H16)*0.8/4</f>
        <v>81.600000000000009</v>
      </c>
      <c r="O16" s="198" t="s">
        <v>275</v>
      </c>
      <c r="P16" s="81"/>
      <c r="Q16" s="81"/>
      <c r="R16" s="81"/>
      <c r="S16" s="81"/>
    </row>
    <row r="17" spans="1:19" ht="23.25" customHeight="1">
      <c r="B17" s="33"/>
      <c r="C17" s="34" t="s">
        <v>99</v>
      </c>
      <c r="D17" s="202">
        <v>195</v>
      </c>
      <c r="E17" s="202">
        <v>135</v>
      </c>
      <c r="F17" s="202">
        <v>90</v>
      </c>
      <c r="G17" s="202">
        <v>91</v>
      </c>
      <c r="H17" s="202">
        <v>95</v>
      </c>
      <c r="I17" s="9"/>
      <c r="J17" s="35">
        <v>136.4</v>
      </c>
      <c r="K17" s="35">
        <v>86.4</v>
      </c>
      <c r="L17" s="36">
        <v>57.6</v>
      </c>
      <c r="M17" s="36">
        <v>58.4</v>
      </c>
      <c r="N17" s="4" t="s">
        <v>119</v>
      </c>
      <c r="O17" s="81"/>
      <c r="P17" s="81"/>
      <c r="Q17" s="81"/>
      <c r="R17" s="81"/>
      <c r="S17" s="81"/>
    </row>
    <row r="18" spans="1:19" ht="23.25" customHeight="1">
      <c r="A18" s="51" t="s">
        <v>142</v>
      </c>
      <c r="B18" s="25">
        <v>2855</v>
      </c>
      <c r="C18" s="5" t="s">
        <v>136</v>
      </c>
      <c r="D18" s="15">
        <v>175</v>
      </c>
      <c r="E18" s="15">
        <v>115</v>
      </c>
      <c r="F18" s="15">
        <v>105</v>
      </c>
      <c r="G18" s="15">
        <v>100</v>
      </c>
      <c r="H18" s="15">
        <v>85</v>
      </c>
      <c r="I18" s="9"/>
      <c r="J18" s="46">
        <v>142</v>
      </c>
      <c r="K18" s="46">
        <v>92</v>
      </c>
      <c r="L18" s="47">
        <v>84</v>
      </c>
      <c r="M18" s="47">
        <v>80</v>
      </c>
      <c r="N18" s="18"/>
      <c r="O18" s="198" t="s">
        <v>275</v>
      </c>
      <c r="P18" s="81"/>
      <c r="Q18" s="81"/>
      <c r="R18" s="81"/>
      <c r="S18" s="81"/>
    </row>
    <row r="19" spans="1:19" ht="23.25" customHeight="1">
      <c r="A19" s="51" t="s">
        <v>142</v>
      </c>
      <c r="B19" s="25">
        <v>2856</v>
      </c>
      <c r="C19" s="5" t="s">
        <v>137</v>
      </c>
      <c r="D19" s="15">
        <v>175</v>
      </c>
      <c r="E19" s="15">
        <v>115</v>
      </c>
      <c r="F19" s="15">
        <v>105</v>
      </c>
      <c r="G19" s="15">
        <v>100</v>
      </c>
      <c r="H19" s="15">
        <v>85</v>
      </c>
      <c r="I19" s="9"/>
      <c r="J19" s="46">
        <v>142</v>
      </c>
      <c r="K19" s="46">
        <v>92</v>
      </c>
      <c r="L19" s="47">
        <v>84</v>
      </c>
      <c r="M19" s="47">
        <v>80</v>
      </c>
      <c r="N19" s="18"/>
      <c r="O19" s="198" t="s">
        <v>275</v>
      </c>
      <c r="P19" s="81"/>
      <c r="Q19" s="81"/>
      <c r="R19" s="81"/>
      <c r="S19" s="81"/>
    </row>
    <row r="20" spans="1:19" ht="23.25" customHeight="1">
      <c r="A20" s="51" t="s">
        <v>142</v>
      </c>
      <c r="B20" s="25">
        <v>2858</v>
      </c>
      <c r="C20" s="5" t="s">
        <v>138</v>
      </c>
      <c r="D20" s="15">
        <v>175</v>
      </c>
      <c r="E20" s="15">
        <v>115</v>
      </c>
      <c r="F20" s="15">
        <v>105</v>
      </c>
      <c r="G20" s="15">
        <v>100</v>
      </c>
      <c r="H20" s="15">
        <v>85</v>
      </c>
      <c r="I20" s="9"/>
      <c r="J20" s="46">
        <v>142</v>
      </c>
      <c r="K20" s="46">
        <v>92</v>
      </c>
      <c r="L20" s="47">
        <v>84</v>
      </c>
      <c r="M20" s="47">
        <v>80</v>
      </c>
      <c r="N20" s="18"/>
      <c r="O20" s="198" t="s">
        <v>275</v>
      </c>
      <c r="P20" s="81"/>
      <c r="Q20" s="81"/>
      <c r="R20" s="81"/>
      <c r="S20" s="81"/>
    </row>
    <row r="21" spans="1:19" ht="23.25" customHeight="1">
      <c r="A21" s="51" t="s">
        <v>142</v>
      </c>
      <c r="B21" s="25">
        <v>2859</v>
      </c>
      <c r="C21" s="5" t="s">
        <v>139</v>
      </c>
      <c r="D21" s="15">
        <v>175</v>
      </c>
      <c r="E21" s="15">
        <v>115</v>
      </c>
      <c r="F21" s="15">
        <v>105</v>
      </c>
      <c r="G21" s="15">
        <v>100</v>
      </c>
      <c r="H21" s="15">
        <v>85</v>
      </c>
      <c r="I21" s="9"/>
      <c r="J21" s="46">
        <v>142</v>
      </c>
      <c r="K21" s="46">
        <v>92</v>
      </c>
      <c r="L21" s="47">
        <v>84</v>
      </c>
      <c r="M21" s="47">
        <v>80</v>
      </c>
      <c r="N21" s="18"/>
      <c r="O21" s="198" t="s">
        <v>275</v>
      </c>
      <c r="P21" s="81"/>
      <c r="Q21" s="81"/>
      <c r="R21" s="81"/>
      <c r="S21" s="81"/>
    </row>
    <row r="22" spans="1:19" ht="23.25" customHeight="1">
      <c r="C22" s="9"/>
      <c r="D22" s="10"/>
      <c r="E22" s="10"/>
      <c r="F22" s="10"/>
      <c r="G22" s="10"/>
      <c r="H22" s="10"/>
    </row>
    <row r="23" spans="1:19" ht="23.25" customHeight="1">
      <c r="C23" s="8" t="s">
        <v>59</v>
      </c>
      <c r="D23" s="10"/>
      <c r="E23" s="10"/>
      <c r="F23" s="10"/>
      <c r="G23" s="8" t="s">
        <v>60</v>
      </c>
      <c r="H23" s="10"/>
    </row>
    <row r="24" spans="1:19" ht="23.25" customHeight="1">
      <c r="B24" s="3" t="s">
        <v>89</v>
      </c>
      <c r="C24" s="2" t="s">
        <v>0</v>
      </c>
      <c r="D24" s="3" t="s">
        <v>52</v>
      </c>
      <c r="E24" s="3" t="s">
        <v>53</v>
      </c>
      <c r="F24" s="10"/>
      <c r="G24" s="3" t="s">
        <v>52</v>
      </c>
      <c r="H24" s="3" t="s">
        <v>53</v>
      </c>
      <c r="J24" s="30"/>
    </row>
    <row r="25" spans="1:19" ht="23.25" customHeight="1">
      <c r="B25" s="25">
        <v>333</v>
      </c>
      <c r="C25" s="5" t="s">
        <v>54</v>
      </c>
      <c r="D25" s="5">
        <v>45</v>
      </c>
      <c r="E25" s="5">
        <v>35</v>
      </c>
      <c r="F25" s="10"/>
      <c r="G25" s="6">
        <f>D25*0.8</f>
        <v>36</v>
      </c>
      <c r="H25" s="6">
        <f>E25*0.8</f>
        <v>28</v>
      </c>
      <c r="O25" t="s">
        <v>276</v>
      </c>
    </row>
    <row r="26" spans="1:19" ht="23.25" customHeight="1">
      <c r="B26" s="25">
        <v>341</v>
      </c>
      <c r="C26" s="5" t="s">
        <v>55</v>
      </c>
      <c r="D26" s="5">
        <v>9</v>
      </c>
      <c r="E26" s="5">
        <v>9</v>
      </c>
      <c r="F26" s="10"/>
      <c r="G26" s="6">
        <v>0</v>
      </c>
      <c r="H26" s="6">
        <v>0</v>
      </c>
      <c r="O26" s="81" t="s">
        <v>258</v>
      </c>
    </row>
    <row r="27" spans="1:19" ht="23.25" customHeight="1">
      <c r="A27" s="51" t="s">
        <v>142</v>
      </c>
      <c r="B27" s="25">
        <v>2853</v>
      </c>
      <c r="C27" s="5" t="s">
        <v>140</v>
      </c>
      <c r="D27" s="5">
        <v>45</v>
      </c>
      <c r="E27" s="5">
        <v>35</v>
      </c>
      <c r="F27" s="10"/>
      <c r="G27" s="6">
        <v>36</v>
      </c>
      <c r="H27" s="27">
        <v>28</v>
      </c>
      <c r="O27" s="129" t="s">
        <v>276</v>
      </c>
    </row>
    <row r="28" spans="1:19" ht="23.25" customHeight="1">
      <c r="A28" s="51" t="s">
        <v>142</v>
      </c>
      <c r="B28" s="25">
        <v>2854</v>
      </c>
      <c r="C28" s="5" t="s">
        <v>141</v>
      </c>
      <c r="D28" s="5">
        <v>45</v>
      </c>
      <c r="E28" s="5">
        <v>35</v>
      </c>
      <c r="F28" s="10"/>
      <c r="G28" s="6">
        <v>36</v>
      </c>
      <c r="H28" s="27">
        <v>28</v>
      </c>
      <c r="O28" s="129" t="s">
        <v>276</v>
      </c>
    </row>
    <row r="31" spans="1:19" ht="23.25" customHeight="1">
      <c r="C31" s="20" t="s">
        <v>63</v>
      </c>
    </row>
    <row r="32" spans="1:19" ht="23.25" customHeight="1">
      <c r="C32" t="s">
        <v>64</v>
      </c>
      <c r="D32" t="s">
        <v>70</v>
      </c>
    </row>
    <row r="33" spans="2:8" ht="23.25" customHeight="1">
      <c r="C33" t="s">
        <v>65</v>
      </c>
      <c r="D33" t="s">
        <v>71</v>
      </c>
    </row>
    <row r="34" spans="2:8" ht="23.25" customHeight="1">
      <c r="B34" t="s">
        <v>68</v>
      </c>
      <c r="C34" t="s">
        <v>66</v>
      </c>
      <c r="D34" t="s">
        <v>72</v>
      </c>
      <c r="H34" s="22"/>
    </row>
    <row r="35" spans="2:8" ht="23.25" customHeight="1">
      <c r="B35" t="s">
        <v>69</v>
      </c>
      <c r="C35" t="s">
        <v>66</v>
      </c>
      <c r="D35" t="s">
        <v>80</v>
      </c>
      <c r="H35" s="10"/>
    </row>
    <row r="36" spans="2:8" ht="23.25" customHeight="1">
      <c r="B36" t="s">
        <v>68</v>
      </c>
      <c r="C36" t="s">
        <v>67</v>
      </c>
      <c r="D36" t="s">
        <v>81</v>
      </c>
    </row>
    <row r="37" spans="2:8" ht="23.25" customHeight="1">
      <c r="B37" t="s">
        <v>69</v>
      </c>
      <c r="C37" t="s">
        <v>67</v>
      </c>
      <c r="D37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0"/>
  <sheetViews>
    <sheetView tabSelected="1" topLeftCell="A22" workbookViewId="0">
      <selection activeCell="I32" sqref="I32"/>
    </sheetView>
  </sheetViews>
  <sheetFormatPr defaultRowHeight="15"/>
  <cols>
    <col min="1" max="1" width="9.140625" style="129"/>
    <col min="2" max="2" width="15" style="129" customWidth="1"/>
    <col min="3" max="3" width="13.85546875" style="129" customWidth="1"/>
    <col min="4" max="5" width="12" style="129" customWidth="1"/>
    <col min="6" max="6" width="11.7109375" style="129" customWidth="1"/>
    <col min="7" max="7" width="11.140625" style="129" customWidth="1"/>
    <col min="8" max="8" width="12.85546875" style="129" customWidth="1"/>
    <col min="9" max="9" width="9.140625" style="129"/>
    <col min="10" max="10" width="13.85546875" style="129" customWidth="1"/>
    <col min="11" max="11" width="14.5703125" style="129" customWidth="1"/>
    <col min="12" max="12" width="12.7109375" style="129" customWidth="1"/>
    <col min="13" max="13" width="12" style="129" customWidth="1"/>
    <col min="14" max="14" width="16.140625" style="129" bestFit="1" customWidth="1"/>
    <col min="15" max="16" width="9.140625" style="129"/>
    <col min="17" max="17" width="9.5703125" style="129" bestFit="1" customWidth="1"/>
    <col min="18" max="18" width="9.140625" style="129"/>
    <col min="19" max="19" width="8.28515625" style="129" bestFit="1" customWidth="1"/>
    <col min="20" max="16384" width="9.140625" style="129"/>
  </cols>
  <sheetData>
    <row r="2" spans="2:27" ht="23.25" customHeight="1">
      <c r="C2" s="12" t="s">
        <v>57</v>
      </c>
      <c r="D2" s="12" t="s">
        <v>279</v>
      </c>
      <c r="E2" s="12"/>
    </row>
    <row r="3" spans="2:27" ht="23.25" customHeight="1">
      <c r="C3" s="13"/>
      <c r="D3" s="13"/>
      <c r="E3" s="13"/>
      <c r="O3" s="20" t="s">
        <v>277</v>
      </c>
    </row>
    <row r="4" spans="2:27" ht="23.25" customHeight="1">
      <c r="C4" s="8" t="s">
        <v>59</v>
      </c>
      <c r="J4" s="8" t="s">
        <v>60</v>
      </c>
      <c r="P4" s="20"/>
      <c r="Q4" s="20"/>
      <c r="R4" s="20"/>
      <c r="S4" s="20"/>
    </row>
    <row r="5" spans="2:27" ht="23.25" customHeight="1">
      <c r="B5" s="31" t="s">
        <v>89</v>
      </c>
      <c r="C5" s="2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J5" s="3" t="s">
        <v>1</v>
      </c>
      <c r="K5" s="3" t="s">
        <v>2</v>
      </c>
      <c r="L5" s="3" t="s">
        <v>3</v>
      </c>
      <c r="M5" s="3" t="s">
        <v>4</v>
      </c>
      <c r="N5" s="203" t="s">
        <v>269</v>
      </c>
      <c r="O5" s="30"/>
      <c r="P5" s="30"/>
      <c r="Q5" s="30"/>
      <c r="R5" s="30"/>
      <c r="S5" s="30"/>
      <c r="T5" s="16"/>
      <c r="U5" s="30"/>
      <c r="V5" s="30"/>
      <c r="W5" s="30"/>
      <c r="X5" s="30"/>
      <c r="Y5" s="30"/>
    </row>
    <row r="6" spans="2:27" ht="23.25" customHeight="1">
      <c r="B6" s="25">
        <v>714</v>
      </c>
      <c r="C6" s="5" t="s">
        <v>271</v>
      </c>
      <c r="D6" s="15">
        <v>136</v>
      </c>
      <c r="E6" s="15">
        <v>76</v>
      </c>
      <c r="F6" s="15">
        <f t="shared" ref="F6:F13" si="0">E6*2/3</f>
        <v>50.666666666666664</v>
      </c>
      <c r="G6" s="15">
        <f t="shared" ref="G6:G13" si="1">(E6*2+H6)/4</f>
        <v>53</v>
      </c>
      <c r="H6" s="15">
        <v>60</v>
      </c>
      <c r="I6" s="201"/>
      <c r="J6" s="15">
        <f>E6*0.7+50</f>
        <v>103.19999999999999</v>
      </c>
      <c r="K6" s="15">
        <f t="shared" ref="K6:K11" si="2">E6*0.7</f>
        <v>53.199999999999996</v>
      </c>
      <c r="L6" s="15">
        <f t="shared" ref="L6:L11" si="3">E6*2*0.7/3</f>
        <v>35.466666666666661</v>
      </c>
      <c r="M6" s="15">
        <f t="shared" ref="M6:M11" si="4">(E6*2+H6)*0.7/4</f>
        <v>37.099999999999994</v>
      </c>
      <c r="N6" s="195" t="s">
        <v>271</v>
      </c>
      <c r="O6" s="30" t="s">
        <v>242</v>
      </c>
      <c r="P6" s="30"/>
      <c r="Q6" s="204"/>
      <c r="R6" s="30"/>
      <c r="S6" s="30"/>
      <c r="T6" s="16"/>
      <c r="U6" s="16"/>
      <c r="V6" s="16"/>
      <c r="W6" s="16"/>
      <c r="X6" s="16"/>
      <c r="Y6" s="16"/>
      <c r="AA6" s="196"/>
    </row>
    <row r="7" spans="2:27" ht="23.25" customHeight="1">
      <c r="B7" s="25">
        <v>26</v>
      </c>
      <c r="C7" s="5" t="s">
        <v>270</v>
      </c>
      <c r="D7" s="15">
        <v>152</v>
      </c>
      <c r="E7" s="15">
        <v>92</v>
      </c>
      <c r="F7" s="182">
        <v>62</v>
      </c>
      <c r="G7" s="15">
        <f t="shared" si="1"/>
        <v>63</v>
      </c>
      <c r="H7" s="15">
        <v>68</v>
      </c>
      <c r="I7" s="201"/>
      <c r="J7" s="15">
        <f>E7*0.7+50</f>
        <v>114.39999999999999</v>
      </c>
      <c r="K7" s="15">
        <f t="shared" si="2"/>
        <v>64.399999999999991</v>
      </c>
      <c r="L7" s="15">
        <f t="shared" si="3"/>
        <v>42.93333333333333</v>
      </c>
      <c r="M7" s="15">
        <f t="shared" si="4"/>
        <v>44.099999999999994</v>
      </c>
      <c r="N7" s="194" t="s">
        <v>270</v>
      </c>
      <c r="O7" s="30" t="s">
        <v>242</v>
      </c>
      <c r="P7" s="30"/>
      <c r="Q7" s="204"/>
      <c r="R7" s="30"/>
      <c r="S7" s="30"/>
      <c r="T7" s="16"/>
      <c r="U7" s="16"/>
      <c r="V7" s="16"/>
      <c r="W7" s="16"/>
      <c r="X7" s="16"/>
      <c r="Y7" s="16"/>
      <c r="AA7" s="193"/>
    </row>
    <row r="8" spans="2:27" ht="23.25" customHeight="1">
      <c r="B8" s="25">
        <v>28</v>
      </c>
      <c r="C8" s="5" t="s">
        <v>47</v>
      </c>
      <c r="D8" s="15">
        <v>168</v>
      </c>
      <c r="E8" s="15">
        <v>108</v>
      </c>
      <c r="F8" s="15">
        <f t="shared" si="0"/>
        <v>72</v>
      </c>
      <c r="G8" s="15">
        <f t="shared" si="1"/>
        <v>73</v>
      </c>
      <c r="H8" s="15">
        <v>76</v>
      </c>
      <c r="I8" s="201"/>
      <c r="J8" s="15">
        <f>E8*0.7+50</f>
        <v>125.6</v>
      </c>
      <c r="K8" s="15">
        <f t="shared" si="2"/>
        <v>75.599999999999994</v>
      </c>
      <c r="L8" s="15">
        <f t="shared" si="3"/>
        <v>50.4</v>
      </c>
      <c r="M8" s="15">
        <f t="shared" si="4"/>
        <v>51.099999999999994</v>
      </c>
      <c r="O8" s="30" t="s">
        <v>242</v>
      </c>
      <c r="P8" s="30"/>
      <c r="Q8" s="30"/>
      <c r="R8" s="30"/>
      <c r="S8" s="30"/>
      <c r="T8" s="16"/>
      <c r="U8" s="16"/>
      <c r="V8" s="16"/>
      <c r="W8" s="16"/>
      <c r="X8" s="16"/>
      <c r="Y8" s="16"/>
      <c r="AA8" s="192"/>
    </row>
    <row r="9" spans="2:27" ht="23.25" customHeight="1">
      <c r="B9" s="25">
        <v>1465</v>
      </c>
      <c r="C9" s="5" t="s">
        <v>48</v>
      </c>
      <c r="D9" s="15">
        <v>172</v>
      </c>
      <c r="E9" s="15">
        <v>112</v>
      </c>
      <c r="F9" s="15">
        <f t="shared" si="0"/>
        <v>74.666666666666671</v>
      </c>
      <c r="G9" s="15">
        <f t="shared" si="1"/>
        <v>76</v>
      </c>
      <c r="H9" s="15">
        <v>80</v>
      </c>
      <c r="I9" s="201"/>
      <c r="J9" s="15">
        <f>E9*0.7+50</f>
        <v>128.39999999999998</v>
      </c>
      <c r="K9" s="15">
        <f t="shared" si="2"/>
        <v>78.399999999999991</v>
      </c>
      <c r="L9" s="15">
        <f t="shared" si="3"/>
        <v>52.266666666666659</v>
      </c>
      <c r="M9" s="15">
        <f t="shared" si="4"/>
        <v>53.199999999999996</v>
      </c>
      <c r="O9" s="30" t="s">
        <v>242</v>
      </c>
      <c r="P9" s="30"/>
      <c r="Q9" s="204"/>
      <c r="R9" s="30"/>
      <c r="S9" s="30"/>
      <c r="T9" s="16"/>
      <c r="U9" s="16"/>
      <c r="V9" s="16"/>
      <c r="W9" s="16"/>
      <c r="X9" s="16"/>
      <c r="Y9" s="16"/>
    </row>
    <row r="10" spans="2:27" ht="23.25" customHeight="1">
      <c r="B10" s="25">
        <v>31</v>
      </c>
      <c r="C10" s="5" t="s">
        <v>49</v>
      </c>
      <c r="D10" s="15">
        <v>168</v>
      </c>
      <c r="E10" s="15">
        <v>108</v>
      </c>
      <c r="F10" s="15">
        <f t="shared" si="0"/>
        <v>72</v>
      </c>
      <c r="G10" s="15">
        <f>(E10*2+H10)/4</f>
        <v>73</v>
      </c>
      <c r="H10" s="15">
        <v>76</v>
      </c>
      <c r="I10" s="201"/>
      <c r="J10" s="15">
        <f>E10*0.7+50</f>
        <v>125.6</v>
      </c>
      <c r="K10" s="15">
        <f t="shared" si="2"/>
        <v>75.599999999999994</v>
      </c>
      <c r="L10" s="15">
        <f t="shared" si="3"/>
        <v>50.4</v>
      </c>
      <c r="M10" s="15">
        <f t="shared" si="4"/>
        <v>51.099999999999994</v>
      </c>
      <c r="O10" s="30" t="s">
        <v>242</v>
      </c>
      <c r="P10" s="30"/>
      <c r="Q10" s="30"/>
      <c r="R10" s="204"/>
      <c r="S10" s="30"/>
      <c r="T10" s="16"/>
      <c r="U10" s="16"/>
      <c r="V10" s="16"/>
      <c r="W10" s="16"/>
      <c r="X10" s="16"/>
      <c r="Y10" s="16"/>
    </row>
    <row r="11" spans="2:27" ht="23.25" customHeight="1">
      <c r="B11" s="25">
        <v>86</v>
      </c>
      <c r="C11" s="5" t="s">
        <v>50</v>
      </c>
      <c r="D11" s="15">
        <v>272</v>
      </c>
      <c r="E11" s="15">
        <v>152</v>
      </c>
      <c r="F11" s="182">
        <v>102</v>
      </c>
      <c r="G11" s="15">
        <f t="shared" si="1"/>
        <v>102</v>
      </c>
      <c r="H11" s="15">
        <v>104</v>
      </c>
      <c r="I11" s="201"/>
      <c r="J11" s="15">
        <f>E11*0.7+100</f>
        <v>206.39999999999998</v>
      </c>
      <c r="K11" s="15">
        <f t="shared" si="2"/>
        <v>106.39999999999999</v>
      </c>
      <c r="L11" s="15">
        <f t="shared" si="3"/>
        <v>70.933333333333323</v>
      </c>
      <c r="M11" s="15">
        <f t="shared" si="4"/>
        <v>71.399999999999991</v>
      </c>
      <c r="O11" s="30" t="s">
        <v>242</v>
      </c>
      <c r="P11" s="30"/>
      <c r="Q11" s="204"/>
      <c r="R11" s="30"/>
      <c r="S11" s="30"/>
      <c r="T11" s="16"/>
      <c r="U11" s="16"/>
      <c r="V11" s="16"/>
      <c r="W11" s="16"/>
      <c r="X11" s="16"/>
      <c r="Y11" s="16"/>
      <c r="AA11" s="193"/>
    </row>
    <row r="12" spans="2:27" ht="23.25" customHeight="1">
      <c r="B12" s="25"/>
      <c r="C12" s="5" t="s">
        <v>50</v>
      </c>
      <c r="D12" s="205"/>
      <c r="E12" s="205"/>
      <c r="F12" s="205"/>
      <c r="G12" s="205"/>
      <c r="H12" s="15"/>
      <c r="J12" s="15"/>
      <c r="K12" s="15"/>
      <c r="L12" s="15"/>
      <c r="M12" s="15"/>
      <c r="N12" s="129" t="s">
        <v>273</v>
      </c>
      <c r="P12" s="129" t="s">
        <v>272</v>
      </c>
      <c r="S12" s="81"/>
      <c r="AA12" s="193"/>
    </row>
    <row r="13" spans="2:27" ht="23.25" customHeight="1">
      <c r="B13" s="25">
        <v>969</v>
      </c>
      <c r="C13" s="5" t="s">
        <v>274</v>
      </c>
      <c r="D13" s="15">
        <v>252</v>
      </c>
      <c r="E13" s="15">
        <v>132</v>
      </c>
      <c r="F13" s="15">
        <f t="shared" si="0"/>
        <v>88</v>
      </c>
      <c r="G13" s="15">
        <f t="shared" si="1"/>
        <v>90</v>
      </c>
      <c r="H13" s="15">
        <v>96</v>
      </c>
      <c r="J13" s="15">
        <f>E13*0.7+100</f>
        <v>192.39999999999998</v>
      </c>
      <c r="K13" s="15">
        <f>E13*0.7</f>
        <v>92.399999999999991</v>
      </c>
      <c r="L13" s="15">
        <f>E13*2*0.7/3</f>
        <v>61.599999999999994</v>
      </c>
      <c r="M13" s="15">
        <f>(E13*2+H13)*0.7/4</f>
        <v>62.999999999999993</v>
      </c>
      <c r="N13" s="129" t="s">
        <v>274</v>
      </c>
      <c r="O13" s="81" t="s">
        <v>242</v>
      </c>
      <c r="P13" s="81"/>
      <c r="Q13" s="81"/>
      <c r="R13" s="81"/>
      <c r="S13" s="81"/>
      <c r="AA13" s="197"/>
    </row>
    <row r="14" spans="2:27" ht="23.25" customHeight="1">
      <c r="B14" s="25">
        <v>301</v>
      </c>
      <c r="C14" s="5" t="s">
        <v>118</v>
      </c>
      <c r="D14" s="15">
        <v>335</v>
      </c>
      <c r="E14" s="15">
        <v>215</v>
      </c>
      <c r="F14" s="15">
        <v>195</v>
      </c>
      <c r="G14" s="15">
        <v>185</v>
      </c>
      <c r="H14" s="15">
        <v>155</v>
      </c>
      <c r="J14" s="15">
        <f>E14*0.7+100</f>
        <v>250.5</v>
      </c>
      <c r="K14" s="15">
        <f>E14*0.7</f>
        <v>150.5</v>
      </c>
      <c r="L14" s="15">
        <f>(E14*2+H14)*0.7/3</f>
        <v>136.5</v>
      </c>
      <c r="M14" s="15">
        <f>(E14*2+H14*2)*0.7/4</f>
        <v>129.5</v>
      </c>
      <c r="N14" s="48" t="s">
        <v>56</v>
      </c>
      <c r="O14" s="81" t="s">
        <v>242</v>
      </c>
      <c r="P14" s="81"/>
      <c r="Q14" s="81"/>
      <c r="R14" s="81"/>
      <c r="S14" s="81"/>
      <c r="AA14" s="193"/>
    </row>
    <row r="15" spans="2:27" ht="23.25" customHeight="1">
      <c r="B15" s="28">
        <v>303</v>
      </c>
      <c r="C15" s="206" t="s">
        <v>51</v>
      </c>
      <c r="D15" s="29">
        <v>400</v>
      </c>
      <c r="E15" s="29">
        <v>220</v>
      </c>
      <c r="F15" s="29">
        <v>147</v>
      </c>
      <c r="G15" s="29">
        <v>144</v>
      </c>
      <c r="H15" s="29">
        <v>135</v>
      </c>
      <c r="J15" s="15">
        <f>E15*0.7+150</f>
        <v>304</v>
      </c>
      <c r="K15" s="15">
        <f>E15*0.7</f>
        <v>154</v>
      </c>
      <c r="L15" s="15">
        <f>E15*2*0.7/3</f>
        <v>102.66666666666667</v>
      </c>
      <c r="M15" s="15">
        <f>(E15*2+H15)*0.7/4</f>
        <v>100.625</v>
      </c>
      <c r="O15" s="81" t="s">
        <v>242</v>
      </c>
      <c r="P15" s="81"/>
      <c r="Q15" s="191"/>
      <c r="R15" s="81"/>
      <c r="S15" s="81"/>
      <c r="AA15" s="193"/>
    </row>
    <row r="16" spans="2:27" ht="23.25" customHeight="1">
      <c r="B16" s="45">
        <v>302</v>
      </c>
      <c r="C16" s="7" t="s">
        <v>98</v>
      </c>
      <c r="D16" s="182">
        <v>272</v>
      </c>
      <c r="E16" s="182">
        <v>152</v>
      </c>
      <c r="F16" s="182">
        <v>102</v>
      </c>
      <c r="G16" s="182">
        <v>102</v>
      </c>
      <c r="H16" s="182">
        <v>104</v>
      </c>
      <c r="I16" s="16"/>
      <c r="J16" s="15">
        <f>E16*0.7+100</f>
        <v>206.39999999999998</v>
      </c>
      <c r="K16" s="15">
        <f>E16*0.7</f>
        <v>106.39999999999999</v>
      </c>
      <c r="L16" s="15">
        <f>E16*2*0.7/3</f>
        <v>70.933333333333323</v>
      </c>
      <c r="M16" s="15">
        <f>(E16*2+H16)*0.7/4</f>
        <v>71.399999999999991</v>
      </c>
      <c r="O16" s="198" t="s">
        <v>275</v>
      </c>
      <c r="P16" s="81"/>
      <c r="Q16" s="81"/>
      <c r="R16" s="81"/>
      <c r="S16" s="81"/>
    </row>
    <row r="17" spans="1:19" ht="23.25" customHeight="1">
      <c r="B17" s="33"/>
      <c r="C17" s="34" t="s">
        <v>99</v>
      </c>
      <c r="D17" s="202">
        <v>195</v>
      </c>
      <c r="E17" s="202">
        <v>135</v>
      </c>
      <c r="F17" s="202">
        <v>90</v>
      </c>
      <c r="G17" s="202">
        <v>91</v>
      </c>
      <c r="H17" s="202">
        <v>95</v>
      </c>
      <c r="I17" s="9"/>
      <c r="J17" s="35">
        <v>136.4</v>
      </c>
      <c r="K17" s="35">
        <v>86.4</v>
      </c>
      <c r="L17" s="36">
        <v>57.6</v>
      </c>
      <c r="M17" s="36">
        <v>58.4</v>
      </c>
      <c r="N17" s="4" t="s">
        <v>119</v>
      </c>
      <c r="O17" s="81"/>
      <c r="P17" s="81"/>
      <c r="Q17" s="81"/>
      <c r="R17" s="81"/>
      <c r="S17" s="81"/>
    </row>
    <row r="18" spans="1:19" ht="23.25" customHeight="1">
      <c r="A18" s="51" t="s">
        <v>142</v>
      </c>
      <c r="B18" s="25">
        <v>2855</v>
      </c>
      <c r="C18" s="5" t="s">
        <v>136</v>
      </c>
      <c r="D18" s="15">
        <v>175</v>
      </c>
      <c r="E18" s="15">
        <v>115</v>
      </c>
      <c r="F18" s="15">
        <v>105</v>
      </c>
      <c r="G18" s="15">
        <v>100</v>
      </c>
      <c r="H18" s="15">
        <v>85</v>
      </c>
      <c r="I18" s="9"/>
      <c r="J18" s="46">
        <v>142</v>
      </c>
      <c r="K18" s="46">
        <v>92</v>
      </c>
      <c r="L18" s="47">
        <v>84</v>
      </c>
      <c r="M18" s="47">
        <v>80</v>
      </c>
      <c r="N18" s="18"/>
      <c r="O18" s="198" t="s">
        <v>275</v>
      </c>
      <c r="P18" s="81"/>
      <c r="Q18" s="81"/>
      <c r="R18" s="81"/>
      <c r="S18" s="81"/>
    </row>
    <row r="19" spans="1:19" ht="23.25" customHeight="1">
      <c r="A19" s="51" t="s">
        <v>142</v>
      </c>
      <c r="B19" s="25">
        <v>2856</v>
      </c>
      <c r="C19" s="5" t="s">
        <v>137</v>
      </c>
      <c r="D19" s="15">
        <v>175</v>
      </c>
      <c r="E19" s="15">
        <v>115</v>
      </c>
      <c r="F19" s="15">
        <v>105</v>
      </c>
      <c r="G19" s="15">
        <v>100</v>
      </c>
      <c r="H19" s="15">
        <v>85</v>
      </c>
      <c r="I19" s="9"/>
      <c r="J19" s="46">
        <v>142</v>
      </c>
      <c r="K19" s="46">
        <v>92</v>
      </c>
      <c r="L19" s="47">
        <v>84</v>
      </c>
      <c r="M19" s="47">
        <v>80</v>
      </c>
      <c r="N19" s="18"/>
      <c r="O19" s="198" t="s">
        <v>275</v>
      </c>
      <c r="P19" s="81"/>
      <c r="Q19" s="81"/>
      <c r="R19" s="81"/>
      <c r="S19" s="81"/>
    </row>
    <row r="20" spans="1:19" ht="23.25" customHeight="1">
      <c r="A20" s="51" t="s">
        <v>142</v>
      </c>
      <c r="B20" s="25">
        <v>2858</v>
      </c>
      <c r="C20" s="5" t="s">
        <v>138</v>
      </c>
      <c r="D20" s="15">
        <v>175</v>
      </c>
      <c r="E20" s="15">
        <v>115</v>
      </c>
      <c r="F20" s="15">
        <v>105</v>
      </c>
      <c r="G20" s="15">
        <v>100</v>
      </c>
      <c r="H20" s="15">
        <v>85</v>
      </c>
      <c r="I20" s="9"/>
      <c r="J20" s="46">
        <v>142</v>
      </c>
      <c r="K20" s="46">
        <v>92</v>
      </c>
      <c r="L20" s="47">
        <v>84</v>
      </c>
      <c r="M20" s="47">
        <v>80</v>
      </c>
      <c r="N20" s="18"/>
      <c r="O20" s="198" t="s">
        <v>275</v>
      </c>
      <c r="P20" s="81"/>
      <c r="Q20" s="81"/>
      <c r="R20" s="81"/>
      <c r="S20" s="81"/>
    </row>
    <row r="21" spans="1:19" ht="23.25" customHeight="1">
      <c r="A21" s="51" t="s">
        <v>142</v>
      </c>
      <c r="B21" s="25">
        <v>2859</v>
      </c>
      <c r="C21" s="5" t="s">
        <v>139</v>
      </c>
      <c r="D21" s="15">
        <v>175</v>
      </c>
      <c r="E21" s="15">
        <v>115</v>
      </c>
      <c r="F21" s="15">
        <v>105</v>
      </c>
      <c r="G21" s="15">
        <v>100</v>
      </c>
      <c r="H21" s="15">
        <v>85</v>
      </c>
      <c r="I21" s="9"/>
      <c r="J21" s="46">
        <v>142</v>
      </c>
      <c r="K21" s="46">
        <v>92</v>
      </c>
      <c r="L21" s="47">
        <v>84</v>
      </c>
      <c r="M21" s="47">
        <v>80</v>
      </c>
      <c r="N21" s="18"/>
      <c r="O21" s="198" t="s">
        <v>275</v>
      </c>
      <c r="P21" s="81"/>
      <c r="Q21" s="81"/>
      <c r="R21" s="81"/>
      <c r="S21" s="81"/>
    </row>
    <row r="22" spans="1:19" ht="23.25" customHeight="1">
      <c r="A22" s="51" t="s">
        <v>142</v>
      </c>
      <c r="B22" s="322"/>
      <c r="C22" s="321" t="s">
        <v>436</v>
      </c>
      <c r="D22" s="323">
        <f>E22+60</f>
        <v>228</v>
      </c>
      <c r="E22" s="323">
        <v>168</v>
      </c>
      <c r="F22" s="323">
        <f>ROUNDUP((E22*2+118)/3,0)</f>
        <v>152</v>
      </c>
      <c r="G22" s="323">
        <f>(E22*2+118+118)/4</f>
        <v>143</v>
      </c>
      <c r="H22" s="323">
        <v>118</v>
      </c>
      <c r="I22" s="9"/>
      <c r="J22" s="323">
        <f>E22*0.8+50</f>
        <v>184.4</v>
      </c>
      <c r="K22" s="323">
        <f>E22*0.8</f>
        <v>134.4</v>
      </c>
      <c r="L22" s="323">
        <f>(E22*2*0.8+118*0.8)/3</f>
        <v>121.06666666666668</v>
      </c>
      <c r="M22" s="323">
        <f>(E22*2+118+H22)*0.8/4</f>
        <v>114.4</v>
      </c>
      <c r="N22" s="18"/>
      <c r="O22" s="324">
        <v>0.2</v>
      </c>
      <c r="P22" s="81"/>
      <c r="Q22" s="81"/>
      <c r="R22" s="81"/>
      <c r="S22" s="81"/>
    </row>
    <row r="23" spans="1:19" ht="23.25" customHeight="1">
      <c r="A23" s="51" t="s">
        <v>142</v>
      </c>
      <c r="B23" s="322"/>
      <c r="C23" s="321" t="s">
        <v>437</v>
      </c>
      <c r="D23" s="323">
        <f>E23+60</f>
        <v>236</v>
      </c>
      <c r="E23" s="323">
        <v>176</v>
      </c>
      <c r="F23" s="323">
        <f>ROUNDUP((E23*2)/3,0)</f>
        <v>118</v>
      </c>
      <c r="G23" s="323">
        <f>(E23*2+104)/4</f>
        <v>114</v>
      </c>
      <c r="H23" s="323">
        <v>104</v>
      </c>
      <c r="I23" s="9"/>
      <c r="J23" s="323">
        <f>E23*0.8+50</f>
        <v>190.8</v>
      </c>
      <c r="K23" s="323">
        <f>E23*0.8</f>
        <v>140.80000000000001</v>
      </c>
      <c r="L23" s="323">
        <f>(E23*2*0.8+0)/3</f>
        <v>93.866666666666674</v>
      </c>
      <c r="M23" s="323">
        <f>(E23*2+0+H23)*0.8/4</f>
        <v>91.2</v>
      </c>
      <c r="N23" s="18"/>
      <c r="O23" s="324">
        <v>0.2</v>
      </c>
      <c r="P23" s="81"/>
      <c r="Q23" s="81"/>
      <c r="R23" s="81"/>
      <c r="S23" s="81"/>
    </row>
    <row r="24" spans="1:19" ht="23.25" customHeight="1">
      <c r="C24" s="9"/>
      <c r="D24" s="10"/>
      <c r="E24" s="10"/>
      <c r="F24" s="10"/>
      <c r="G24" s="10"/>
      <c r="H24" s="10"/>
    </row>
    <row r="25" spans="1:19" ht="23.25" customHeight="1">
      <c r="C25" s="8" t="s">
        <v>59</v>
      </c>
      <c r="D25" s="10"/>
      <c r="E25" s="10"/>
      <c r="F25" s="10"/>
      <c r="G25" s="8" t="s">
        <v>60</v>
      </c>
      <c r="H25" s="10"/>
    </row>
    <row r="26" spans="1:19" ht="23.25" customHeight="1">
      <c r="B26" s="3" t="s">
        <v>89</v>
      </c>
      <c r="C26" s="2" t="s">
        <v>0</v>
      </c>
      <c r="D26" s="3" t="s">
        <v>52</v>
      </c>
      <c r="E26" s="3" t="s">
        <v>53</v>
      </c>
      <c r="F26" s="10"/>
      <c r="G26" s="3" t="s">
        <v>52</v>
      </c>
      <c r="H26" s="3" t="s">
        <v>53</v>
      </c>
      <c r="J26" s="30"/>
    </row>
    <row r="27" spans="1:19" ht="23.25" customHeight="1">
      <c r="B27" s="25">
        <v>333</v>
      </c>
      <c r="C27" s="5" t="s">
        <v>54</v>
      </c>
      <c r="D27" s="5">
        <v>45</v>
      </c>
      <c r="E27" s="5">
        <v>35</v>
      </c>
      <c r="F27" s="10"/>
      <c r="G27" s="6">
        <f>D27*0.7</f>
        <v>31.499999999999996</v>
      </c>
      <c r="H27" s="6">
        <f>E27*0.7</f>
        <v>24.5</v>
      </c>
      <c r="O27" s="129" t="s">
        <v>276</v>
      </c>
    </row>
    <row r="28" spans="1:19" ht="23.25" customHeight="1">
      <c r="B28" s="25">
        <v>341</v>
      </c>
      <c r="C28" s="5" t="s">
        <v>55</v>
      </c>
      <c r="D28" s="5">
        <v>9</v>
      </c>
      <c r="E28" s="5">
        <v>9</v>
      </c>
      <c r="F28" s="10"/>
      <c r="G28" s="6">
        <v>0</v>
      </c>
      <c r="H28" s="6">
        <v>0</v>
      </c>
      <c r="O28" s="81" t="s">
        <v>258</v>
      </c>
    </row>
    <row r="29" spans="1:19" ht="23.25" customHeight="1">
      <c r="A29" s="51" t="s">
        <v>142</v>
      </c>
      <c r="B29" s="25">
        <v>2853</v>
      </c>
      <c r="C29" s="5" t="s">
        <v>140</v>
      </c>
      <c r="D29" s="5">
        <v>45</v>
      </c>
      <c r="E29" s="5">
        <v>35</v>
      </c>
      <c r="F29" s="10"/>
      <c r="G29" s="6">
        <f>D29*0.7</f>
        <v>31.499999999999996</v>
      </c>
      <c r="H29" s="27">
        <v>25</v>
      </c>
      <c r="O29" s="129" t="s">
        <v>276</v>
      </c>
    </row>
    <row r="30" spans="1:19" ht="23.25" customHeight="1">
      <c r="A30" s="51" t="s">
        <v>142</v>
      </c>
      <c r="B30" s="25">
        <v>2854</v>
      </c>
      <c r="C30" s="5" t="s">
        <v>141</v>
      </c>
      <c r="D30" s="5">
        <v>45</v>
      </c>
      <c r="E30" s="5">
        <v>35</v>
      </c>
      <c r="F30" s="10"/>
      <c r="G30" s="6">
        <v>32</v>
      </c>
      <c r="H30" s="27">
        <v>25</v>
      </c>
      <c r="O30" s="129" t="s">
        <v>276</v>
      </c>
    </row>
    <row r="31" spans="1:19" ht="23.25" customHeight="1">
      <c r="A31" s="319" t="s">
        <v>142</v>
      </c>
      <c r="B31" s="320"/>
      <c r="C31" s="321" t="s">
        <v>435</v>
      </c>
      <c r="D31" s="321">
        <v>108</v>
      </c>
      <c r="E31" s="321">
        <v>108</v>
      </c>
      <c r="G31" s="6">
        <f>D31*0.8</f>
        <v>86.4</v>
      </c>
      <c r="H31" s="6">
        <f>E31*0.8</f>
        <v>86.4</v>
      </c>
      <c r="I31" s="357">
        <v>0.2</v>
      </c>
    </row>
    <row r="32" spans="1:19" ht="23.25" customHeight="1"/>
    <row r="33" spans="2:8" ht="23.25" customHeight="1"/>
    <row r="34" spans="2:8" ht="23.25" customHeight="1">
      <c r="C34" s="20" t="s">
        <v>63</v>
      </c>
    </row>
    <row r="35" spans="2:8" ht="23.25" customHeight="1">
      <c r="C35" s="129" t="s">
        <v>64</v>
      </c>
      <c r="D35" s="129" t="s">
        <v>280</v>
      </c>
    </row>
    <row r="36" spans="2:8" ht="23.25" customHeight="1">
      <c r="C36" s="129" t="s">
        <v>65</v>
      </c>
      <c r="D36" s="129" t="s">
        <v>281</v>
      </c>
    </row>
    <row r="37" spans="2:8" ht="23.25" customHeight="1">
      <c r="B37" s="129" t="s">
        <v>68</v>
      </c>
      <c r="C37" s="129" t="s">
        <v>66</v>
      </c>
      <c r="D37" s="129" t="s">
        <v>282</v>
      </c>
      <c r="H37" s="22"/>
    </row>
    <row r="38" spans="2:8" ht="23.25" customHeight="1">
      <c r="B38" s="129" t="s">
        <v>69</v>
      </c>
      <c r="C38" s="129" t="s">
        <v>66</v>
      </c>
      <c r="D38" s="129" t="s">
        <v>283</v>
      </c>
      <c r="H38" s="10"/>
    </row>
    <row r="39" spans="2:8" ht="23.25" customHeight="1">
      <c r="B39" s="129" t="s">
        <v>68</v>
      </c>
      <c r="C39" s="129" t="s">
        <v>67</v>
      </c>
      <c r="D39" s="129" t="s">
        <v>284</v>
      </c>
    </row>
    <row r="40" spans="2:8" ht="23.25" customHeight="1">
      <c r="B40" s="129" t="s">
        <v>69</v>
      </c>
      <c r="C40" s="129" t="s">
        <v>67</v>
      </c>
      <c r="D40" s="129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opLeftCell="A34" workbookViewId="0">
      <selection activeCell="O9" sqref="O9"/>
    </sheetView>
  </sheetViews>
  <sheetFormatPr defaultRowHeight="25.15" customHeight="1"/>
  <cols>
    <col min="1" max="1" width="9.140625" style="129"/>
    <col min="2" max="2" width="15.85546875" bestFit="1" customWidth="1"/>
    <col min="4" max="4" width="18.28515625" customWidth="1"/>
    <col min="5" max="5" width="44.85546875" customWidth="1"/>
    <col min="6" max="6" width="8.85546875" customWidth="1"/>
    <col min="7" max="7" width="16.7109375" customWidth="1"/>
    <col min="8" max="8" width="16.85546875" customWidth="1"/>
    <col min="9" max="9" width="59.85546875" bestFit="1" customWidth="1"/>
    <col min="10" max="10" width="9.140625" style="129" customWidth="1"/>
    <col min="16" max="16" width="9.140625" bestFit="1" customWidth="1"/>
    <col min="20" max="20" width="12" customWidth="1"/>
    <col min="22" max="22" width="28" customWidth="1"/>
    <col min="23" max="23" width="9.140625" style="129"/>
    <col min="24" max="24" width="68" style="129" bestFit="1" customWidth="1"/>
  </cols>
  <sheetData>
    <row r="1" spans="1:31" ht="25.15" customHeight="1">
      <c r="E1" s="20" t="s">
        <v>287</v>
      </c>
      <c r="I1" s="18"/>
      <c r="J1" s="129" t="s">
        <v>332</v>
      </c>
    </row>
    <row r="2" spans="1:31" ht="25.15" customHeight="1">
      <c r="B2" s="96" t="s">
        <v>198</v>
      </c>
      <c r="C2" s="93"/>
      <c r="D2" s="93"/>
      <c r="E2" s="94"/>
      <c r="F2" s="94"/>
      <c r="G2" s="94"/>
      <c r="H2" s="94"/>
      <c r="I2" s="9"/>
      <c r="J2" s="9"/>
      <c r="K2" s="123" t="s">
        <v>59</v>
      </c>
      <c r="L2" s="95"/>
      <c r="M2" s="95"/>
      <c r="N2" s="95"/>
      <c r="O2" s="95"/>
      <c r="P2" s="9"/>
      <c r="Q2" s="123" t="s">
        <v>60</v>
      </c>
      <c r="R2" s="95"/>
      <c r="S2" s="95"/>
      <c r="T2" s="95"/>
      <c r="U2" s="95"/>
    </row>
    <row r="3" spans="1:31" ht="25.15" customHeight="1" thickBot="1">
      <c r="B3" s="108" t="s">
        <v>89</v>
      </c>
      <c r="C3" s="109" t="s">
        <v>143</v>
      </c>
      <c r="D3" s="110" t="s">
        <v>213</v>
      </c>
      <c r="E3" s="108" t="s">
        <v>144</v>
      </c>
      <c r="F3" s="109" t="s">
        <v>145</v>
      </c>
      <c r="G3" s="109" t="s">
        <v>100</v>
      </c>
      <c r="H3" s="109" t="s">
        <v>146</v>
      </c>
      <c r="I3" s="112"/>
      <c r="J3" s="112"/>
      <c r="K3" s="147" t="s">
        <v>237</v>
      </c>
      <c r="L3" s="147" t="s">
        <v>3</v>
      </c>
      <c r="M3" s="147" t="s">
        <v>4</v>
      </c>
      <c r="N3" s="152" t="s">
        <v>147</v>
      </c>
      <c r="O3" s="152" t="s">
        <v>53</v>
      </c>
      <c r="P3" s="148"/>
      <c r="Q3" s="147" t="s">
        <v>2</v>
      </c>
      <c r="R3" s="147" t="s">
        <v>3</v>
      </c>
      <c r="S3" s="147" t="s">
        <v>4</v>
      </c>
      <c r="T3" s="152" t="s">
        <v>147</v>
      </c>
      <c r="U3" s="152" t="s">
        <v>53</v>
      </c>
      <c r="X3" s="129" t="s">
        <v>262</v>
      </c>
    </row>
    <row r="4" spans="1:31" s="129" customFormat="1" ht="25.15" customHeight="1" thickBot="1">
      <c r="B4" s="240" t="s">
        <v>334</v>
      </c>
      <c r="C4" s="241" t="s">
        <v>208</v>
      </c>
      <c r="D4" s="246" t="s">
        <v>333</v>
      </c>
      <c r="E4" s="240"/>
      <c r="F4" s="240">
        <v>5</v>
      </c>
      <c r="G4" s="241"/>
      <c r="H4" s="54" t="s">
        <v>151</v>
      </c>
      <c r="I4" s="112"/>
      <c r="J4" s="112"/>
      <c r="K4" s="247">
        <v>579</v>
      </c>
      <c r="L4" s="248">
        <f>K4*2/3</f>
        <v>386</v>
      </c>
      <c r="M4" s="249">
        <f>(K4*2+479)/4</f>
        <v>409.25</v>
      </c>
      <c r="N4" s="250">
        <v>729</v>
      </c>
      <c r="O4" s="250">
        <v>479</v>
      </c>
      <c r="P4" s="148"/>
      <c r="Q4" s="251">
        <f t="shared" ref="Q4:R6" si="0">K4*0.7</f>
        <v>405.29999999999995</v>
      </c>
      <c r="R4" s="251">
        <f>L4*0.7</f>
        <v>270.2</v>
      </c>
      <c r="S4" s="251">
        <f t="shared" ref="S4:U6" si="1">M4*0.7</f>
        <v>286.47499999999997</v>
      </c>
      <c r="T4" s="239">
        <f>N4*0.7</f>
        <v>510.29999999999995</v>
      </c>
      <c r="U4" s="97">
        <f t="shared" si="1"/>
        <v>335.29999999999995</v>
      </c>
      <c r="V4" s="129" t="s">
        <v>316</v>
      </c>
      <c r="X4" s="237">
        <v>579</v>
      </c>
      <c r="Y4" s="238">
        <v>0</v>
      </c>
      <c r="Z4" s="238">
        <v>479</v>
      </c>
      <c r="AA4" s="238">
        <v>729</v>
      </c>
    </row>
    <row r="5" spans="1:31" ht="55.5" customHeight="1">
      <c r="B5" s="52" t="s">
        <v>207</v>
      </c>
      <c r="C5" s="91" t="s">
        <v>148</v>
      </c>
      <c r="D5" s="91" t="s">
        <v>76</v>
      </c>
      <c r="E5" s="53" t="s">
        <v>149</v>
      </c>
      <c r="F5" s="97">
        <v>4</v>
      </c>
      <c r="G5" s="55" t="s">
        <v>150</v>
      </c>
      <c r="H5" s="54" t="s">
        <v>151</v>
      </c>
      <c r="I5" s="199"/>
      <c r="J5" s="104"/>
      <c r="K5" s="188">
        <v>499</v>
      </c>
      <c r="L5" s="188">
        <v>333</v>
      </c>
      <c r="M5" s="207">
        <v>350</v>
      </c>
      <c r="N5" s="207">
        <v>649</v>
      </c>
      <c r="O5" s="207">
        <v>399</v>
      </c>
      <c r="P5" s="101"/>
      <c r="Q5" s="62">
        <f t="shared" si="0"/>
        <v>349.29999999999995</v>
      </c>
      <c r="R5" s="62">
        <f t="shared" si="0"/>
        <v>233.1</v>
      </c>
      <c r="S5" s="62">
        <f t="shared" si="1"/>
        <v>244.99999999999997</v>
      </c>
      <c r="T5" s="239">
        <f>N5*0.7</f>
        <v>454.29999999999995</v>
      </c>
      <c r="U5" s="97">
        <f t="shared" si="1"/>
        <v>279.29999999999995</v>
      </c>
      <c r="V5" s="103" t="s">
        <v>212</v>
      </c>
      <c r="W5" s="87"/>
      <c r="X5" s="177" t="s">
        <v>267</v>
      </c>
      <c r="Y5" s="14"/>
      <c r="Z5" s="14"/>
    </row>
    <row r="6" spans="1:31" ht="25.15" customHeight="1">
      <c r="B6" s="52" t="s">
        <v>206</v>
      </c>
      <c r="C6" s="91" t="s">
        <v>148</v>
      </c>
      <c r="D6" s="91" t="s">
        <v>216</v>
      </c>
      <c r="E6" s="53" t="s">
        <v>217</v>
      </c>
      <c r="F6" s="97">
        <v>3</v>
      </c>
      <c r="G6" s="55" t="s">
        <v>215</v>
      </c>
      <c r="H6" s="54" t="s">
        <v>151</v>
      </c>
      <c r="I6" s="16"/>
      <c r="J6" s="16"/>
      <c r="K6" s="208">
        <v>349</v>
      </c>
      <c r="L6" s="188">
        <v>233</v>
      </c>
      <c r="M6" s="207">
        <v>250</v>
      </c>
      <c r="N6" s="208">
        <v>499</v>
      </c>
      <c r="O6" s="188">
        <v>299</v>
      </c>
      <c r="P6" s="101"/>
      <c r="Q6" s="62">
        <f t="shared" si="0"/>
        <v>244.29999999999998</v>
      </c>
      <c r="R6" s="62">
        <f t="shared" si="0"/>
        <v>163.1</v>
      </c>
      <c r="S6" s="62">
        <f t="shared" si="1"/>
        <v>175</v>
      </c>
      <c r="T6" s="97">
        <f t="shared" si="1"/>
        <v>349.29999999999995</v>
      </c>
      <c r="U6" s="97">
        <f t="shared" si="1"/>
        <v>209.29999999999998</v>
      </c>
      <c r="V6" s="103" t="s">
        <v>212</v>
      </c>
      <c r="W6" s="87"/>
      <c r="X6" s="178" t="s">
        <v>268</v>
      </c>
      <c r="Y6" s="14"/>
      <c r="Z6" s="14"/>
    </row>
    <row r="7" spans="1:31" ht="15.75" customHeight="1">
      <c r="B7" s="326" t="s">
        <v>205</v>
      </c>
      <c r="C7" s="329" t="s">
        <v>208</v>
      </c>
      <c r="D7" s="329" t="s">
        <v>209</v>
      </c>
      <c r="E7" s="328" t="s">
        <v>211</v>
      </c>
      <c r="F7" s="327">
        <v>1</v>
      </c>
      <c r="G7" s="330" t="s">
        <v>210</v>
      </c>
      <c r="H7" s="327" t="s">
        <v>214</v>
      </c>
      <c r="I7" s="16"/>
      <c r="J7" s="16"/>
      <c r="K7" s="42" t="s">
        <v>52</v>
      </c>
      <c r="L7" s="105" t="s">
        <v>53</v>
      </c>
      <c r="M7" s="105"/>
      <c r="N7" s="42" t="s">
        <v>52</v>
      </c>
      <c r="O7" s="106" t="s">
        <v>53</v>
      </c>
      <c r="P7" s="101"/>
      <c r="Q7" s="1"/>
      <c r="R7" s="1"/>
      <c r="S7" s="62"/>
      <c r="T7" s="97"/>
      <c r="U7" s="97"/>
      <c r="V7" s="87"/>
      <c r="W7" s="87"/>
      <c r="X7" s="87"/>
      <c r="Y7" s="14"/>
      <c r="Z7" s="14"/>
    </row>
    <row r="8" spans="1:31" ht="35.25" customHeight="1">
      <c r="B8" s="326"/>
      <c r="C8" s="329"/>
      <c r="D8" s="329"/>
      <c r="E8" s="328"/>
      <c r="F8" s="327"/>
      <c r="G8" s="331"/>
      <c r="H8" s="327"/>
      <c r="I8" s="18"/>
      <c r="J8" s="18"/>
      <c r="K8" s="59">
        <v>99</v>
      </c>
      <c r="L8" s="59">
        <v>99</v>
      </c>
      <c r="M8" s="59"/>
      <c r="N8" s="62">
        <v>69.3</v>
      </c>
      <c r="O8" s="62">
        <v>69.3</v>
      </c>
      <c r="P8" s="60"/>
      <c r="Q8" s="1"/>
      <c r="R8" s="1"/>
      <c r="S8" s="62"/>
      <c r="T8" s="54"/>
      <c r="U8" s="54"/>
      <c r="V8" s="87" t="s">
        <v>212</v>
      </c>
      <c r="W8" s="87"/>
      <c r="X8" s="176" t="s">
        <v>264</v>
      </c>
      <c r="Y8" s="14"/>
      <c r="Z8" s="14"/>
    </row>
    <row r="9" spans="1:31" s="129" customFormat="1" ht="37.5" customHeight="1">
      <c r="B9" s="127" t="s">
        <v>238</v>
      </c>
      <c r="C9" s="128" t="s">
        <v>208</v>
      </c>
      <c r="D9" s="128" t="s">
        <v>209</v>
      </c>
      <c r="E9" s="126" t="s">
        <v>239</v>
      </c>
      <c r="F9" s="125"/>
      <c r="G9" s="153"/>
      <c r="H9" s="125"/>
      <c r="I9" s="18"/>
      <c r="J9" s="18"/>
      <c r="K9" s="59">
        <v>129</v>
      </c>
      <c r="L9" s="59">
        <v>129</v>
      </c>
      <c r="M9" s="59"/>
      <c r="N9" s="62">
        <v>90.3</v>
      </c>
      <c r="O9" s="62">
        <v>90.3</v>
      </c>
      <c r="P9" s="85"/>
      <c r="Q9" s="9"/>
      <c r="R9" s="9"/>
      <c r="S9" s="86"/>
      <c r="T9" s="16"/>
      <c r="U9" s="16"/>
      <c r="V9" s="87"/>
      <c r="W9" s="87"/>
      <c r="X9" s="176" t="s">
        <v>266</v>
      </c>
      <c r="Y9" s="14"/>
      <c r="Z9" s="14"/>
    </row>
    <row r="10" spans="1:31" s="129" customFormat="1" ht="25.15" customHeight="1">
      <c r="B10" s="130"/>
      <c r="C10" s="131"/>
      <c r="D10" s="131"/>
      <c r="E10" s="132"/>
      <c r="F10" s="133"/>
      <c r="G10" s="134"/>
      <c r="H10" s="133"/>
      <c r="I10" s="18"/>
      <c r="J10" s="18"/>
      <c r="K10" s="84"/>
      <c r="L10" s="84"/>
      <c r="M10" s="84"/>
      <c r="N10" s="86"/>
      <c r="O10" s="86"/>
      <c r="P10" s="85"/>
      <c r="Q10" s="9"/>
      <c r="R10" s="9"/>
      <c r="S10" s="86"/>
      <c r="T10" s="16"/>
      <c r="U10" s="16"/>
      <c r="V10" s="87"/>
      <c r="W10" s="87"/>
      <c r="X10" s="87"/>
      <c r="Y10" s="14"/>
      <c r="Z10" s="14"/>
    </row>
    <row r="11" spans="1:31" s="129" customFormat="1" ht="24.75" customHeight="1">
      <c r="B11" s="200"/>
      <c r="C11" s="131"/>
      <c r="D11" s="131"/>
      <c r="E11" s="132"/>
      <c r="F11" s="133"/>
      <c r="G11" s="134"/>
      <c r="H11" s="133"/>
      <c r="I11" s="18"/>
      <c r="J11" s="18"/>
      <c r="K11" s="84"/>
      <c r="L11" s="84"/>
      <c r="M11" s="84"/>
      <c r="N11" s="86"/>
      <c r="O11" s="86"/>
      <c r="P11" s="85"/>
      <c r="Q11" s="9"/>
      <c r="R11" s="9"/>
      <c r="S11" s="86"/>
      <c r="T11" s="16"/>
      <c r="U11" s="16"/>
      <c r="V11" s="87"/>
      <c r="W11" s="87"/>
      <c r="X11" s="87"/>
      <c r="Y11" s="14"/>
      <c r="Z11" s="14"/>
    </row>
    <row r="12" spans="1:31" s="129" customFormat="1" ht="25.15" customHeight="1">
      <c r="B12" s="130"/>
      <c r="C12" s="131"/>
      <c r="D12" s="131"/>
      <c r="E12" s="132"/>
      <c r="F12" s="133"/>
      <c r="G12" s="134"/>
      <c r="H12" s="133"/>
      <c r="I12" s="18"/>
      <c r="J12" s="18"/>
      <c r="K12" s="102"/>
      <c r="L12" s="84"/>
      <c r="M12" s="84"/>
      <c r="N12" s="86"/>
      <c r="O12" s="86"/>
      <c r="P12" s="85"/>
      <c r="Q12" s="102"/>
      <c r="R12" s="9"/>
      <c r="S12" s="86"/>
      <c r="T12" s="16"/>
      <c r="U12" s="16"/>
      <c r="V12" s="87"/>
      <c r="W12" s="87"/>
      <c r="X12" s="87"/>
      <c r="Y12" s="14"/>
      <c r="Z12" s="14"/>
    </row>
    <row r="13" spans="1:31" s="129" customFormat="1" ht="25.15" customHeight="1">
      <c r="B13" s="326" t="s">
        <v>234</v>
      </c>
      <c r="C13" s="326"/>
      <c r="D13" s="326"/>
      <c r="E13" s="326"/>
      <c r="F13" s="326"/>
      <c r="G13" s="326"/>
      <c r="H13" s="124"/>
      <c r="I13" s="18" t="s">
        <v>325</v>
      </c>
      <c r="J13" s="18"/>
      <c r="K13" s="150" t="s">
        <v>236</v>
      </c>
      <c r="L13" s="151"/>
      <c r="M13" s="84"/>
      <c r="N13" s="86"/>
      <c r="O13" s="86"/>
      <c r="P13" s="85"/>
      <c r="Q13" s="102" t="s">
        <v>60</v>
      </c>
      <c r="V13" s="18" t="s">
        <v>325</v>
      </c>
      <c r="W13" s="87"/>
      <c r="X13" s="87"/>
      <c r="Y13" s="14"/>
      <c r="Z13" s="14"/>
    </row>
    <row r="14" spans="1:31" s="129" customFormat="1" ht="25.15" customHeight="1">
      <c r="A14" s="135" t="s">
        <v>220</v>
      </c>
      <c r="B14" s="146" t="s">
        <v>89</v>
      </c>
      <c r="C14" s="136" t="s">
        <v>221</v>
      </c>
      <c r="D14" s="137" t="s">
        <v>222</v>
      </c>
      <c r="E14" s="137" t="s">
        <v>223</v>
      </c>
      <c r="F14" s="136" t="s">
        <v>224</v>
      </c>
      <c r="G14" s="166" t="s">
        <v>225</v>
      </c>
      <c r="H14" s="138" t="s">
        <v>226</v>
      </c>
      <c r="J14" s="146"/>
      <c r="K14" s="147" t="s">
        <v>237</v>
      </c>
      <c r="L14" s="147" t="s">
        <v>3</v>
      </c>
      <c r="M14" s="147" t="s">
        <v>4</v>
      </c>
      <c r="N14" s="152" t="s">
        <v>147</v>
      </c>
      <c r="O14" s="152" t="s">
        <v>53</v>
      </c>
      <c r="P14" s="148"/>
      <c r="Q14" s="147" t="s">
        <v>2</v>
      </c>
      <c r="R14" s="147" t="s">
        <v>3</v>
      </c>
      <c r="S14" s="147" t="s">
        <v>4</v>
      </c>
      <c r="T14" s="152" t="s">
        <v>147</v>
      </c>
      <c r="U14" s="152" t="s">
        <v>53</v>
      </c>
      <c r="V14" s="87" t="s">
        <v>286</v>
      </c>
      <c r="W14" s="87"/>
      <c r="X14" s="179"/>
      <c r="Y14" s="14"/>
      <c r="Z14" s="14"/>
    </row>
    <row r="15" spans="1:31" s="129" customFormat="1" ht="25.15" customHeight="1">
      <c r="A15" s="139" t="s">
        <v>227</v>
      </c>
      <c r="B15" s="146">
        <v>2718</v>
      </c>
      <c r="C15" s="139">
        <v>818</v>
      </c>
      <c r="D15" s="139">
        <v>0</v>
      </c>
      <c r="E15" s="140">
        <v>518</v>
      </c>
      <c r="F15" s="140">
        <v>868</v>
      </c>
      <c r="G15" s="166"/>
      <c r="H15" s="65">
        <v>195</v>
      </c>
      <c r="J15" s="146"/>
      <c r="K15" s="149">
        <v>1099</v>
      </c>
      <c r="L15" s="149">
        <v>832.33333333333337</v>
      </c>
      <c r="M15" s="149">
        <v>799</v>
      </c>
      <c r="N15" s="149">
        <v>1399</v>
      </c>
      <c r="O15" s="149">
        <v>699</v>
      </c>
      <c r="P15" s="60"/>
      <c r="Q15" s="144">
        <f t="shared" ref="Q15:Q20" si="2">C15*0.7+H15</f>
        <v>767.59999999999991</v>
      </c>
      <c r="R15" s="144">
        <f t="shared" ref="R15:R20" si="3">C15*0.7*2/3+H15</f>
        <v>576.73333333333335</v>
      </c>
      <c r="S15" s="62">
        <f t="shared" ref="S15:S20" si="4">(C15*2+E15)*0.7/4+H15</f>
        <v>571.95000000000005</v>
      </c>
      <c r="T15" s="145">
        <f t="shared" ref="T15:T20" si="5">F15*0.7+H15</f>
        <v>802.59999999999991</v>
      </c>
      <c r="U15" s="145">
        <v>571.95000000000005</v>
      </c>
      <c r="V15" s="87" t="s">
        <v>235</v>
      </c>
      <c r="W15" s="87"/>
      <c r="X15" s="87"/>
      <c r="Y15" s="14"/>
      <c r="Z15" s="14"/>
      <c r="AA15" s="229">
        <f t="shared" ref="AA15:AA20" si="6">1-Q15/K15</f>
        <v>0.30154686078252968</v>
      </c>
      <c r="AB15" s="229">
        <f t="shared" ref="AB15:AD20" si="7">1-R15/L15</f>
        <v>0.30708850620744899</v>
      </c>
      <c r="AC15" s="229">
        <f t="shared" si="7"/>
        <v>0.2841677096370463</v>
      </c>
      <c r="AD15" s="229">
        <f t="shared" si="7"/>
        <v>0.42630450321658331</v>
      </c>
      <c r="AE15" s="229"/>
    </row>
    <row r="16" spans="1:31" s="129" customFormat="1" ht="25.15" customHeight="1">
      <c r="A16" s="139" t="s">
        <v>228</v>
      </c>
      <c r="B16" s="146">
        <v>2719</v>
      </c>
      <c r="C16" s="139">
        <v>878</v>
      </c>
      <c r="D16" s="139">
        <v>0</v>
      </c>
      <c r="E16" s="140">
        <v>548</v>
      </c>
      <c r="F16" s="140">
        <v>948</v>
      </c>
      <c r="G16" s="166"/>
      <c r="H16" s="65">
        <v>280</v>
      </c>
      <c r="J16" s="146"/>
      <c r="K16" s="149">
        <v>1199</v>
      </c>
      <c r="L16" s="149">
        <v>932.33333333333337</v>
      </c>
      <c r="M16" s="149">
        <v>899</v>
      </c>
      <c r="N16" s="149">
        <v>1499</v>
      </c>
      <c r="O16" s="149">
        <v>799</v>
      </c>
      <c r="P16" s="60"/>
      <c r="Q16" s="144">
        <f t="shared" si="2"/>
        <v>894.59999999999991</v>
      </c>
      <c r="R16" s="144">
        <f t="shared" si="3"/>
        <v>689.73333333333335</v>
      </c>
      <c r="S16" s="62">
        <f t="shared" si="4"/>
        <v>683.2</v>
      </c>
      <c r="T16" s="145">
        <f t="shared" si="5"/>
        <v>943.59999999999991</v>
      </c>
      <c r="U16" s="145">
        <v>683.2</v>
      </c>
      <c r="V16" s="87" t="s">
        <v>235</v>
      </c>
      <c r="W16" s="87"/>
      <c r="X16" s="87"/>
      <c r="Y16" s="14"/>
      <c r="Z16" s="14"/>
      <c r="AA16" s="229">
        <f t="shared" si="6"/>
        <v>0.25387823185988334</v>
      </c>
      <c r="AB16" s="229">
        <f t="shared" si="7"/>
        <v>0.26020736503396502</v>
      </c>
      <c r="AC16" s="229">
        <f t="shared" si="7"/>
        <v>0.24004449388209115</v>
      </c>
      <c r="AD16" s="229">
        <f t="shared" si="7"/>
        <v>0.37051367578385597</v>
      </c>
      <c r="AE16" s="229"/>
    </row>
    <row r="17" spans="1:31" s="129" customFormat="1" ht="25.15" customHeight="1">
      <c r="A17" s="139" t="s">
        <v>229</v>
      </c>
      <c r="B17" s="146">
        <v>2720</v>
      </c>
      <c r="C17" s="139">
        <v>938</v>
      </c>
      <c r="D17" s="139">
        <v>0</v>
      </c>
      <c r="E17" s="140">
        <v>578</v>
      </c>
      <c r="F17" s="140">
        <v>1028</v>
      </c>
      <c r="G17" s="166"/>
      <c r="H17" s="65">
        <v>370</v>
      </c>
      <c r="J17" s="146"/>
      <c r="K17" s="149">
        <v>1339</v>
      </c>
      <c r="L17" s="149">
        <v>1059</v>
      </c>
      <c r="M17" s="149">
        <v>1019</v>
      </c>
      <c r="N17" s="149">
        <v>1599</v>
      </c>
      <c r="O17" s="149">
        <v>899</v>
      </c>
      <c r="P17" s="60"/>
      <c r="Q17" s="144">
        <f t="shared" si="2"/>
        <v>1026.5999999999999</v>
      </c>
      <c r="R17" s="144">
        <f t="shared" si="3"/>
        <v>807.73333333333335</v>
      </c>
      <c r="S17" s="62">
        <f>(C17*2+E17)*0.7/4+H17</f>
        <v>799.45</v>
      </c>
      <c r="T17" s="145">
        <f t="shared" si="5"/>
        <v>1089.5999999999999</v>
      </c>
      <c r="U17" s="145">
        <v>799.45</v>
      </c>
      <c r="V17" s="87" t="s">
        <v>235</v>
      </c>
      <c r="W17" s="87"/>
      <c r="X17" s="87"/>
      <c r="Y17" s="14"/>
      <c r="Z17" s="14"/>
      <c r="AA17" s="229">
        <f t="shared" si="6"/>
        <v>0.23330843913368193</v>
      </c>
      <c r="AB17" s="229">
        <f t="shared" si="7"/>
        <v>0.23726786276361345</v>
      </c>
      <c r="AC17" s="229">
        <f t="shared" si="7"/>
        <v>0.21545632973503426</v>
      </c>
      <c r="AD17" s="229">
        <f t="shared" si="7"/>
        <v>0.31857410881801129</v>
      </c>
      <c r="AE17" s="229"/>
    </row>
    <row r="18" spans="1:31" s="129" customFormat="1" ht="25.15" customHeight="1">
      <c r="A18" s="139" t="s">
        <v>230</v>
      </c>
      <c r="B18" s="30">
        <v>2721</v>
      </c>
      <c r="C18" s="139">
        <v>998</v>
      </c>
      <c r="D18" s="139">
        <v>0</v>
      </c>
      <c r="E18" s="140">
        <v>608</v>
      </c>
      <c r="F18" s="140">
        <v>1098</v>
      </c>
      <c r="G18" s="166"/>
      <c r="H18" s="65">
        <v>460</v>
      </c>
      <c r="J18" s="30"/>
      <c r="K18" s="149">
        <v>1489</v>
      </c>
      <c r="L18" s="149">
        <v>1192.3333333333333</v>
      </c>
      <c r="M18" s="149">
        <v>1144</v>
      </c>
      <c r="N18" s="149">
        <v>1699</v>
      </c>
      <c r="O18" s="149">
        <v>999</v>
      </c>
      <c r="P18" s="60"/>
      <c r="Q18" s="144">
        <f t="shared" si="2"/>
        <v>1158.5999999999999</v>
      </c>
      <c r="R18" s="144">
        <f t="shared" si="3"/>
        <v>925.73333333333335</v>
      </c>
      <c r="S18" s="62">
        <f t="shared" si="4"/>
        <v>915.7</v>
      </c>
      <c r="T18" s="145">
        <f t="shared" si="5"/>
        <v>1228.5999999999999</v>
      </c>
      <c r="U18" s="145">
        <v>915.7</v>
      </c>
      <c r="V18" s="87" t="s">
        <v>235</v>
      </c>
      <c r="W18" s="87"/>
      <c r="X18" s="87"/>
      <c r="Y18" s="14"/>
      <c r="Z18" s="14"/>
      <c r="AA18" s="229">
        <f t="shared" si="6"/>
        <v>0.22189388851578251</v>
      </c>
      <c r="AB18" s="229">
        <f t="shared" si="7"/>
        <v>0.22359519150125795</v>
      </c>
      <c r="AC18" s="229">
        <f t="shared" si="7"/>
        <v>0.19956293706293704</v>
      </c>
      <c r="AD18" s="229">
        <f t="shared" si="7"/>
        <v>0.2768687463213656</v>
      </c>
      <c r="AE18" s="229"/>
    </row>
    <row r="19" spans="1:31" s="129" customFormat="1" ht="25.15" customHeight="1">
      <c r="A19" s="139" t="s">
        <v>231</v>
      </c>
      <c r="B19" s="30">
        <v>2722</v>
      </c>
      <c r="C19" s="139">
        <v>1048</v>
      </c>
      <c r="D19" s="139">
        <v>0</v>
      </c>
      <c r="E19" s="140">
        <v>638</v>
      </c>
      <c r="F19" s="140">
        <v>1178</v>
      </c>
      <c r="G19" s="166"/>
      <c r="H19" s="65">
        <v>550</v>
      </c>
      <c r="J19" s="30"/>
      <c r="K19" s="149">
        <v>1629</v>
      </c>
      <c r="L19" s="149">
        <v>1319</v>
      </c>
      <c r="M19" s="149">
        <v>1264</v>
      </c>
      <c r="N19" s="149">
        <v>1799</v>
      </c>
      <c r="O19" s="149">
        <v>1099</v>
      </c>
      <c r="P19" s="60"/>
      <c r="Q19" s="144">
        <f t="shared" si="2"/>
        <v>1283.5999999999999</v>
      </c>
      <c r="R19" s="144">
        <f t="shared" si="3"/>
        <v>1039.0666666666666</v>
      </c>
      <c r="S19" s="62">
        <f t="shared" si="4"/>
        <v>1028.45</v>
      </c>
      <c r="T19" s="145">
        <f t="shared" si="5"/>
        <v>1374.6</v>
      </c>
      <c r="U19" s="145">
        <v>1028.45</v>
      </c>
      <c r="V19" s="87" t="s">
        <v>235</v>
      </c>
      <c r="W19" s="87"/>
      <c r="X19" s="87"/>
      <c r="Y19" s="14"/>
      <c r="Z19" s="14"/>
      <c r="AA19" s="229">
        <f t="shared" si="6"/>
        <v>0.2120319214241867</v>
      </c>
      <c r="AB19" s="229">
        <f t="shared" si="7"/>
        <v>0.21223148850138995</v>
      </c>
      <c r="AC19" s="229">
        <f t="shared" si="7"/>
        <v>0.18635284810126573</v>
      </c>
      <c r="AD19" s="229">
        <f t="shared" si="7"/>
        <v>0.23590883824346864</v>
      </c>
      <c r="AE19" s="229"/>
    </row>
    <row r="20" spans="1:31" ht="25.15" customHeight="1">
      <c r="A20" s="139" t="s">
        <v>232</v>
      </c>
      <c r="B20" s="30">
        <v>2723</v>
      </c>
      <c r="C20" s="139">
        <v>1098</v>
      </c>
      <c r="D20" s="139">
        <v>0</v>
      </c>
      <c r="E20" s="140">
        <v>668</v>
      </c>
      <c r="F20" s="140">
        <v>1238</v>
      </c>
      <c r="G20" s="166"/>
      <c r="H20" s="65">
        <v>650</v>
      </c>
      <c r="J20" s="30"/>
      <c r="K20" s="149">
        <v>1769</v>
      </c>
      <c r="L20" s="149">
        <v>1445.6666666666667</v>
      </c>
      <c r="M20" s="149">
        <v>1384</v>
      </c>
      <c r="N20" s="149">
        <v>1899</v>
      </c>
      <c r="O20" s="149">
        <v>1199</v>
      </c>
      <c r="P20" s="60"/>
      <c r="Q20" s="144">
        <f t="shared" si="2"/>
        <v>1418.6</v>
      </c>
      <c r="R20" s="144">
        <f t="shared" si="3"/>
        <v>1162.4000000000001</v>
      </c>
      <c r="S20" s="62">
        <f t="shared" si="4"/>
        <v>1151.2</v>
      </c>
      <c r="T20" s="145">
        <f t="shared" si="5"/>
        <v>1516.6</v>
      </c>
      <c r="U20" s="145">
        <v>1151.2</v>
      </c>
      <c r="V20" s="87" t="s">
        <v>235</v>
      </c>
      <c r="W20" s="87"/>
      <c r="X20" s="87"/>
      <c r="Y20" s="14"/>
      <c r="Z20" s="14"/>
      <c r="AA20" s="229">
        <f t="shared" si="6"/>
        <v>0.19807801017524029</v>
      </c>
      <c r="AB20" s="229">
        <f t="shared" si="7"/>
        <v>0.19594189531934514</v>
      </c>
      <c r="AC20" s="229">
        <f t="shared" si="7"/>
        <v>0.16820809248554913</v>
      </c>
      <c r="AD20" s="229">
        <f t="shared" si="7"/>
        <v>0.20136914165350184</v>
      </c>
      <c r="AE20" s="229"/>
    </row>
    <row r="21" spans="1:31" s="129" customFormat="1" ht="25.15" customHeight="1">
      <c r="B21" s="141"/>
      <c r="C21" s="141"/>
      <c r="D21" s="141"/>
      <c r="E21" s="142"/>
      <c r="F21" s="142"/>
      <c r="G21" s="143"/>
      <c r="H21" s="72"/>
      <c r="I21" s="18"/>
      <c r="J21" s="18"/>
      <c r="K21" s="10"/>
      <c r="L21" s="84"/>
      <c r="M21" s="84"/>
      <c r="N21" s="85"/>
      <c r="O21" s="85"/>
      <c r="P21" s="61"/>
      <c r="Q21" s="86"/>
      <c r="R21" s="86"/>
      <c r="S21" s="86"/>
      <c r="T21" s="16"/>
      <c r="U21" s="16"/>
      <c r="V21" s="87"/>
      <c r="W21" s="87"/>
      <c r="X21" s="87"/>
      <c r="Y21" s="14"/>
      <c r="Z21" s="14"/>
      <c r="AA21" s="229"/>
    </row>
    <row r="22" spans="1:31" ht="25.15" customHeight="1">
      <c r="B22" s="88" t="s">
        <v>195</v>
      </c>
      <c r="C22" s="63"/>
      <c r="D22" s="63"/>
      <c r="E22" s="18"/>
      <c r="F22" s="18"/>
      <c r="G22" s="18"/>
      <c r="H22" s="18"/>
      <c r="K22" s="81"/>
    </row>
    <row r="23" spans="1:31" ht="25.15" customHeight="1">
      <c r="B23" s="111" t="s">
        <v>89</v>
      </c>
      <c r="C23" s="109" t="s">
        <v>143</v>
      </c>
      <c r="D23" s="110" t="s">
        <v>213</v>
      </c>
      <c r="E23" s="108" t="s">
        <v>144</v>
      </c>
      <c r="F23" s="109" t="s">
        <v>145</v>
      </c>
      <c r="G23" s="109" t="s">
        <v>100</v>
      </c>
      <c r="H23" s="109" t="s">
        <v>146</v>
      </c>
    </row>
    <row r="24" spans="1:31" ht="25.15" customHeight="1">
      <c r="B24" s="56" t="s">
        <v>152</v>
      </c>
      <c r="C24" s="91" t="s">
        <v>148</v>
      </c>
      <c r="D24" s="56" t="s">
        <v>153</v>
      </c>
      <c r="E24" s="89" t="s">
        <v>154</v>
      </c>
      <c r="F24" s="97">
        <v>7</v>
      </c>
      <c r="G24" s="55" t="s">
        <v>150</v>
      </c>
      <c r="H24" s="54" t="s">
        <v>233</v>
      </c>
      <c r="K24" s="81"/>
    </row>
    <row r="25" spans="1:31" ht="25.15" customHeight="1">
      <c r="B25" s="57" t="s">
        <v>155</v>
      </c>
      <c r="C25" s="92" t="s">
        <v>148</v>
      </c>
      <c r="D25" s="57" t="s">
        <v>156</v>
      </c>
      <c r="E25" s="90" t="s">
        <v>157</v>
      </c>
      <c r="F25" s="65">
        <v>8</v>
      </c>
      <c r="G25" s="58" t="s">
        <v>150</v>
      </c>
      <c r="H25" s="54" t="s">
        <v>233</v>
      </c>
    </row>
    <row r="26" spans="1:31" ht="25.15" customHeight="1">
      <c r="B26" s="57" t="s">
        <v>158</v>
      </c>
      <c r="C26" s="92" t="s">
        <v>148</v>
      </c>
      <c r="D26" s="57" t="s">
        <v>159</v>
      </c>
      <c r="E26" s="90" t="s">
        <v>160</v>
      </c>
      <c r="F26" s="65">
        <v>9</v>
      </c>
      <c r="G26" s="58" t="s">
        <v>150</v>
      </c>
      <c r="H26" s="54" t="s">
        <v>233</v>
      </c>
      <c r="K26" s="81"/>
    </row>
    <row r="27" spans="1:31" ht="25.15" customHeight="1">
      <c r="B27" s="57" t="s">
        <v>161</v>
      </c>
      <c r="C27" s="92" t="s">
        <v>148</v>
      </c>
      <c r="D27" s="57" t="s">
        <v>162</v>
      </c>
      <c r="E27" s="90" t="s">
        <v>196</v>
      </c>
      <c r="F27" s="65">
        <v>10</v>
      </c>
      <c r="G27" s="58" t="s">
        <v>150</v>
      </c>
      <c r="H27" s="54" t="s">
        <v>233</v>
      </c>
    </row>
    <row r="28" spans="1:31" ht="25.15" customHeight="1">
      <c r="B28" s="57" t="s">
        <v>163</v>
      </c>
      <c r="C28" s="92" t="s">
        <v>148</v>
      </c>
      <c r="D28" s="57" t="s">
        <v>164</v>
      </c>
      <c r="E28" s="90" t="s">
        <v>197</v>
      </c>
      <c r="F28" s="65">
        <v>11</v>
      </c>
      <c r="G28" s="58" t="s">
        <v>150</v>
      </c>
      <c r="H28" s="54" t="s">
        <v>233</v>
      </c>
    </row>
    <row r="29" spans="1:31" ht="25.15" customHeight="1">
      <c r="B29" s="57" t="s">
        <v>165</v>
      </c>
      <c r="C29" s="92" t="s">
        <v>148</v>
      </c>
      <c r="D29" s="57" t="s">
        <v>166</v>
      </c>
      <c r="E29" s="90" t="s">
        <v>167</v>
      </c>
      <c r="F29" s="65">
        <v>12</v>
      </c>
      <c r="G29" s="58" t="s">
        <v>150</v>
      </c>
      <c r="H29" s="54" t="s">
        <v>233</v>
      </c>
    </row>
  </sheetData>
  <mergeCells count="8">
    <mergeCell ref="B13:G13"/>
    <mergeCell ref="H7:H8"/>
    <mergeCell ref="F7:F8"/>
    <mergeCell ref="E7:E8"/>
    <mergeCell ref="B7:B8"/>
    <mergeCell ref="C7:C8"/>
    <mergeCell ref="D7:D8"/>
    <mergeCell ref="G7:G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Normal="100" workbookViewId="0">
      <pane xSplit="1" ySplit="5" topLeftCell="H24" activePane="bottomRight" state="frozen"/>
      <selection pane="topRight" activeCell="B1" sqref="B1"/>
      <selection pane="bottomLeft" activeCell="A6" sqref="A6"/>
      <selection pane="bottomRight" activeCell="Q41" sqref="Q41"/>
    </sheetView>
  </sheetViews>
  <sheetFormatPr defaultRowHeight="15"/>
  <cols>
    <col min="1" max="1" width="54.85546875" customWidth="1"/>
    <col min="2" max="2" width="14.5703125" customWidth="1"/>
    <col min="3" max="3" width="12.5703125" customWidth="1"/>
    <col min="4" max="4" width="10.28515625" customWidth="1"/>
    <col min="5" max="5" width="13" customWidth="1"/>
    <col min="14" max="14" width="12.5703125" bestFit="1" customWidth="1"/>
    <col min="15" max="15" width="10.85546875" bestFit="1" customWidth="1"/>
    <col min="16" max="17" width="12.5703125" bestFit="1" customWidth="1"/>
    <col min="20" max="23" width="9.85546875" bestFit="1" customWidth="1"/>
  </cols>
  <sheetData>
    <row r="1" spans="1:28" s="129" customFormat="1">
      <c r="O1" s="129" t="s">
        <v>433</v>
      </c>
    </row>
    <row r="2" spans="1:28" s="129" customFormat="1">
      <c r="N2" s="18"/>
    </row>
    <row r="3" spans="1:28" s="129" customFormat="1" ht="27" thickBot="1">
      <c r="A3" s="218" t="s">
        <v>308</v>
      </c>
      <c r="G3" s="129" t="s">
        <v>306</v>
      </c>
      <c r="M3" s="129" t="s">
        <v>310</v>
      </c>
      <c r="S3" s="129" t="s">
        <v>311</v>
      </c>
    </row>
    <row r="4" spans="1:28" ht="22.5" customHeight="1" thickBot="1">
      <c r="A4" s="332" t="s">
        <v>288</v>
      </c>
      <c r="B4" s="333"/>
      <c r="C4" s="333"/>
      <c r="D4" s="333"/>
      <c r="E4" s="334"/>
    </row>
    <row r="5" spans="1:28" ht="36.75" thickBot="1">
      <c r="A5" s="209" t="s">
        <v>289</v>
      </c>
      <c r="B5" s="210" t="s">
        <v>290</v>
      </c>
      <c r="C5" s="210" t="s">
        <v>222</v>
      </c>
      <c r="D5" s="210" t="s">
        <v>291</v>
      </c>
      <c r="E5" s="210" t="s">
        <v>224</v>
      </c>
      <c r="G5" s="209" t="s">
        <v>289</v>
      </c>
      <c r="H5" s="210" t="s">
        <v>290</v>
      </c>
      <c r="I5" s="210" t="s">
        <v>222</v>
      </c>
      <c r="J5" s="210" t="s">
        <v>291</v>
      </c>
      <c r="K5" s="210" t="s">
        <v>224</v>
      </c>
      <c r="M5" s="209" t="s">
        <v>289</v>
      </c>
      <c r="N5" s="221" t="s">
        <v>313</v>
      </c>
      <c r="O5" s="221" t="s">
        <v>312</v>
      </c>
      <c r="P5" s="221" t="s">
        <v>314</v>
      </c>
      <c r="Q5" s="210" t="s">
        <v>224</v>
      </c>
      <c r="S5" s="224" t="s">
        <v>289</v>
      </c>
      <c r="T5" s="225" t="s">
        <v>313</v>
      </c>
      <c r="U5" s="225" t="s">
        <v>312</v>
      </c>
      <c r="V5" s="225" t="s">
        <v>314</v>
      </c>
      <c r="W5" s="226" t="s">
        <v>224</v>
      </c>
      <c r="Y5" s="222" t="s">
        <v>315</v>
      </c>
    </row>
    <row r="6" spans="1:28" ht="16.5" thickBot="1">
      <c r="A6" s="211" t="s">
        <v>292</v>
      </c>
      <c r="B6" s="212">
        <v>1039</v>
      </c>
      <c r="C6" s="212">
        <v>299</v>
      </c>
      <c r="D6" s="212">
        <v>699</v>
      </c>
      <c r="E6" s="212">
        <v>1299</v>
      </c>
      <c r="G6" s="211" t="s">
        <v>292</v>
      </c>
      <c r="H6">
        <v>246</v>
      </c>
      <c r="I6">
        <v>50</v>
      </c>
      <c r="J6">
        <v>156</v>
      </c>
      <c r="K6">
        <v>261</v>
      </c>
      <c r="M6" s="211" t="s">
        <v>292</v>
      </c>
      <c r="N6" s="230">
        <v>1039</v>
      </c>
      <c r="O6" s="231">
        <v>793</v>
      </c>
      <c r="P6" s="231">
        <f t="shared" ref="P6:P16" si="0">(B6*2+C6+D6)/4</f>
        <v>769</v>
      </c>
      <c r="Q6" s="230">
        <f t="shared" ref="Q6:Q16" si="1">E6</f>
        <v>1299</v>
      </c>
      <c r="S6" s="227" t="s">
        <v>292</v>
      </c>
      <c r="T6" s="236">
        <f t="shared" ref="T6:T16" si="2">B6-H6</f>
        <v>793</v>
      </c>
      <c r="U6" s="236">
        <f t="shared" ref="U6:U16" si="3">(T6*2+C6-I6)/3</f>
        <v>611.66666666666663</v>
      </c>
      <c r="V6" s="236">
        <f t="shared" ref="V6:V16" si="4">(T6*2+C6-I6+D6-J6)/4</f>
        <v>594.5</v>
      </c>
      <c r="W6" s="236">
        <f t="shared" ref="W6:W16" si="5">E6-K6</f>
        <v>1038</v>
      </c>
      <c r="Y6" s="223">
        <f t="shared" ref="Y6:Z16" si="6">1-T6/N6</f>
        <v>0.23676612127045238</v>
      </c>
      <c r="Z6" s="223">
        <f t="shared" si="6"/>
        <v>0.22866750735603203</v>
      </c>
      <c r="AA6" s="223">
        <f t="shared" ref="AA6:AB16" si="7">1-V6/P6</f>
        <v>0.22691807542262676</v>
      </c>
      <c r="AB6" s="223">
        <f t="shared" si="7"/>
        <v>0.20092378752886841</v>
      </c>
    </row>
    <row r="7" spans="1:28" s="129" customFormat="1" ht="16.5" thickBot="1">
      <c r="A7" s="300" t="s">
        <v>422</v>
      </c>
      <c r="B7" s="212"/>
      <c r="C7" s="212"/>
      <c r="D7" s="212"/>
      <c r="E7" s="212"/>
      <c r="G7" s="211"/>
      <c r="L7" s="129">
        <v>3</v>
      </c>
      <c r="M7" s="211"/>
      <c r="N7" s="230">
        <f>N6+20*L7/2</f>
        <v>1069</v>
      </c>
      <c r="O7" s="231">
        <f>O6+20*L7/3</f>
        <v>813</v>
      </c>
      <c r="P7" s="231">
        <f>P6+20*L7/4</f>
        <v>784</v>
      </c>
      <c r="Q7" s="230">
        <f>Q6+20*L7</f>
        <v>1359</v>
      </c>
      <c r="S7" s="227"/>
      <c r="T7" s="236">
        <f>T6+15*L7/2</f>
        <v>815.5</v>
      </c>
      <c r="U7" s="236">
        <f>U6+15*L7/3</f>
        <v>626.66666666666663</v>
      </c>
      <c r="V7" s="236">
        <f>V6+15*L7/4</f>
        <v>605.75</v>
      </c>
      <c r="W7" s="236">
        <f>W6+15*L7</f>
        <v>1083</v>
      </c>
      <c r="Y7" s="229"/>
      <c r="Z7" s="229"/>
      <c r="AA7" s="229"/>
      <c r="AB7" s="229"/>
    </row>
    <row r="8" spans="1:28" ht="16.5" thickBot="1">
      <c r="A8" s="211" t="s">
        <v>293</v>
      </c>
      <c r="B8" s="212">
        <v>1139</v>
      </c>
      <c r="C8" s="212">
        <v>399</v>
      </c>
      <c r="D8" s="212">
        <v>799</v>
      </c>
      <c r="E8" s="212">
        <v>1489</v>
      </c>
      <c r="G8" s="211" t="s">
        <v>293</v>
      </c>
      <c r="H8">
        <v>264</v>
      </c>
      <c r="I8">
        <v>50</v>
      </c>
      <c r="J8">
        <v>165</v>
      </c>
      <c r="K8">
        <v>285</v>
      </c>
      <c r="M8" s="211" t="s">
        <v>293</v>
      </c>
      <c r="N8" s="230">
        <v>1139</v>
      </c>
      <c r="O8" s="231">
        <v>893</v>
      </c>
      <c r="P8" s="231">
        <f t="shared" si="0"/>
        <v>869</v>
      </c>
      <c r="Q8" s="230">
        <f t="shared" si="1"/>
        <v>1489</v>
      </c>
      <c r="S8" s="227" t="s">
        <v>293</v>
      </c>
      <c r="T8" s="236">
        <f t="shared" si="2"/>
        <v>875</v>
      </c>
      <c r="U8" s="236">
        <f t="shared" si="3"/>
        <v>699.66666666666663</v>
      </c>
      <c r="V8" s="236">
        <f t="shared" si="4"/>
        <v>683.25</v>
      </c>
      <c r="W8" s="236">
        <f t="shared" si="5"/>
        <v>1204</v>
      </c>
      <c r="Y8" s="223">
        <f t="shared" si="6"/>
        <v>0.23178226514486389</v>
      </c>
      <c r="Z8" s="223">
        <f t="shared" si="6"/>
        <v>0.21649869354236662</v>
      </c>
      <c r="AA8" s="223">
        <f t="shared" si="7"/>
        <v>0.21375143843498279</v>
      </c>
      <c r="AB8" s="223">
        <f t="shared" si="7"/>
        <v>0.19140362659503019</v>
      </c>
    </row>
    <row r="9" spans="1:28" s="129" customFormat="1" ht="16.5" thickBot="1">
      <c r="A9" s="300" t="s">
        <v>421</v>
      </c>
      <c r="B9" s="212"/>
      <c r="C9" s="212"/>
      <c r="D9" s="212"/>
      <c r="E9" s="212"/>
      <c r="G9" s="211"/>
      <c r="L9" s="129">
        <v>4</v>
      </c>
      <c r="M9" s="211"/>
      <c r="N9" s="230">
        <f>N8+20*L9/2</f>
        <v>1179</v>
      </c>
      <c r="O9" s="231">
        <f>O8+20*L9/3</f>
        <v>919.66666666666663</v>
      </c>
      <c r="P9" s="231">
        <f>P8+20*L9/4</f>
        <v>889</v>
      </c>
      <c r="Q9" s="230">
        <f>Q8+20*L9</f>
        <v>1569</v>
      </c>
      <c r="S9" s="227"/>
      <c r="T9" s="236">
        <f>T8+15*L9/2</f>
        <v>905</v>
      </c>
      <c r="U9" s="236">
        <f>U8+15*L9/3</f>
        <v>719.66666666666663</v>
      </c>
      <c r="V9" s="236">
        <f>V8+15*L9/4</f>
        <v>698.25</v>
      </c>
      <c r="W9" s="236">
        <f>W8+15*L9</f>
        <v>1264</v>
      </c>
      <c r="Y9" s="229"/>
      <c r="Z9" s="229"/>
      <c r="AA9" s="229"/>
      <c r="AB9" s="229"/>
    </row>
    <row r="10" spans="1:28" ht="16.5" thickBot="1">
      <c r="A10" s="211" t="s">
        <v>294</v>
      </c>
      <c r="B10" s="213">
        <v>1279</v>
      </c>
      <c r="C10" s="213">
        <v>499</v>
      </c>
      <c r="D10" s="213">
        <v>899</v>
      </c>
      <c r="E10" s="213">
        <v>1679</v>
      </c>
      <c r="G10" s="211" t="s">
        <v>294</v>
      </c>
      <c r="H10">
        <v>282</v>
      </c>
      <c r="I10">
        <v>50</v>
      </c>
      <c r="J10">
        <v>174</v>
      </c>
      <c r="K10">
        <v>309</v>
      </c>
      <c r="M10" s="211" t="s">
        <v>294</v>
      </c>
      <c r="N10" s="232">
        <v>1279</v>
      </c>
      <c r="O10" s="231">
        <f>(B10*2+C10)/3</f>
        <v>1019</v>
      </c>
      <c r="P10" s="231">
        <f t="shared" si="0"/>
        <v>989</v>
      </c>
      <c r="Q10" s="230">
        <f t="shared" si="1"/>
        <v>1679</v>
      </c>
      <c r="S10" s="227" t="s">
        <v>294</v>
      </c>
      <c r="T10" s="236">
        <f t="shared" si="2"/>
        <v>997</v>
      </c>
      <c r="U10" s="236">
        <f t="shared" si="3"/>
        <v>814.33333333333337</v>
      </c>
      <c r="V10" s="236">
        <f>(T10*2+C10-I10+D10-J10)/4</f>
        <v>792</v>
      </c>
      <c r="W10" s="236">
        <f t="shared" si="5"/>
        <v>1370</v>
      </c>
      <c r="Y10" s="223">
        <f t="shared" si="6"/>
        <v>0.22048475371383891</v>
      </c>
      <c r="Z10" s="223">
        <f t="shared" si="6"/>
        <v>0.20085050703303886</v>
      </c>
      <c r="AA10" s="223">
        <f t="shared" si="7"/>
        <v>0.19919110212335689</v>
      </c>
      <c r="AB10" s="223">
        <f t="shared" si="7"/>
        <v>0.18403811792733771</v>
      </c>
    </row>
    <row r="11" spans="1:28" s="129" customFormat="1" ht="16.5" thickBot="1">
      <c r="A11" s="300" t="s">
        <v>426</v>
      </c>
      <c r="B11" s="213"/>
      <c r="C11" s="213"/>
      <c r="D11" s="213"/>
      <c r="E11" s="213"/>
      <c r="G11" s="211"/>
      <c r="L11" s="129">
        <v>5</v>
      </c>
      <c r="M11" s="211"/>
      <c r="N11" s="230">
        <f>N10+20*L11/2</f>
        <v>1329</v>
      </c>
      <c r="O11" s="231">
        <f>O10+20*L11/3</f>
        <v>1052.3333333333333</v>
      </c>
      <c r="P11" s="231">
        <f>P10+20*L11/4</f>
        <v>1014</v>
      </c>
      <c r="Q11" s="230">
        <f>Q10+20*L11</f>
        <v>1779</v>
      </c>
      <c r="S11" s="227"/>
      <c r="T11" s="236">
        <f>T10+15*L11/2</f>
        <v>1034.5</v>
      </c>
      <c r="U11" s="236">
        <f>U10+15*L11/3</f>
        <v>839.33333333333337</v>
      </c>
      <c r="V11" s="236">
        <f>V10+15*L11/4</f>
        <v>810.75</v>
      </c>
      <c r="W11" s="236">
        <f>W10+15*L11</f>
        <v>1445</v>
      </c>
      <c r="Y11" s="229"/>
      <c r="Z11" s="229"/>
      <c r="AA11" s="229"/>
      <c r="AB11" s="229"/>
    </row>
    <row r="12" spans="1:28" ht="16.5" thickBot="1">
      <c r="A12" s="211" t="s">
        <v>295</v>
      </c>
      <c r="B12" s="213">
        <v>1429</v>
      </c>
      <c r="C12" s="213">
        <v>599</v>
      </c>
      <c r="D12" s="213">
        <v>999</v>
      </c>
      <c r="E12" s="213">
        <v>1869</v>
      </c>
      <c r="G12" s="211" t="s">
        <v>295</v>
      </c>
      <c r="H12">
        <v>300</v>
      </c>
      <c r="I12">
        <v>50</v>
      </c>
      <c r="J12">
        <v>183</v>
      </c>
      <c r="K12">
        <v>330</v>
      </c>
      <c r="M12" s="211" t="s">
        <v>295</v>
      </c>
      <c r="N12" s="232">
        <v>1429</v>
      </c>
      <c r="O12" s="231">
        <v>1153</v>
      </c>
      <c r="P12" s="231">
        <f t="shared" si="0"/>
        <v>1114</v>
      </c>
      <c r="Q12" s="230">
        <f t="shared" si="1"/>
        <v>1869</v>
      </c>
      <c r="S12" s="227" t="s">
        <v>295</v>
      </c>
      <c r="T12" s="236">
        <f t="shared" si="2"/>
        <v>1129</v>
      </c>
      <c r="U12" s="236">
        <f t="shared" si="3"/>
        <v>935.66666666666663</v>
      </c>
      <c r="V12" s="236">
        <f t="shared" si="4"/>
        <v>905.75</v>
      </c>
      <c r="W12" s="236">
        <f t="shared" si="5"/>
        <v>1539</v>
      </c>
      <c r="Y12" s="223">
        <f t="shared" si="6"/>
        <v>0.2099370188943317</v>
      </c>
      <c r="Z12" s="223">
        <f t="shared" si="6"/>
        <v>0.1884937843307315</v>
      </c>
      <c r="AA12" s="223">
        <f t="shared" si="7"/>
        <v>0.18693895870736088</v>
      </c>
      <c r="AB12" s="223">
        <f t="shared" si="7"/>
        <v>0.1765650080256822</v>
      </c>
    </row>
    <row r="13" spans="1:28" s="129" customFormat="1" ht="16.5" thickBot="1">
      <c r="A13" s="300" t="s">
        <v>423</v>
      </c>
      <c r="B13" s="213"/>
      <c r="C13" s="213"/>
      <c r="D13" s="213"/>
      <c r="E13" s="213"/>
      <c r="G13" s="211"/>
      <c r="L13" s="129">
        <v>6</v>
      </c>
      <c r="M13" s="211"/>
      <c r="N13" s="230">
        <f>N12+20*L13/2</f>
        <v>1489</v>
      </c>
      <c r="O13" s="231">
        <f>O12+20*L13/3</f>
        <v>1193</v>
      </c>
      <c r="P13" s="231">
        <f>P12+20*L13/4</f>
        <v>1144</v>
      </c>
      <c r="Q13" s="230">
        <f>Q12+20*L13</f>
        <v>1989</v>
      </c>
      <c r="S13" s="227"/>
      <c r="T13" s="236">
        <f>T12+15*L13/2</f>
        <v>1174</v>
      </c>
      <c r="U13" s="236">
        <f>U12+15*L13/3</f>
        <v>965.66666666666663</v>
      </c>
      <c r="V13" s="236">
        <f>V12+15*L13/4</f>
        <v>928.25</v>
      </c>
      <c r="W13" s="236">
        <f>W12+15*L13</f>
        <v>1629</v>
      </c>
      <c r="Y13" s="229"/>
      <c r="Z13" s="229"/>
      <c r="AA13" s="229"/>
      <c r="AB13" s="229"/>
    </row>
    <row r="14" spans="1:28" ht="16.5" thickBot="1">
      <c r="A14" s="211" t="s">
        <v>296</v>
      </c>
      <c r="B14" s="213">
        <v>1539</v>
      </c>
      <c r="C14" s="213">
        <v>699</v>
      </c>
      <c r="D14" s="213">
        <v>1099</v>
      </c>
      <c r="E14" s="213">
        <v>2059</v>
      </c>
      <c r="G14" s="211" t="s">
        <v>296</v>
      </c>
      <c r="H14">
        <v>315</v>
      </c>
      <c r="I14">
        <v>50</v>
      </c>
      <c r="J14">
        <v>192</v>
      </c>
      <c r="K14">
        <v>354</v>
      </c>
      <c r="M14" s="211" t="s">
        <v>296</v>
      </c>
      <c r="N14" s="232">
        <v>1539</v>
      </c>
      <c r="O14" s="231">
        <f>(B14*2+C14)/3</f>
        <v>1259</v>
      </c>
      <c r="P14" s="231">
        <f t="shared" si="0"/>
        <v>1219</v>
      </c>
      <c r="Q14" s="230">
        <f t="shared" si="1"/>
        <v>2059</v>
      </c>
      <c r="S14" s="227" t="s">
        <v>296</v>
      </c>
      <c r="T14" s="236">
        <f t="shared" si="2"/>
        <v>1224</v>
      </c>
      <c r="U14" s="236">
        <f t="shared" si="3"/>
        <v>1032.3333333333333</v>
      </c>
      <c r="V14" s="236">
        <f t="shared" si="4"/>
        <v>1001</v>
      </c>
      <c r="W14" s="236">
        <f t="shared" si="5"/>
        <v>1705</v>
      </c>
      <c r="Y14" s="223">
        <f t="shared" si="6"/>
        <v>0.20467836257309946</v>
      </c>
      <c r="Z14" s="223">
        <f t="shared" si="6"/>
        <v>0.1800370664548584</v>
      </c>
      <c r="AA14" s="223">
        <f t="shared" si="7"/>
        <v>0.17883511074651348</v>
      </c>
      <c r="AB14" s="223">
        <f t="shared" si="7"/>
        <v>0.17192812044681882</v>
      </c>
    </row>
    <row r="15" spans="1:28" s="129" customFormat="1" ht="16.5" thickBot="1">
      <c r="A15" s="300" t="s">
        <v>424</v>
      </c>
      <c r="B15" s="213"/>
      <c r="C15" s="213"/>
      <c r="D15" s="213"/>
      <c r="E15" s="213"/>
      <c r="G15" s="211"/>
      <c r="L15" s="129">
        <v>7</v>
      </c>
      <c r="M15" s="211"/>
      <c r="N15" s="230">
        <f>N14+20*L15/2</f>
        <v>1609</v>
      </c>
      <c r="O15" s="231">
        <f>O14+20*L15/3</f>
        <v>1305.6666666666667</v>
      </c>
      <c r="P15" s="231">
        <f>P14+20*L15/4</f>
        <v>1254</v>
      </c>
      <c r="Q15" s="230">
        <f>Q14+20*L15</f>
        <v>2199</v>
      </c>
      <c r="S15" s="227"/>
      <c r="T15" s="236">
        <f>T14+15*L15/2</f>
        <v>1276.5</v>
      </c>
      <c r="U15" s="236">
        <f>U14+15*L15/3</f>
        <v>1067.3333333333333</v>
      </c>
      <c r="V15" s="236">
        <f>V14+15*L15/4</f>
        <v>1027.25</v>
      </c>
      <c r="W15" s="236">
        <f>W14+15*L15</f>
        <v>1810</v>
      </c>
      <c r="Y15" s="229"/>
      <c r="Z15" s="229"/>
      <c r="AA15" s="229"/>
      <c r="AB15" s="229"/>
    </row>
    <row r="16" spans="1:28" ht="15.75">
      <c r="A16" s="301" t="s">
        <v>297</v>
      </c>
      <c r="B16" s="303">
        <v>1699</v>
      </c>
      <c r="C16" s="303">
        <v>799</v>
      </c>
      <c r="D16" s="303">
        <v>1199</v>
      </c>
      <c r="E16" s="303">
        <v>2249</v>
      </c>
      <c r="G16" s="301" t="s">
        <v>297</v>
      </c>
      <c r="H16">
        <v>330</v>
      </c>
      <c r="I16">
        <v>50</v>
      </c>
      <c r="J16">
        <v>201</v>
      </c>
      <c r="K16">
        <v>372</v>
      </c>
      <c r="M16" s="301" t="s">
        <v>297</v>
      </c>
      <c r="N16" s="304">
        <v>1699</v>
      </c>
      <c r="O16" s="305">
        <f>(B16*2+C16)/3</f>
        <v>1399</v>
      </c>
      <c r="P16" s="305">
        <f t="shared" si="0"/>
        <v>1349</v>
      </c>
      <c r="Q16" s="304">
        <f t="shared" si="1"/>
        <v>2249</v>
      </c>
      <c r="S16" s="306" t="s">
        <v>297</v>
      </c>
      <c r="T16" s="307">
        <f t="shared" si="2"/>
        <v>1369</v>
      </c>
      <c r="U16" s="307">
        <f t="shared" si="3"/>
        <v>1162.3333333333333</v>
      </c>
      <c r="V16" s="307">
        <f t="shared" si="4"/>
        <v>1121.25</v>
      </c>
      <c r="W16" s="307">
        <f t="shared" si="5"/>
        <v>1877</v>
      </c>
      <c r="Y16" s="223">
        <f t="shared" si="6"/>
        <v>0.19423190111830491</v>
      </c>
      <c r="Z16" s="223">
        <f t="shared" si="6"/>
        <v>0.16916845365737432</v>
      </c>
      <c r="AA16" s="223">
        <f t="shared" si="7"/>
        <v>0.16882876204595998</v>
      </c>
      <c r="AB16" s="223">
        <f t="shared" si="7"/>
        <v>0.16540684748777235</v>
      </c>
    </row>
    <row r="17" spans="1:28" s="1" customFormat="1" ht="16.5" thickBot="1">
      <c r="A17" s="308" t="s">
        <v>425</v>
      </c>
      <c r="B17" s="309"/>
      <c r="C17" s="309"/>
      <c r="D17" s="312"/>
      <c r="E17" s="309"/>
      <c r="F17" s="9"/>
      <c r="G17" s="227"/>
      <c r="H17" s="314"/>
      <c r="J17" s="313"/>
      <c r="L17" s="9">
        <v>8</v>
      </c>
      <c r="M17" s="227"/>
      <c r="N17" s="230">
        <f>N16+20*L17/2</f>
        <v>1779</v>
      </c>
      <c r="O17" s="231">
        <f>O16+20*L17/3</f>
        <v>1452.3333333333333</v>
      </c>
      <c r="P17" s="231">
        <f>P16+20*L17/4</f>
        <v>1389</v>
      </c>
      <c r="Q17" s="230">
        <f>Q16+20*L17</f>
        <v>2409</v>
      </c>
      <c r="R17" s="9"/>
      <c r="S17" s="227"/>
      <c r="T17" s="236">
        <f>T16+15*L17/2</f>
        <v>1429</v>
      </c>
      <c r="U17" s="236">
        <f>U16+15*L17/3</f>
        <v>1202.3333333333333</v>
      </c>
      <c r="V17" s="236">
        <f>V16+15*L17/4</f>
        <v>1151.25</v>
      </c>
      <c r="W17" s="236">
        <f>W16+15*L17</f>
        <v>1997</v>
      </c>
      <c r="Y17" s="311"/>
      <c r="Z17" s="311"/>
      <c r="AA17" s="311"/>
      <c r="AB17" s="311"/>
    </row>
    <row r="18" spans="1:28">
      <c r="A18" s="219" t="s">
        <v>307</v>
      </c>
    </row>
    <row r="20" spans="1:28" s="129" customFormat="1" ht="24" thickBot="1">
      <c r="A20" s="217" t="s">
        <v>309</v>
      </c>
    </row>
    <row r="21" spans="1:28" ht="28.5" customHeight="1" thickBot="1">
      <c r="A21" s="335" t="s">
        <v>298</v>
      </c>
      <c r="B21" s="336"/>
      <c r="C21" s="336"/>
      <c r="D21" s="336"/>
      <c r="E21" s="337"/>
    </row>
    <row r="22" spans="1:28" ht="60" thickBot="1">
      <c r="A22" s="214" t="s">
        <v>289</v>
      </c>
      <c r="B22" s="215" t="s">
        <v>305</v>
      </c>
      <c r="C22" s="215" t="s">
        <v>222</v>
      </c>
      <c r="D22" s="215" t="s">
        <v>223</v>
      </c>
      <c r="E22" s="215" t="s">
        <v>224</v>
      </c>
      <c r="G22" s="214" t="s">
        <v>289</v>
      </c>
      <c r="H22" s="215" t="s">
        <v>305</v>
      </c>
      <c r="I22" s="215" t="s">
        <v>222</v>
      </c>
      <c r="J22" s="215" t="s">
        <v>223</v>
      </c>
      <c r="K22" s="215" t="s">
        <v>224</v>
      </c>
      <c r="M22" s="214" t="s">
        <v>289</v>
      </c>
      <c r="N22" s="221" t="s">
        <v>313</v>
      </c>
      <c r="O22" s="221" t="s">
        <v>312</v>
      </c>
      <c r="P22" s="221" t="s">
        <v>314</v>
      </c>
      <c r="Q22" s="210" t="s">
        <v>224</v>
      </c>
      <c r="S22" s="228" t="s">
        <v>289</v>
      </c>
      <c r="T22" s="225" t="s">
        <v>313</v>
      </c>
      <c r="U22" s="225" t="s">
        <v>312</v>
      </c>
      <c r="V22" s="225" t="s">
        <v>314</v>
      </c>
      <c r="W22" s="226" t="s">
        <v>224</v>
      </c>
    </row>
    <row r="23" spans="1:28" ht="15.75" thickBot="1">
      <c r="A23" s="214" t="s">
        <v>299</v>
      </c>
      <c r="B23" s="216">
        <v>1119</v>
      </c>
      <c r="C23" s="216">
        <v>299</v>
      </c>
      <c r="D23" s="216">
        <v>779</v>
      </c>
      <c r="E23" s="216">
        <v>1379</v>
      </c>
      <c r="G23" s="214" t="s">
        <v>299</v>
      </c>
      <c r="H23" s="220">
        <v>270</v>
      </c>
      <c r="I23" s="220">
        <v>50</v>
      </c>
      <c r="J23" s="220">
        <v>180</v>
      </c>
      <c r="K23" s="220">
        <v>285</v>
      </c>
      <c r="M23" s="214" t="s">
        <v>299</v>
      </c>
      <c r="N23" s="235">
        <v>1119</v>
      </c>
      <c r="O23" s="230">
        <f>(B23*2+C23)/3</f>
        <v>845.66666666666663</v>
      </c>
      <c r="P23" s="230">
        <f t="shared" ref="P23:P33" si="8">(B23*2+C23+D23)/4</f>
        <v>829</v>
      </c>
      <c r="Q23" s="235">
        <f t="shared" ref="Q23:Q33" si="9">E23</f>
        <v>1379</v>
      </c>
      <c r="S23" s="228" t="s">
        <v>299</v>
      </c>
      <c r="T23" s="233">
        <f t="shared" ref="T23:T33" si="10">B23-H23</f>
        <v>849</v>
      </c>
      <c r="U23" s="234">
        <f t="shared" ref="U23:U33" si="11">(T23*2+C23-I23)/3</f>
        <v>649</v>
      </c>
      <c r="V23" s="234">
        <f t="shared" ref="V23:V33" si="12">(T23*2+C23-I23+D23-J23)/4</f>
        <v>636.5</v>
      </c>
      <c r="W23" s="233">
        <f t="shared" ref="W23:W33" si="13">E23-K23</f>
        <v>1094</v>
      </c>
      <c r="Y23" s="223">
        <f t="shared" ref="Y23:Y33" si="14">1-T23/N23</f>
        <v>0.24128686327077753</v>
      </c>
      <c r="Z23" s="223">
        <f t="shared" ref="Z23:AB33" si="15">1-U23/O23</f>
        <v>0.23255813953488369</v>
      </c>
      <c r="AA23" s="223">
        <f t="shared" si="15"/>
        <v>0.23220747889022919</v>
      </c>
      <c r="AB23" s="223">
        <f t="shared" si="15"/>
        <v>0.20667150108774479</v>
      </c>
    </row>
    <row r="24" spans="1:28" s="129" customFormat="1" ht="16.5" thickBot="1">
      <c r="A24" s="302" t="s">
        <v>427</v>
      </c>
      <c r="B24" s="216"/>
      <c r="C24" s="216"/>
      <c r="D24" s="216"/>
      <c r="E24" s="216"/>
      <c r="G24" s="214"/>
      <c r="H24" s="220"/>
      <c r="I24" s="220"/>
      <c r="J24" s="220"/>
      <c r="K24" s="220"/>
      <c r="L24" s="129">
        <v>3</v>
      </c>
      <c r="M24" s="214"/>
      <c r="N24" s="230">
        <f>N23+20*L24/2</f>
        <v>1149</v>
      </c>
      <c r="O24" s="231">
        <f>O23+20*L24/3</f>
        <v>865.66666666666663</v>
      </c>
      <c r="P24" s="231">
        <f>P23+20*L24/4</f>
        <v>844</v>
      </c>
      <c r="Q24" s="230">
        <f>Q23+20*L24</f>
        <v>1439</v>
      </c>
      <c r="S24" s="228"/>
      <c r="T24" s="236">
        <f>T23+15*L24/2</f>
        <v>871.5</v>
      </c>
      <c r="U24" s="236">
        <f>U23+15*L24/3</f>
        <v>664</v>
      </c>
      <c r="V24" s="236">
        <f>V23+15*L24/4</f>
        <v>647.75</v>
      </c>
      <c r="W24" s="236">
        <f>W23+15*L24</f>
        <v>1139</v>
      </c>
      <c r="Y24" s="229"/>
      <c r="Z24" s="229"/>
      <c r="AA24" s="229"/>
      <c r="AB24" s="229"/>
    </row>
    <row r="25" spans="1:28" ht="15.75" thickBot="1">
      <c r="A25" s="214" t="s">
        <v>300</v>
      </c>
      <c r="B25" s="216">
        <v>1219</v>
      </c>
      <c r="C25" s="216">
        <v>399</v>
      </c>
      <c r="D25" s="216">
        <v>879</v>
      </c>
      <c r="E25" s="216">
        <v>1569</v>
      </c>
      <c r="G25" s="214" t="s">
        <v>300</v>
      </c>
      <c r="H25" s="220">
        <v>288</v>
      </c>
      <c r="I25" s="220">
        <v>50</v>
      </c>
      <c r="J25" s="220">
        <v>189</v>
      </c>
      <c r="K25" s="220">
        <v>309</v>
      </c>
      <c r="M25" s="214" t="s">
        <v>300</v>
      </c>
      <c r="N25" s="235">
        <v>1219</v>
      </c>
      <c r="O25" s="230">
        <f>(B25*2+C25)/3</f>
        <v>945.66666666666663</v>
      </c>
      <c r="P25" s="230">
        <f t="shared" si="8"/>
        <v>929</v>
      </c>
      <c r="Q25" s="235">
        <f t="shared" si="9"/>
        <v>1569</v>
      </c>
      <c r="S25" s="228" t="s">
        <v>300</v>
      </c>
      <c r="T25" s="233">
        <f t="shared" si="10"/>
        <v>931</v>
      </c>
      <c r="U25" s="234">
        <f t="shared" si="11"/>
        <v>737</v>
      </c>
      <c r="V25" s="234">
        <f t="shared" si="12"/>
        <v>725.25</v>
      </c>
      <c r="W25" s="233">
        <f t="shared" si="13"/>
        <v>1260</v>
      </c>
      <c r="Y25" s="223">
        <f t="shared" si="14"/>
        <v>0.23625922887612794</v>
      </c>
      <c r="Z25" s="223">
        <f t="shared" si="15"/>
        <v>0.22065562213605916</v>
      </c>
      <c r="AA25" s="223">
        <f t="shared" si="15"/>
        <v>0.21932185145317551</v>
      </c>
      <c r="AB25" s="223">
        <f t="shared" si="15"/>
        <v>0.19694072657743789</v>
      </c>
    </row>
    <row r="26" spans="1:28" s="129" customFormat="1" ht="16.5" thickBot="1">
      <c r="A26" s="302" t="s">
        <v>429</v>
      </c>
      <c r="B26" s="216"/>
      <c r="C26" s="216"/>
      <c r="D26" s="216"/>
      <c r="E26" s="216"/>
      <c r="G26" s="214"/>
      <c r="H26" s="220"/>
      <c r="I26" s="220"/>
      <c r="J26" s="220"/>
      <c r="K26" s="220"/>
      <c r="L26" s="129">
        <v>4</v>
      </c>
      <c r="M26" s="214"/>
      <c r="N26" s="230">
        <f>N25+20*L26/2</f>
        <v>1259</v>
      </c>
      <c r="O26" s="231">
        <f>O25+20*L26/3</f>
        <v>972.33333333333326</v>
      </c>
      <c r="P26" s="231">
        <f>P25+20*L26/4</f>
        <v>949</v>
      </c>
      <c r="Q26" s="230">
        <f>Q25+20*L26</f>
        <v>1649</v>
      </c>
      <c r="S26" s="228"/>
      <c r="T26" s="236">
        <f>T25+15*L26/2</f>
        <v>961</v>
      </c>
      <c r="U26" s="236">
        <f>U25+15*L26/3</f>
        <v>757</v>
      </c>
      <c r="V26" s="236">
        <f>V25+15*L26/4</f>
        <v>740.25</v>
      </c>
      <c r="W26" s="236">
        <f>W25+15*L26</f>
        <v>1320</v>
      </c>
      <c r="Y26" s="229"/>
      <c r="Z26" s="229"/>
      <c r="AA26" s="229"/>
      <c r="AB26" s="229"/>
    </row>
    <row r="27" spans="1:28" ht="15.75" thickBot="1">
      <c r="A27" s="214" t="s">
        <v>301</v>
      </c>
      <c r="B27" s="216">
        <v>1359</v>
      </c>
      <c r="C27" s="216">
        <v>499</v>
      </c>
      <c r="D27" s="216">
        <v>979</v>
      </c>
      <c r="E27" s="216">
        <v>1759</v>
      </c>
      <c r="G27" s="317" t="s">
        <v>301</v>
      </c>
      <c r="H27" s="220">
        <v>306</v>
      </c>
      <c r="I27" s="220">
        <v>50</v>
      </c>
      <c r="J27" s="220">
        <v>198</v>
      </c>
      <c r="K27" s="220">
        <v>333</v>
      </c>
      <c r="M27" s="214" t="s">
        <v>301</v>
      </c>
      <c r="N27" s="235">
        <v>1359</v>
      </c>
      <c r="O27" s="230">
        <v>1073</v>
      </c>
      <c r="P27" s="230">
        <f t="shared" si="8"/>
        <v>1049</v>
      </c>
      <c r="Q27" s="235">
        <f t="shared" si="9"/>
        <v>1759</v>
      </c>
      <c r="S27" s="228" t="s">
        <v>301</v>
      </c>
      <c r="T27" s="233">
        <f t="shared" si="10"/>
        <v>1053</v>
      </c>
      <c r="U27" s="234">
        <f>(T27*2+C27-I27)/3</f>
        <v>851.66666666666663</v>
      </c>
      <c r="V27" s="234">
        <f t="shared" si="12"/>
        <v>834</v>
      </c>
      <c r="W27" s="233">
        <f t="shared" si="13"/>
        <v>1426</v>
      </c>
      <c r="Y27" s="223">
        <f t="shared" si="14"/>
        <v>0.22516556291390732</v>
      </c>
      <c r="Z27" s="223">
        <f t="shared" si="15"/>
        <v>0.20627524075799941</v>
      </c>
      <c r="AA27" s="223">
        <f t="shared" si="15"/>
        <v>0.20495710200190653</v>
      </c>
      <c r="AB27" s="223">
        <f t="shared" si="15"/>
        <v>0.18931210915292784</v>
      </c>
    </row>
    <row r="28" spans="1:28" s="129" customFormat="1" ht="16.5" thickBot="1">
      <c r="A28" s="302" t="s">
        <v>428</v>
      </c>
      <c r="B28" s="216"/>
      <c r="C28" s="216"/>
      <c r="D28" s="216"/>
      <c r="E28" s="216"/>
      <c r="G28" s="228"/>
      <c r="H28" s="318"/>
      <c r="I28" s="318"/>
      <c r="J28" s="318"/>
      <c r="K28" s="318"/>
      <c r="L28" s="129">
        <v>5</v>
      </c>
      <c r="M28" s="214"/>
      <c r="N28" s="230">
        <f>N27+20*L28/2</f>
        <v>1409</v>
      </c>
      <c r="O28" s="231">
        <f>O27+20*L28/3</f>
        <v>1106.3333333333333</v>
      </c>
      <c r="P28" s="231">
        <f>P27+20*L28/4</f>
        <v>1074</v>
      </c>
      <c r="Q28" s="230">
        <f>Q27+20*L28</f>
        <v>1859</v>
      </c>
      <c r="S28" s="228"/>
      <c r="T28" s="236">
        <f>T27+15*L28/2</f>
        <v>1090.5</v>
      </c>
      <c r="U28" s="236">
        <f>U27+15*L28/3</f>
        <v>876.66666666666663</v>
      </c>
      <c r="V28" s="236">
        <f>V27+15*L28/4</f>
        <v>852.75</v>
      </c>
      <c r="W28" s="236">
        <f>W27+15*L28</f>
        <v>1501</v>
      </c>
      <c r="Y28" s="229"/>
      <c r="Z28" s="229"/>
      <c r="AA28" s="229"/>
      <c r="AB28" s="229"/>
    </row>
    <row r="29" spans="1:28" ht="15.75" thickBot="1">
      <c r="A29" s="214" t="s">
        <v>302</v>
      </c>
      <c r="B29" s="216">
        <v>1509</v>
      </c>
      <c r="C29" s="216">
        <v>599</v>
      </c>
      <c r="D29" s="216">
        <v>1079</v>
      </c>
      <c r="E29" s="216">
        <v>1949</v>
      </c>
      <c r="G29" s="228" t="s">
        <v>302</v>
      </c>
      <c r="H29" s="318">
        <v>324</v>
      </c>
      <c r="I29" s="318">
        <v>50</v>
      </c>
      <c r="J29" s="318">
        <v>207</v>
      </c>
      <c r="K29" s="318">
        <v>354</v>
      </c>
      <c r="M29" s="214" t="s">
        <v>302</v>
      </c>
      <c r="N29" s="235">
        <v>1509</v>
      </c>
      <c r="O29" s="230">
        <f>(B29*2+C29)/3</f>
        <v>1205.6666666666667</v>
      </c>
      <c r="P29" s="230">
        <f t="shared" si="8"/>
        <v>1174</v>
      </c>
      <c r="Q29" s="235">
        <f t="shared" si="9"/>
        <v>1949</v>
      </c>
      <c r="S29" s="228" t="s">
        <v>302</v>
      </c>
      <c r="T29" s="233">
        <f t="shared" si="10"/>
        <v>1185</v>
      </c>
      <c r="U29" s="234">
        <f t="shared" si="11"/>
        <v>973</v>
      </c>
      <c r="V29" s="234">
        <f t="shared" si="12"/>
        <v>947.75</v>
      </c>
      <c r="W29" s="233">
        <f t="shared" si="13"/>
        <v>1595</v>
      </c>
      <c r="Y29" s="223">
        <f t="shared" si="14"/>
        <v>0.21471172962226637</v>
      </c>
      <c r="Z29" s="223">
        <f t="shared" si="15"/>
        <v>0.19297760575062206</v>
      </c>
      <c r="AA29" s="223">
        <f t="shared" si="15"/>
        <v>0.19271720613287902</v>
      </c>
      <c r="AB29" s="223">
        <f t="shared" si="15"/>
        <v>0.18163160595177019</v>
      </c>
    </row>
    <row r="30" spans="1:28" s="129" customFormat="1" ht="16.5" thickBot="1">
      <c r="A30" s="302" t="s">
        <v>432</v>
      </c>
      <c r="B30" s="216"/>
      <c r="C30" s="216"/>
      <c r="D30" s="216"/>
      <c r="E30" s="216"/>
      <c r="G30" s="228"/>
      <c r="H30" s="318"/>
      <c r="I30" s="318"/>
      <c r="J30" s="318"/>
      <c r="K30" s="318"/>
      <c r="L30" s="129">
        <v>6</v>
      </c>
      <c r="M30" s="214"/>
      <c r="N30" s="230">
        <f>N29+20*L30/2</f>
        <v>1569</v>
      </c>
      <c r="O30" s="231">
        <f>O29+20*L30/3</f>
        <v>1245.6666666666667</v>
      </c>
      <c r="P30" s="231">
        <f>P29+20*L30/4</f>
        <v>1204</v>
      </c>
      <c r="Q30" s="230">
        <f>Q29+20*L30</f>
        <v>2069</v>
      </c>
      <c r="S30" s="228"/>
      <c r="T30" s="236">
        <f>T29+15*L30/2</f>
        <v>1230</v>
      </c>
      <c r="U30" s="236">
        <f>U29+15*L30/3</f>
        <v>1003</v>
      </c>
      <c r="V30" s="236">
        <f>V29+15*L30/4</f>
        <v>970.25</v>
      </c>
      <c r="W30" s="236">
        <f>W29+15*L30</f>
        <v>1685</v>
      </c>
      <c r="Y30" s="229"/>
      <c r="Z30" s="229"/>
      <c r="AA30" s="229"/>
      <c r="AB30" s="229"/>
    </row>
    <row r="31" spans="1:28" ht="15.75" thickBot="1">
      <c r="A31" s="214" t="s">
        <v>303</v>
      </c>
      <c r="B31" s="216">
        <v>1649</v>
      </c>
      <c r="C31" s="216">
        <v>699</v>
      </c>
      <c r="D31" s="216">
        <v>1179</v>
      </c>
      <c r="E31" s="216">
        <v>2139</v>
      </c>
      <c r="G31" s="228" t="s">
        <v>303</v>
      </c>
      <c r="H31" s="318">
        <v>339</v>
      </c>
      <c r="I31" s="318">
        <v>50</v>
      </c>
      <c r="J31" s="318">
        <v>216</v>
      </c>
      <c r="K31" s="318">
        <v>378</v>
      </c>
      <c r="M31" s="214" t="s">
        <v>303</v>
      </c>
      <c r="N31" s="235">
        <v>1649</v>
      </c>
      <c r="O31" s="230">
        <v>1333</v>
      </c>
      <c r="P31" s="230">
        <f t="shared" si="8"/>
        <v>1294</v>
      </c>
      <c r="Q31" s="235">
        <f t="shared" si="9"/>
        <v>2139</v>
      </c>
      <c r="S31" s="228" t="s">
        <v>303</v>
      </c>
      <c r="T31" s="233">
        <f t="shared" si="10"/>
        <v>1310</v>
      </c>
      <c r="U31" s="234">
        <f t="shared" si="11"/>
        <v>1089.6666666666667</v>
      </c>
      <c r="V31" s="234">
        <f t="shared" si="12"/>
        <v>1058</v>
      </c>
      <c r="W31" s="233">
        <f t="shared" si="13"/>
        <v>1761</v>
      </c>
      <c r="Y31" s="223">
        <f t="shared" si="14"/>
        <v>0.20557913887204371</v>
      </c>
      <c r="Z31" s="223">
        <f t="shared" si="15"/>
        <v>0.18254563640910226</v>
      </c>
      <c r="AA31" s="223">
        <f t="shared" si="15"/>
        <v>0.18238021638330759</v>
      </c>
      <c r="AB31" s="223">
        <f t="shared" si="15"/>
        <v>0.17671809256661997</v>
      </c>
    </row>
    <row r="32" spans="1:28" s="129" customFormat="1" ht="16.5" thickBot="1">
      <c r="A32" s="302" t="s">
        <v>430</v>
      </c>
      <c r="B32" s="216"/>
      <c r="C32" s="216"/>
      <c r="D32" s="216"/>
      <c r="E32" s="216"/>
      <c r="G32" s="228"/>
      <c r="H32" s="318"/>
      <c r="I32" s="318"/>
      <c r="J32" s="318"/>
      <c r="K32" s="318"/>
      <c r="L32" s="129">
        <v>7</v>
      </c>
      <c r="M32" s="317"/>
      <c r="N32" s="230">
        <f>N31+20*L32/2</f>
        <v>1719</v>
      </c>
      <c r="O32" s="231">
        <f>O31+20*L32/3</f>
        <v>1379.6666666666667</v>
      </c>
      <c r="P32" s="231">
        <f>P31+20*L32/4</f>
        <v>1329</v>
      </c>
      <c r="Q32" s="230">
        <f>Q31+20*L32</f>
        <v>2279</v>
      </c>
      <c r="S32" s="228"/>
      <c r="T32" s="236">
        <f>T31+15*L32/2</f>
        <v>1362.5</v>
      </c>
      <c r="U32" s="236">
        <f>U31+15*L32/3</f>
        <v>1124.6666666666667</v>
      </c>
      <c r="V32" s="236">
        <f>V31+15*L32/4</f>
        <v>1084.25</v>
      </c>
      <c r="W32" s="236">
        <f>W31+15*L32</f>
        <v>1866</v>
      </c>
      <c r="Y32" s="229"/>
      <c r="Z32" s="229"/>
      <c r="AA32" s="229"/>
      <c r="AB32" s="229"/>
    </row>
    <row r="33" spans="1:28" ht="15.75" thickBot="1">
      <c r="A33" s="214" t="s">
        <v>304</v>
      </c>
      <c r="B33" s="316">
        <v>1779</v>
      </c>
      <c r="C33" s="316">
        <v>799</v>
      </c>
      <c r="D33" s="316">
        <v>1279</v>
      </c>
      <c r="E33" s="316">
        <v>2329</v>
      </c>
      <c r="G33" s="228" t="s">
        <v>304</v>
      </c>
      <c r="H33" s="318">
        <v>354</v>
      </c>
      <c r="I33" s="318">
        <v>50</v>
      </c>
      <c r="J33" s="318">
        <v>225</v>
      </c>
      <c r="K33" s="318">
        <v>396</v>
      </c>
      <c r="M33" s="228" t="s">
        <v>304</v>
      </c>
      <c r="N33" s="318">
        <v>1779</v>
      </c>
      <c r="O33" s="310">
        <v>1453</v>
      </c>
      <c r="P33" s="310">
        <f t="shared" si="8"/>
        <v>1409</v>
      </c>
      <c r="Q33" s="318">
        <f t="shared" si="9"/>
        <v>2329</v>
      </c>
      <c r="S33" s="228" t="s">
        <v>304</v>
      </c>
      <c r="T33" s="233">
        <f t="shared" si="10"/>
        <v>1425</v>
      </c>
      <c r="U33" s="234">
        <f t="shared" si="11"/>
        <v>1199.6666666666667</v>
      </c>
      <c r="V33" s="234">
        <f t="shared" si="12"/>
        <v>1163.25</v>
      </c>
      <c r="W33" s="233">
        <f t="shared" si="13"/>
        <v>1933</v>
      </c>
      <c r="Y33" s="223">
        <f t="shared" si="14"/>
        <v>0.19898819561551429</v>
      </c>
      <c r="Z33" s="223">
        <f t="shared" si="15"/>
        <v>0.17435191557696716</v>
      </c>
      <c r="AA33" s="223">
        <f t="shared" si="15"/>
        <v>0.17441447835344215</v>
      </c>
      <c r="AB33" s="223">
        <f t="shared" si="15"/>
        <v>0.17003005581794761</v>
      </c>
    </row>
    <row r="34" spans="1:28" ht="16.5" thickBot="1">
      <c r="A34" s="315" t="s">
        <v>431</v>
      </c>
      <c r="B34" s="1"/>
      <c r="C34" s="1"/>
      <c r="D34" s="1"/>
      <c r="E34" s="1"/>
      <c r="G34" s="1"/>
      <c r="H34" s="1"/>
      <c r="I34" s="1"/>
      <c r="J34" s="1"/>
      <c r="K34" s="1"/>
      <c r="L34">
        <v>8</v>
      </c>
      <c r="M34" s="1"/>
      <c r="N34" s="230">
        <f>N33+20*L34/2</f>
        <v>1859</v>
      </c>
      <c r="O34" s="231">
        <f>O33+20*L34/3</f>
        <v>1506.3333333333333</v>
      </c>
      <c r="P34" s="231">
        <f>P33+20*L34/4</f>
        <v>1449</v>
      </c>
      <c r="Q34" s="230">
        <f>Q33+20*L34</f>
        <v>2489</v>
      </c>
      <c r="S34" s="1"/>
      <c r="T34" s="236">
        <f>T33+15*L34/2</f>
        <v>1485</v>
      </c>
      <c r="U34" s="236">
        <f>U33+15*L34/3</f>
        <v>1239.6666666666667</v>
      </c>
      <c r="V34" s="236">
        <f>V33+15*L34/4</f>
        <v>1193.25</v>
      </c>
      <c r="W34" s="236">
        <f>W33+15*L34</f>
        <v>2053</v>
      </c>
    </row>
    <row r="35" spans="1:28">
      <c r="A35" s="219" t="s">
        <v>307</v>
      </c>
    </row>
    <row r="38" spans="1:28">
      <c r="H38" s="82" t="s">
        <v>434</v>
      </c>
    </row>
  </sheetData>
  <mergeCells count="2">
    <mergeCell ref="A4:E4"/>
    <mergeCell ref="A21:E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A19" workbookViewId="0">
      <selection activeCell="H12" sqref="H12:J12"/>
    </sheetView>
  </sheetViews>
  <sheetFormatPr defaultRowHeight="15"/>
  <cols>
    <col min="1" max="1" width="14" style="129" bestFit="1" customWidth="1"/>
    <col min="2" max="2" width="10.140625" style="129" bestFit="1" customWidth="1"/>
    <col min="3" max="12" width="9.140625" style="129"/>
    <col min="13" max="13" width="8.85546875" style="129" customWidth="1"/>
    <col min="14" max="14" width="12.5703125" style="129" customWidth="1"/>
    <col min="15" max="17" width="8.42578125" style="129" bestFit="1" customWidth="1"/>
    <col min="18" max="18" width="9.140625" style="129"/>
    <col min="19" max="19" width="9.5703125" style="129" bestFit="1" customWidth="1"/>
    <col min="20" max="23" width="8.42578125" style="129" bestFit="1" customWidth="1"/>
    <col min="24" max="24" width="9.140625" style="129"/>
    <col min="25" max="25" width="9.5703125" style="129" bestFit="1" customWidth="1"/>
    <col min="26" max="29" width="8.42578125" style="129" bestFit="1" customWidth="1"/>
    <col min="30" max="16384" width="9.140625" style="129"/>
  </cols>
  <sheetData>
    <row r="1" spans="1:29" ht="18.75" thickBot="1">
      <c r="A1" s="340" t="s">
        <v>341</v>
      </c>
      <c r="B1" s="340"/>
      <c r="C1" s="340"/>
      <c r="D1" s="340"/>
      <c r="E1" s="340"/>
      <c r="F1" s="340"/>
      <c r="G1" s="340"/>
      <c r="H1" s="340"/>
      <c r="I1" s="341"/>
      <c r="J1" s="255"/>
      <c r="K1" s="269"/>
      <c r="L1" s="270"/>
      <c r="N1" s="129" t="s">
        <v>372</v>
      </c>
    </row>
    <row r="2" spans="1:29" ht="29.25" thickBot="1">
      <c r="A2" s="254"/>
      <c r="B2" s="342" t="s">
        <v>342</v>
      </c>
      <c r="C2" s="343"/>
      <c r="D2" s="343"/>
      <c r="E2" s="343"/>
      <c r="F2" s="343"/>
      <c r="G2" s="343"/>
      <c r="H2" s="343"/>
      <c r="I2" s="343"/>
      <c r="J2" s="344"/>
      <c r="K2" s="255"/>
      <c r="L2" s="256"/>
      <c r="M2" s="271" t="s">
        <v>369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</row>
    <row r="3" spans="1:29" ht="15.75" thickBot="1">
      <c r="A3" s="254"/>
      <c r="B3" s="345" t="s">
        <v>343</v>
      </c>
      <c r="C3" s="347" t="s">
        <v>344</v>
      </c>
      <c r="D3" s="348"/>
      <c r="E3" s="349"/>
      <c r="F3" s="258" t="s">
        <v>345</v>
      </c>
      <c r="G3" s="258" t="s">
        <v>347</v>
      </c>
      <c r="H3" s="347" t="s">
        <v>349</v>
      </c>
      <c r="I3" s="348"/>
      <c r="J3" s="349"/>
      <c r="K3" s="255"/>
      <c r="L3" s="260"/>
      <c r="M3" s="272" t="s">
        <v>361</v>
      </c>
      <c r="N3" s="81"/>
      <c r="O3" s="81"/>
      <c r="P3" s="81"/>
      <c r="Q3" s="81"/>
      <c r="R3" s="81"/>
      <c r="S3" s="81" t="s">
        <v>367</v>
      </c>
      <c r="T3" s="81"/>
      <c r="U3" s="81"/>
      <c r="V3" s="81"/>
      <c r="W3" s="81"/>
      <c r="X3" s="81"/>
      <c r="Y3" s="81" t="s">
        <v>368</v>
      </c>
      <c r="Z3" s="81"/>
      <c r="AA3" s="81"/>
      <c r="AB3" s="81"/>
      <c r="AC3" s="81"/>
    </row>
    <row r="4" spans="1:29" ht="15.75" thickBot="1">
      <c r="A4" s="254"/>
      <c r="B4" s="346"/>
      <c r="C4" s="261" t="s">
        <v>350</v>
      </c>
      <c r="D4" s="261" t="s">
        <v>335</v>
      </c>
      <c r="E4" s="259" t="s">
        <v>351</v>
      </c>
      <c r="F4" s="259" t="s">
        <v>346</v>
      </c>
      <c r="G4" s="259" t="s">
        <v>348</v>
      </c>
      <c r="H4" s="261" t="s">
        <v>350</v>
      </c>
      <c r="I4" s="261" t="s">
        <v>335</v>
      </c>
      <c r="J4" s="259" t="s">
        <v>351</v>
      </c>
      <c r="K4" s="262"/>
      <c r="L4" s="260"/>
      <c r="M4" s="285" t="s">
        <v>362</v>
      </c>
      <c r="N4" s="285" t="s">
        <v>363</v>
      </c>
      <c r="O4" s="285" t="s">
        <v>364</v>
      </c>
      <c r="P4" s="285" t="s">
        <v>365</v>
      </c>
      <c r="Q4" s="285" t="s">
        <v>366</v>
      </c>
      <c r="R4" s="81"/>
      <c r="S4" s="285" t="s">
        <v>362</v>
      </c>
      <c r="T4" s="285" t="s">
        <v>363</v>
      </c>
      <c r="U4" s="285" t="s">
        <v>364</v>
      </c>
      <c r="V4" s="285" t="s">
        <v>365</v>
      </c>
      <c r="W4" s="285" t="s">
        <v>366</v>
      </c>
      <c r="X4" s="81"/>
      <c r="Y4" s="285" t="s">
        <v>362</v>
      </c>
      <c r="Z4" s="285" t="s">
        <v>363</v>
      </c>
      <c r="AA4" s="285" t="s">
        <v>364</v>
      </c>
      <c r="AB4" s="285" t="s">
        <v>365</v>
      </c>
      <c r="AC4" s="285" t="s">
        <v>366</v>
      </c>
    </row>
    <row r="5" spans="1:29" ht="15.75" thickBot="1">
      <c r="A5" s="254"/>
      <c r="B5" s="263" t="s">
        <v>373</v>
      </c>
      <c r="C5" s="264">
        <v>857</v>
      </c>
      <c r="D5" s="264">
        <v>977</v>
      </c>
      <c r="E5" s="266">
        <v>1047</v>
      </c>
      <c r="F5" s="266">
        <v>238</v>
      </c>
      <c r="G5" s="266">
        <v>637</v>
      </c>
      <c r="H5" s="267">
        <v>1256</v>
      </c>
      <c r="I5" s="267">
        <v>1496</v>
      </c>
      <c r="J5" s="268">
        <v>1636</v>
      </c>
      <c r="K5" s="255"/>
      <c r="L5" s="255"/>
      <c r="M5" s="287">
        <f>H5</f>
        <v>1256</v>
      </c>
      <c r="N5" s="288">
        <f>C5</f>
        <v>857</v>
      </c>
      <c r="O5" s="289">
        <f>ROUNDUP((C5*2+F5)/3,0)</f>
        <v>651</v>
      </c>
      <c r="P5" s="289">
        <f>ROUNDUP((C5*2+F5+G5)/4,0)</f>
        <v>648</v>
      </c>
      <c r="Q5" s="289">
        <f>P5</f>
        <v>648</v>
      </c>
      <c r="R5" s="286"/>
      <c r="S5" s="288">
        <f>I5-H5</f>
        <v>240</v>
      </c>
      <c r="T5" s="288">
        <f>D5-C5</f>
        <v>120</v>
      </c>
      <c r="U5" s="289">
        <f>ROUNDUP((D5*2+F5)/3,0)-O5</f>
        <v>80</v>
      </c>
      <c r="V5" s="289">
        <f>ROUNDUP((D5*2+F5+G5)/4,0)-P5</f>
        <v>60</v>
      </c>
      <c r="W5" s="289">
        <f>V5</f>
        <v>60</v>
      </c>
      <c r="X5" s="286"/>
      <c r="Y5" s="288">
        <f>J5-H5</f>
        <v>380</v>
      </c>
      <c r="Z5" s="288">
        <f>E5-C5</f>
        <v>190</v>
      </c>
      <c r="AA5" s="289">
        <f>ROUNDUP((E5*2+F5)/3,0)-O5</f>
        <v>127</v>
      </c>
      <c r="AB5" s="289">
        <f>ROUNDUP((E5*2+F5+G5)/4,0)-P5</f>
        <v>95</v>
      </c>
      <c r="AC5" s="289">
        <f>AB5</f>
        <v>95</v>
      </c>
    </row>
    <row r="6" spans="1:29" ht="15.75" thickBot="1">
      <c r="A6" s="254"/>
      <c r="B6" s="263">
        <v>41632</v>
      </c>
      <c r="C6" s="264">
        <v>1057</v>
      </c>
      <c r="D6" s="264">
        <v>1107</v>
      </c>
      <c r="E6" s="266">
        <v>1187</v>
      </c>
      <c r="F6" s="266">
        <v>278</v>
      </c>
      <c r="G6" s="265" t="s">
        <v>352</v>
      </c>
      <c r="H6" s="267">
        <v>1656</v>
      </c>
      <c r="I6" s="267">
        <v>1756</v>
      </c>
      <c r="J6" s="268">
        <v>1916</v>
      </c>
      <c r="K6" s="257"/>
      <c r="L6" s="257"/>
      <c r="M6" s="287">
        <f>H6</f>
        <v>1656</v>
      </c>
      <c r="N6" s="288">
        <f>C6</f>
        <v>1057</v>
      </c>
      <c r="O6" s="289">
        <f>ROUNDUP((C6*2+F6)/3,0)</f>
        <v>798</v>
      </c>
      <c r="P6" s="289">
        <f>ROUNDUP((C6*2+F6+697)/4,0)</f>
        <v>773</v>
      </c>
      <c r="Q6" s="289">
        <f>P6</f>
        <v>773</v>
      </c>
      <c r="R6" s="286"/>
      <c r="S6" s="288">
        <f>I6-H6</f>
        <v>100</v>
      </c>
      <c r="T6" s="288">
        <f>D6-C6</f>
        <v>50</v>
      </c>
      <c r="U6" s="289">
        <f>ROUNDUP((D6*2+F6)/3,0)-O6</f>
        <v>33</v>
      </c>
      <c r="V6" s="289">
        <f>ROUNDUP((D6*2+F6+697)/4,0)-P6</f>
        <v>25</v>
      </c>
      <c r="W6" s="289">
        <f>V6</f>
        <v>25</v>
      </c>
      <c r="X6" s="286"/>
      <c r="Y6" s="288">
        <f>J6-H6</f>
        <v>260</v>
      </c>
      <c r="Z6" s="288">
        <f>E6-C6</f>
        <v>130</v>
      </c>
      <c r="AA6" s="289">
        <f>ROUNDUP((E6*2+F6)/3,0)-O6</f>
        <v>86</v>
      </c>
      <c r="AB6" s="289">
        <f>ROUNDUP((E6*2+F6+697)/4,0)-P6</f>
        <v>65</v>
      </c>
      <c r="AC6" s="289">
        <f>AB6</f>
        <v>65</v>
      </c>
    </row>
    <row r="7" spans="1:29"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</row>
    <row r="8" spans="1:29"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</row>
    <row r="9" spans="1:29" ht="15.75" thickBot="1"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1:29" ht="18.75" thickBot="1">
      <c r="A10" s="338" t="s">
        <v>353</v>
      </c>
      <c r="B10" s="338"/>
      <c r="C10" s="338"/>
      <c r="D10" s="338"/>
      <c r="E10" s="338"/>
      <c r="F10" s="338"/>
      <c r="G10" s="338"/>
      <c r="H10" s="338"/>
      <c r="I10" s="339"/>
      <c r="J10" s="253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</row>
    <row r="11" spans="1:29" ht="29.25" thickBot="1">
      <c r="A11" s="254"/>
      <c r="B11" s="342" t="s">
        <v>354</v>
      </c>
      <c r="C11" s="343"/>
      <c r="D11" s="343"/>
      <c r="E11" s="343"/>
      <c r="F11" s="343"/>
      <c r="G11" s="343"/>
      <c r="H11" s="343"/>
      <c r="I11" s="343"/>
      <c r="J11" s="344"/>
      <c r="K11" s="273"/>
      <c r="M11" s="271" t="s">
        <v>360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</row>
    <row r="12" spans="1:29" ht="15.75" thickBot="1">
      <c r="A12" s="254"/>
      <c r="B12" s="353" t="s">
        <v>343</v>
      </c>
      <c r="C12" s="350" t="s">
        <v>344</v>
      </c>
      <c r="D12" s="351"/>
      <c r="E12" s="352"/>
      <c r="F12" s="258" t="s">
        <v>345</v>
      </c>
      <c r="G12" s="258" t="s">
        <v>355</v>
      </c>
      <c r="H12" s="350" t="s">
        <v>349</v>
      </c>
      <c r="I12" s="351"/>
      <c r="J12" s="352"/>
      <c r="K12" s="273"/>
      <c r="M12" s="272" t="s">
        <v>361</v>
      </c>
      <c r="N12" s="81"/>
      <c r="O12" s="81"/>
      <c r="P12" s="81"/>
      <c r="Q12" s="81"/>
      <c r="R12" s="81"/>
      <c r="S12" s="81" t="s">
        <v>367</v>
      </c>
      <c r="T12" s="81"/>
      <c r="U12" s="81"/>
      <c r="V12" s="81"/>
      <c r="W12" s="81"/>
      <c r="X12" s="81"/>
      <c r="Y12" s="81" t="s">
        <v>368</v>
      </c>
      <c r="Z12" s="81"/>
      <c r="AA12" s="81"/>
      <c r="AB12" s="81"/>
      <c r="AC12" s="81"/>
    </row>
    <row r="13" spans="1:29" ht="15.75" thickBot="1">
      <c r="A13" s="254"/>
      <c r="B13" s="354"/>
      <c r="C13" s="261" t="s">
        <v>350</v>
      </c>
      <c r="D13" s="261" t="s">
        <v>335</v>
      </c>
      <c r="E13" s="259" t="s">
        <v>351</v>
      </c>
      <c r="F13" s="259" t="s">
        <v>346</v>
      </c>
      <c r="G13" s="259" t="s">
        <v>348</v>
      </c>
      <c r="H13" s="261" t="s">
        <v>350</v>
      </c>
      <c r="I13" s="261" t="s">
        <v>335</v>
      </c>
      <c r="J13" s="259" t="s">
        <v>351</v>
      </c>
      <c r="K13" s="273"/>
      <c r="M13" s="285" t="s">
        <v>362</v>
      </c>
      <c r="N13" s="285" t="s">
        <v>363</v>
      </c>
      <c r="O13" s="285" t="s">
        <v>364</v>
      </c>
      <c r="P13" s="285" t="s">
        <v>365</v>
      </c>
      <c r="Q13" s="285" t="s">
        <v>366</v>
      </c>
      <c r="R13" s="81"/>
      <c r="S13" s="285" t="s">
        <v>362</v>
      </c>
      <c r="T13" s="285" t="s">
        <v>363</v>
      </c>
      <c r="U13" s="285" t="s">
        <v>364</v>
      </c>
      <c r="V13" s="285" t="s">
        <v>365</v>
      </c>
      <c r="W13" s="285" t="s">
        <v>366</v>
      </c>
      <c r="X13" s="81"/>
      <c r="Y13" s="285" t="s">
        <v>362</v>
      </c>
      <c r="Z13" s="285" t="s">
        <v>363</v>
      </c>
      <c r="AA13" s="285" t="s">
        <v>364</v>
      </c>
      <c r="AB13" s="285" t="s">
        <v>365</v>
      </c>
      <c r="AC13" s="285" t="s">
        <v>366</v>
      </c>
    </row>
    <row r="14" spans="1:29" ht="15.75" thickBot="1">
      <c r="A14" s="254"/>
      <c r="B14" s="275" t="s">
        <v>373</v>
      </c>
      <c r="C14" s="264">
        <v>859</v>
      </c>
      <c r="D14" s="264">
        <v>949</v>
      </c>
      <c r="E14" s="266">
        <v>1069</v>
      </c>
      <c r="F14" s="266">
        <v>250</v>
      </c>
      <c r="G14" s="266">
        <v>599</v>
      </c>
      <c r="H14" s="264">
        <v>1248</v>
      </c>
      <c r="I14" s="264">
        <v>1428</v>
      </c>
      <c r="J14" s="266">
        <v>1668</v>
      </c>
      <c r="K14" s="274"/>
      <c r="M14" s="287">
        <f>H14</f>
        <v>1248</v>
      </c>
      <c r="N14" s="288">
        <f>C14</f>
        <v>859</v>
      </c>
      <c r="O14" s="289">
        <f>ROUNDUP((C14*2+F14)/3,0)</f>
        <v>656</v>
      </c>
      <c r="P14" s="289">
        <f>ROUNDUP((C14*2+F14+G14)/4,0)</f>
        <v>642</v>
      </c>
      <c r="Q14" s="289">
        <f>P14</f>
        <v>642</v>
      </c>
      <c r="R14" s="286"/>
      <c r="S14" s="288">
        <f>I14-H14</f>
        <v>180</v>
      </c>
      <c r="T14" s="288">
        <f>D14-C14</f>
        <v>90</v>
      </c>
      <c r="U14" s="289">
        <f>ROUNDUP((D14*2+F14)/3,0)-O14</f>
        <v>60</v>
      </c>
      <c r="V14" s="289">
        <f>ROUNDUP((D14*2+F14+G14)/4,0)-P14</f>
        <v>45</v>
      </c>
      <c r="W14" s="289">
        <f>V14</f>
        <v>45</v>
      </c>
      <c r="X14" s="286"/>
      <c r="Y14" s="288">
        <f>J14-H14</f>
        <v>420</v>
      </c>
      <c r="Z14" s="288">
        <f>E14-C14</f>
        <v>210</v>
      </c>
      <c r="AA14" s="289">
        <f>ROUNDUP((E14*2+F14)/3,0)-O14</f>
        <v>140</v>
      </c>
      <c r="AB14" s="289">
        <f>ROUNDUP((E14*2+F14+G14)/4,0)-P14</f>
        <v>105</v>
      </c>
      <c r="AC14" s="289">
        <f>AB14</f>
        <v>105</v>
      </c>
    </row>
    <row r="15" spans="1:29" ht="15.75" thickBot="1">
      <c r="A15" s="254"/>
      <c r="B15" s="275">
        <v>41628</v>
      </c>
      <c r="C15" s="264">
        <v>1189</v>
      </c>
      <c r="D15" s="264">
        <v>1319</v>
      </c>
      <c r="E15" s="266">
        <v>1469</v>
      </c>
      <c r="F15" s="266">
        <v>350</v>
      </c>
      <c r="G15" s="266">
        <v>699</v>
      </c>
      <c r="H15" s="264">
        <v>1908</v>
      </c>
      <c r="I15" s="264">
        <v>2168</v>
      </c>
      <c r="J15" s="266">
        <v>2468</v>
      </c>
      <c r="K15" s="273"/>
      <c r="M15" s="287">
        <f>H15</f>
        <v>1908</v>
      </c>
      <c r="N15" s="288">
        <f>C15</f>
        <v>1189</v>
      </c>
      <c r="O15" s="289">
        <f>ROUNDUP((C15*2+F15)/3,0)</f>
        <v>910</v>
      </c>
      <c r="P15" s="289">
        <f>ROUNDUP((C15*2+F15+G15)/4,0)</f>
        <v>857</v>
      </c>
      <c r="Q15" s="289">
        <f>P15</f>
        <v>857</v>
      </c>
      <c r="R15" s="286"/>
      <c r="S15" s="288">
        <f>I15-H15</f>
        <v>260</v>
      </c>
      <c r="T15" s="288">
        <f>D15-C15</f>
        <v>130</v>
      </c>
      <c r="U15" s="289">
        <f>ROUNDUP((D15*2+F15)/3,0)-O15</f>
        <v>86</v>
      </c>
      <c r="V15" s="289">
        <f>ROUNDUP((D15*2+F15+G15)/4,0)-P15</f>
        <v>65</v>
      </c>
      <c r="W15" s="289">
        <f>V15</f>
        <v>65</v>
      </c>
      <c r="X15" s="286"/>
      <c r="Y15" s="288">
        <f>J15-H15</f>
        <v>560</v>
      </c>
      <c r="Z15" s="288">
        <f>E15-C15</f>
        <v>280</v>
      </c>
      <c r="AA15" s="289">
        <f>ROUNDUP((E15*2+F15)/3,0)-O15</f>
        <v>186</v>
      </c>
      <c r="AB15" s="289">
        <f>ROUNDUP((E15*2+F15+G15)/4,0)-P15</f>
        <v>140</v>
      </c>
      <c r="AC15" s="289">
        <f>AB15</f>
        <v>140</v>
      </c>
    </row>
    <row r="16" spans="1:29" ht="15.75" thickBot="1">
      <c r="A16" s="254"/>
      <c r="B16" s="275">
        <v>41635</v>
      </c>
      <c r="C16" s="264">
        <v>1189</v>
      </c>
      <c r="D16" s="264">
        <v>1319</v>
      </c>
      <c r="E16" s="266">
        <v>1469</v>
      </c>
      <c r="F16" s="266">
        <v>350</v>
      </c>
      <c r="G16" s="266">
        <v>699</v>
      </c>
      <c r="H16" s="264">
        <v>1908</v>
      </c>
      <c r="I16" s="264">
        <v>2168</v>
      </c>
      <c r="J16" s="266">
        <v>2468</v>
      </c>
      <c r="K16" s="274"/>
      <c r="M16" s="287">
        <f>H16</f>
        <v>1908</v>
      </c>
      <c r="N16" s="288">
        <f>C16</f>
        <v>1189</v>
      </c>
      <c r="O16" s="289">
        <f>ROUNDUP((C16*2+F16)/3,0)</f>
        <v>910</v>
      </c>
      <c r="P16" s="289">
        <f>ROUNDUP((C16*2+F16+G16)/4,0)</f>
        <v>857</v>
      </c>
      <c r="Q16" s="289">
        <f>P16</f>
        <v>857</v>
      </c>
      <c r="R16" s="286"/>
      <c r="S16" s="288">
        <f>I16-H16</f>
        <v>260</v>
      </c>
      <c r="T16" s="288">
        <f>D16-C16</f>
        <v>130</v>
      </c>
      <c r="U16" s="289">
        <f>ROUNDUP((D16*2+F16)/3,0)-O16</f>
        <v>86</v>
      </c>
      <c r="V16" s="289">
        <f>ROUNDUP((D16*2+F16+G16)/4,0)-P16</f>
        <v>65</v>
      </c>
      <c r="W16" s="289">
        <f>V16</f>
        <v>65</v>
      </c>
      <c r="X16" s="286"/>
      <c r="Y16" s="288">
        <f>J16-H16</f>
        <v>560</v>
      </c>
      <c r="Z16" s="288">
        <f>E16-C16</f>
        <v>280</v>
      </c>
      <c r="AA16" s="289">
        <f>ROUNDUP((E16*2+F16)/3,0)-O16</f>
        <v>186</v>
      </c>
      <c r="AB16" s="289">
        <f>ROUNDUP((E16*2+F16+G16)/4,0)-P16</f>
        <v>140</v>
      </c>
      <c r="AC16" s="289">
        <f>AB16</f>
        <v>140</v>
      </c>
    </row>
    <row r="17" spans="1:29" ht="15.75" thickBot="1">
      <c r="A17" s="254"/>
      <c r="B17" s="276"/>
      <c r="C17" s="277"/>
      <c r="D17" s="277"/>
      <c r="E17" s="278"/>
      <c r="F17" s="278"/>
      <c r="G17" s="278"/>
      <c r="H17" s="277"/>
      <c r="I17" s="277"/>
      <c r="J17" s="257"/>
      <c r="K17" s="25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</row>
    <row r="18" spans="1:29"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r="19" spans="1:29" ht="15.75" thickBot="1"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</row>
    <row r="20" spans="1:29" ht="18.75" thickBot="1">
      <c r="A20" s="338" t="s">
        <v>356</v>
      </c>
      <c r="B20" s="338"/>
      <c r="C20" s="338"/>
      <c r="D20" s="338"/>
      <c r="E20" s="338"/>
      <c r="F20" s="338"/>
      <c r="G20" s="338"/>
      <c r="H20" s="338"/>
      <c r="I20" s="339"/>
      <c r="J20" s="253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</row>
    <row r="21" spans="1:29" ht="29.25" thickBot="1">
      <c r="A21" s="254"/>
      <c r="B21" s="342" t="s">
        <v>357</v>
      </c>
      <c r="C21" s="343"/>
      <c r="D21" s="343"/>
      <c r="E21" s="343"/>
      <c r="F21" s="343"/>
      <c r="G21" s="343"/>
      <c r="H21" s="343"/>
      <c r="I21" s="343"/>
      <c r="J21" s="344"/>
      <c r="K21" s="273"/>
      <c r="M21" s="271" t="s">
        <v>370</v>
      </c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</row>
    <row r="22" spans="1:29" ht="15.75" thickBot="1">
      <c r="A22" s="254"/>
      <c r="B22" s="353" t="s">
        <v>343</v>
      </c>
      <c r="C22" s="350" t="s">
        <v>344</v>
      </c>
      <c r="D22" s="351"/>
      <c r="E22" s="352"/>
      <c r="F22" s="258" t="s">
        <v>345</v>
      </c>
      <c r="G22" s="258" t="s">
        <v>355</v>
      </c>
      <c r="H22" s="350" t="s">
        <v>349</v>
      </c>
      <c r="I22" s="351"/>
      <c r="J22" s="352"/>
      <c r="K22" s="273"/>
      <c r="M22" s="272" t="s">
        <v>361</v>
      </c>
      <c r="N22" s="81"/>
      <c r="O22" s="81"/>
      <c r="P22" s="81"/>
      <c r="Q22" s="81"/>
      <c r="R22" s="81"/>
      <c r="S22" s="81" t="s">
        <v>367</v>
      </c>
      <c r="T22" s="81"/>
      <c r="U22" s="81"/>
      <c r="V22" s="81"/>
      <c r="W22" s="81"/>
      <c r="X22" s="81"/>
      <c r="Y22" s="81" t="s">
        <v>368</v>
      </c>
      <c r="Z22" s="81"/>
      <c r="AA22" s="81"/>
      <c r="AB22" s="81"/>
      <c r="AC22" s="81"/>
    </row>
    <row r="23" spans="1:29" ht="15.75" thickBot="1">
      <c r="A23" s="254"/>
      <c r="B23" s="354"/>
      <c r="C23" s="261" t="s">
        <v>350</v>
      </c>
      <c r="D23" s="261" t="s">
        <v>335</v>
      </c>
      <c r="E23" s="259" t="s">
        <v>351</v>
      </c>
      <c r="F23" s="259" t="s">
        <v>346</v>
      </c>
      <c r="G23" s="259" t="s">
        <v>348</v>
      </c>
      <c r="H23" s="261" t="s">
        <v>350</v>
      </c>
      <c r="I23" s="261" t="s">
        <v>335</v>
      </c>
      <c r="J23" s="259" t="s">
        <v>351</v>
      </c>
      <c r="K23" s="273"/>
      <c r="M23" s="285" t="s">
        <v>362</v>
      </c>
      <c r="N23" s="285" t="s">
        <v>363</v>
      </c>
      <c r="O23" s="285" t="s">
        <v>364</v>
      </c>
      <c r="P23" s="285" t="s">
        <v>365</v>
      </c>
      <c r="Q23" s="285" t="s">
        <v>366</v>
      </c>
      <c r="R23" s="81"/>
      <c r="S23" s="285" t="s">
        <v>362</v>
      </c>
      <c r="T23" s="285" t="s">
        <v>363</v>
      </c>
      <c r="U23" s="285" t="s">
        <v>364</v>
      </c>
      <c r="V23" s="285" t="s">
        <v>365</v>
      </c>
      <c r="W23" s="285" t="s">
        <v>366</v>
      </c>
      <c r="X23" s="81"/>
      <c r="Y23" s="285" t="s">
        <v>362</v>
      </c>
      <c r="Z23" s="285" t="s">
        <v>363</v>
      </c>
      <c r="AA23" s="285" t="s">
        <v>364</v>
      </c>
      <c r="AB23" s="285" t="s">
        <v>365</v>
      </c>
      <c r="AC23" s="285" t="s">
        <v>366</v>
      </c>
    </row>
    <row r="24" spans="1:29" ht="15.75" thickBot="1">
      <c r="A24" s="254"/>
      <c r="B24" s="279" t="s">
        <v>373</v>
      </c>
      <c r="C24" s="280">
        <v>937</v>
      </c>
      <c r="D24" s="280">
        <v>1047</v>
      </c>
      <c r="E24" s="280">
        <v>1127</v>
      </c>
      <c r="F24" s="280">
        <v>238</v>
      </c>
      <c r="G24" s="280">
        <v>717</v>
      </c>
      <c r="H24" s="280">
        <v>1336</v>
      </c>
      <c r="I24" s="280">
        <v>1556</v>
      </c>
      <c r="J24" s="280">
        <v>1716</v>
      </c>
      <c r="K24" s="273"/>
      <c r="M24" s="287">
        <f>H24</f>
        <v>1336</v>
      </c>
      <c r="N24" s="288">
        <f>C24</f>
        <v>937</v>
      </c>
      <c r="O24" s="289">
        <f>ROUNDUP((C24*2+F24)/3,0)</f>
        <v>704</v>
      </c>
      <c r="P24" s="289">
        <f>ROUNDUP((C24*2+F24+G24)/4,0)</f>
        <v>708</v>
      </c>
      <c r="Q24" s="289">
        <f>P24</f>
        <v>708</v>
      </c>
      <c r="R24" s="286"/>
      <c r="S24" s="288">
        <f>I24-H24</f>
        <v>220</v>
      </c>
      <c r="T24" s="288">
        <f>D24-C24</f>
        <v>110</v>
      </c>
      <c r="U24" s="289">
        <f>ROUNDUP((D24*2+F24)/3,0)-O24</f>
        <v>74</v>
      </c>
      <c r="V24" s="289">
        <f>ROUNDUP((D24*2+F24+G24)/4,0)-P24</f>
        <v>55</v>
      </c>
      <c r="W24" s="289">
        <f>V24</f>
        <v>55</v>
      </c>
      <c r="X24" s="286"/>
      <c r="Y24" s="288">
        <f>J24-H24</f>
        <v>380</v>
      </c>
      <c r="Z24" s="288">
        <f>E24-C24</f>
        <v>190</v>
      </c>
      <c r="AA24" s="289">
        <f>ROUNDUP((E24*2+F24)/3,0)-O24</f>
        <v>127</v>
      </c>
      <c r="AB24" s="289">
        <f>ROUNDUP((E24*2+F24+G24)/4,0)-P24</f>
        <v>95</v>
      </c>
      <c r="AC24" s="289">
        <f>AB24</f>
        <v>95</v>
      </c>
    </row>
    <row r="25" spans="1:29" ht="15.75" thickBot="1">
      <c r="A25" s="254"/>
      <c r="B25" s="279">
        <v>41631</v>
      </c>
      <c r="C25" s="280">
        <v>1137</v>
      </c>
      <c r="D25" s="280">
        <v>1187</v>
      </c>
      <c r="E25" s="280">
        <v>1267</v>
      </c>
      <c r="F25" s="280">
        <v>278</v>
      </c>
      <c r="G25" s="281" t="s">
        <v>352</v>
      </c>
      <c r="H25" s="280">
        <v>1736</v>
      </c>
      <c r="I25" s="280">
        <v>1836</v>
      </c>
      <c r="J25" s="280">
        <v>1996</v>
      </c>
      <c r="K25" s="273"/>
      <c r="M25" s="287">
        <f>H25</f>
        <v>1736</v>
      </c>
      <c r="N25" s="288">
        <f>C25</f>
        <v>1137</v>
      </c>
      <c r="O25" s="289">
        <f>ROUNDUP((C25*2+F25)/3,0)</f>
        <v>851</v>
      </c>
      <c r="P25" s="289">
        <f>ROUNDUP((C25*2+F25+777)/4,0)</f>
        <v>833</v>
      </c>
      <c r="Q25" s="289">
        <f>P25</f>
        <v>833</v>
      </c>
      <c r="R25" s="286"/>
      <c r="S25" s="288">
        <f>I25-H25</f>
        <v>100</v>
      </c>
      <c r="T25" s="288">
        <f>D25-C25</f>
        <v>50</v>
      </c>
      <c r="U25" s="289">
        <f>ROUNDUP((D25*2+F25)/3,0)-O25</f>
        <v>33</v>
      </c>
      <c r="V25" s="289">
        <f>ROUNDUP((D25*2+F25+777)/4,0)-P25</f>
        <v>25</v>
      </c>
      <c r="W25" s="289">
        <f>V25</f>
        <v>25</v>
      </c>
      <c r="X25" s="286"/>
      <c r="Y25" s="288">
        <f>J25-H25</f>
        <v>260</v>
      </c>
      <c r="Z25" s="288">
        <f>E25-C25</f>
        <v>130</v>
      </c>
      <c r="AA25" s="289">
        <f>ROUNDUP((E25*2+F25)/3,0)-O25</f>
        <v>87</v>
      </c>
      <c r="AB25" s="289">
        <f>ROUNDUP((E25*2+F25+777)/4,0)-P25</f>
        <v>65</v>
      </c>
      <c r="AC25" s="289">
        <f>AB25</f>
        <v>65</v>
      </c>
    </row>
    <row r="26" spans="1:29" ht="15.75" thickBot="1">
      <c r="A26" s="254"/>
      <c r="B26" s="282"/>
      <c r="C26" s="278"/>
      <c r="D26" s="278"/>
      <c r="E26" s="278"/>
      <c r="F26" s="278"/>
      <c r="G26" s="278"/>
      <c r="H26" s="278"/>
      <c r="I26" s="278"/>
      <c r="J26" s="257"/>
      <c r="K26" s="257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29"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</row>
    <row r="28" spans="1:29"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29" ht="15.75" thickBot="1"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</row>
    <row r="30" spans="1:29" ht="18.75" thickBot="1">
      <c r="A30" s="338" t="s">
        <v>358</v>
      </c>
      <c r="B30" s="338"/>
      <c r="C30" s="338"/>
      <c r="D30" s="338"/>
      <c r="E30" s="338"/>
      <c r="F30" s="338"/>
      <c r="G30" s="338"/>
      <c r="H30" s="338"/>
      <c r="I30" s="339"/>
      <c r="J30" s="253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 ht="29.25" thickBot="1">
      <c r="A31" s="254"/>
      <c r="B31" s="342" t="s">
        <v>359</v>
      </c>
      <c r="C31" s="343"/>
      <c r="D31" s="343"/>
      <c r="E31" s="343"/>
      <c r="F31" s="343"/>
      <c r="G31" s="343"/>
      <c r="H31" s="343"/>
      <c r="I31" s="343"/>
      <c r="J31" s="344"/>
      <c r="K31" s="273"/>
      <c r="M31" s="271" t="s">
        <v>371</v>
      </c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 ht="15.75" thickBot="1">
      <c r="A32" s="254"/>
      <c r="B32" s="345" t="s">
        <v>343</v>
      </c>
      <c r="C32" s="350" t="s">
        <v>344</v>
      </c>
      <c r="D32" s="351"/>
      <c r="E32" s="352"/>
      <c r="F32" s="258" t="s">
        <v>345</v>
      </c>
      <c r="G32" s="258" t="s">
        <v>355</v>
      </c>
      <c r="H32" s="350" t="s">
        <v>349</v>
      </c>
      <c r="I32" s="351"/>
      <c r="J32" s="352"/>
      <c r="K32" s="273"/>
      <c r="M32" s="272" t="s">
        <v>361</v>
      </c>
      <c r="N32" s="81"/>
      <c r="O32" s="81"/>
      <c r="P32" s="81"/>
      <c r="Q32" s="81"/>
      <c r="R32" s="81"/>
      <c r="S32" s="81" t="s">
        <v>367</v>
      </c>
      <c r="T32" s="81"/>
      <c r="U32" s="81"/>
      <c r="V32" s="81"/>
      <c r="W32" s="81"/>
      <c r="X32" s="81"/>
      <c r="Y32" s="81" t="s">
        <v>368</v>
      </c>
      <c r="Z32" s="81"/>
      <c r="AA32" s="81"/>
      <c r="AB32" s="81"/>
      <c r="AC32" s="81"/>
    </row>
    <row r="33" spans="1:29" ht="15.75" thickBot="1">
      <c r="A33" s="254"/>
      <c r="B33" s="346"/>
      <c r="C33" s="261" t="s">
        <v>350</v>
      </c>
      <c r="D33" s="261" t="s">
        <v>335</v>
      </c>
      <c r="E33" s="259" t="s">
        <v>351</v>
      </c>
      <c r="F33" s="259" t="s">
        <v>346</v>
      </c>
      <c r="G33" s="259" t="s">
        <v>348</v>
      </c>
      <c r="H33" s="261" t="s">
        <v>350</v>
      </c>
      <c r="I33" s="261" t="s">
        <v>335</v>
      </c>
      <c r="J33" s="259" t="s">
        <v>351</v>
      </c>
      <c r="K33" s="274"/>
      <c r="M33" s="285" t="s">
        <v>362</v>
      </c>
      <c r="N33" s="285" t="s">
        <v>363</v>
      </c>
      <c r="O33" s="285" t="s">
        <v>364</v>
      </c>
      <c r="P33" s="285" t="s">
        <v>365</v>
      </c>
      <c r="Q33" s="285" t="s">
        <v>366</v>
      </c>
      <c r="R33" s="81"/>
      <c r="S33" s="285" t="s">
        <v>362</v>
      </c>
      <c r="T33" s="285" t="s">
        <v>363</v>
      </c>
      <c r="U33" s="285" t="s">
        <v>364</v>
      </c>
      <c r="V33" s="285" t="s">
        <v>365</v>
      </c>
      <c r="W33" s="285" t="s">
        <v>366</v>
      </c>
      <c r="X33" s="81"/>
      <c r="Y33" s="285" t="s">
        <v>362</v>
      </c>
      <c r="Z33" s="285" t="s">
        <v>363</v>
      </c>
      <c r="AA33" s="285" t="s">
        <v>364</v>
      </c>
      <c r="AB33" s="285" t="s">
        <v>365</v>
      </c>
      <c r="AC33" s="285" t="s">
        <v>366</v>
      </c>
    </row>
    <row r="34" spans="1:29" ht="15.75" thickBot="1">
      <c r="A34" s="254"/>
      <c r="B34" s="290" t="s">
        <v>373</v>
      </c>
      <c r="C34" s="280">
        <v>939</v>
      </c>
      <c r="D34" s="280">
        <v>1029</v>
      </c>
      <c r="E34" s="280">
        <v>1149</v>
      </c>
      <c r="F34" s="280">
        <v>250</v>
      </c>
      <c r="G34" s="280">
        <v>729</v>
      </c>
      <c r="H34" s="280">
        <v>1328</v>
      </c>
      <c r="I34" s="280">
        <v>1508</v>
      </c>
      <c r="J34" s="280">
        <v>1748</v>
      </c>
      <c r="K34" s="274"/>
      <c r="M34" s="287">
        <f>H34</f>
        <v>1328</v>
      </c>
      <c r="N34" s="288">
        <f>C34</f>
        <v>939</v>
      </c>
      <c r="O34" s="289">
        <f>ROUNDUP((C34*2+F34)/3,0)</f>
        <v>710</v>
      </c>
      <c r="P34" s="289">
        <f>ROUNDUP((C34*2+F34+G34)/4,0)</f>
        <v>715</v>
      </c>
      <c r="Q34" s="289">
        <f>P34</f>
        <v>715</v>
      </c>
      <c r="R34" s="286"/>
      <c r="S34" s="288">
        <f>I34-H34</f>
        <v>180</v>
      </c>
      <c r="T34" s="288">
        <f>D34-C34</f>
        <v>90</v>
      </c>
      <c r="U34" s="289">
        <f>ROUNDUP((D34*2+F34)/3,0)-O34</f>
        <v>60</v>
      </c>
      <c r="V34" s="289">
        <f>ROUNDUP((D34*2+F34+G34)/4,0)-P34</f>
        <v>45</v>
      </c>
      <c r="W34" s="289">
        <f>V34</f>
        <v>45</v>
      </c>
      <c r="X34" s="286"/>
      <c r="Y34" s="288">
        <f>J34-H34</f>
        <v>420</v>
      </c>
      <c r="Z34" s="288">
        <f>E34-C34</f>
        <v>210</v>
      </c>
      <c r="AA34" s="289">
        <f>ROUNDUP((E34*2+F34)/3,0)-O34</f>
        <v>140</v>
      </c>
      <c r="AB34" s="289">
        <f>ROUNDUP((E34*2+F34+G34)/4,0)-P34</f>
        <v>105</v>
      </c>
      <c r="AC34" s="289">
        <f>AB34</f>
        <v>105</v>
      </c>
    </row>
    <row r="35" spans="1:29" ht="15.75" thickBot="1">
      <c r="A35" s="254"/>
      <c r="B35" s="279">
        <v>41627</v>
      </c>
      <c r="C35" s="280">
        <v>1269</v>
      </c>
      <c r="D35" s="280">
        <v>1399</v>
      </c>
      <c r="E35" s="280">
        <v>1549</v>
      </c>
      <c r="F35" s="280">
        <v>350</v>
      </c>
      <c r="G35" s="280">
        <v>829</v>
      </c>
      <c r="H35" s="280">
        <v>1988</v>
      </c>
      <c r="I35" s="280">
        <v>2248</v>
      </c>
      <c r="J35" s="280">
        <v>2548</v>
      </c>
      <c r="K35" s="273"/>
      <c r="M35" s="287">
        <f>H35</f>
        <v>1988</v>
      </c>
      <c r="N35" s="288">
        <f>C35</f>
        <v>1269</v>
      </c>
      <c r="O35" s="289">
        <f>ROUNDUP((C35*2+F35)/3,0)</f>
        <v>963</v>
      </c>
      <c r="P35" s="289">
        <f>ROUNDUP((C35*2+F35+G35)/4,0)</f>
        <v>930</v>
      </c>
      <c r="Q35" s="289">
        <f>P35</f>
        <v>930</v>
      </c>
      <c r="R35" s="286"/>
      <c r="S35" s="288">
        <f>I35-H35</f>
        <v>260</v>
      </c>
      <c r="T35" s="288">
        <f>D35-C35</f>
        <v>130</v>
      </c>
      <c r="U35" s="289">
        <f>ROUNDUP((D35*2+F35)/3,0)-O35</f>
        <v>87</v>
      </c>
      <c r="V35" s="289">
        <f>ROUNDUP((D35*2+F35+G35)/4,0)-P35</f>
        <v>65</v>
      </c>
      <c r="W35" s="289">
        <f>V35</f>
        <v>65</v>
      </c>
      <c r="X35" s="286"/>
      <c r="Y35" s="288">
        <f>J35-H35</f>
        <v>560</v>
      </c>
      <c r="Z35" s="288">
        <f>E35-C35</f>
        <v>280</v>
      </c>
      <c r="AA35" s="289">
        <f>ROUNDUP((E35*2+F35)/3,0)-O35</f>
        <v>187</v>
      </c>
      <c r="AB35" s="289">
        <f>ROUNDUP((E35*2+F35+G35)/4,0)-P35</f>
        <v>140</v>
      </c>
      <c r="AC35" s="289">
        <f>AB35</f>
        <v>140</v>
      </c>
    </row>
    <row r="36" spans="1:29" ht="15.75" thickBot="1">
      <c r="A36" s="254"/>
      <c r="B36" s="279">
        <v>41634</v>
      </c>
      <c r="C36" s="280">
        <v>1269</v>
      </c>
      <c r="D36" s="280">
        <v>1399</v>
      </c>
      <c r="E36" s="280">
        <v>1549</v>
      </c>
      <c r="F36" s="280">
        <v>350</v>
      </c>
      <c r="G36" s="280">
        <v>829</v>
      </c>
      <c r="H36" s="280">
        <v>1988</v>
      </c>
      <c r="I36" s="280">
        <v>2248</v>
      </c>
      <c r="J36" s="280">
        <v>2548</v>
      </c>
      <c r="K36" s="273"/>
      <c r="M36" s="287">
        <f>H36</f>
        <v>1988</v>
      </c>
      <c r="N36" s="288">
        <f>C36</f>
        <v>1269</v>
      </c>
      <c r="O36" s="289">
        <f>ROUNDUP((C36*2+F36)/3,0)</f>
        <v>963</v>
      </c>
      <c r="P36" s="289">
        <f>ROUNDUP((C36*2+F36+G36)/4,0)</f>
        <v>930</v>
      </c>
      <c r="Q36" s="289">
        <f>P36</f>
        <v>930</v>
      </c>
      <c r="R36" s="286"/>
      <c r="S36" s="288">
        <f>I36-H36</f>
        <v>260</v>
      </c>
      <c r="T36" s="288">
        <f>D36-C36</f>
        <v>130</v>
      </c>
      <c r="U36" s="289">
        <f>ROUNDUP((D36*2+F36)/3,0)-O36</f>
        <v>87</v>
      </c>
      <c r="V36" s="289">
        <f>ROUNDUP((D36*2+F36+G36)/4,0)-P36</f>
        <v>65</v>
      </c>
      <c r="W36" s="289">
        <f>V36</f>
        <v>65</v>
      </c>
      <c r="X36" s="286"/>
      <c r="Y36" s="288">
        <f>J36-H36</f>
        <v>560</v>
      </c>
      <c r="Z36" s="288">
        <f>E36-C36</f>
        <v>280</v>
      </c>
      <c r="AA36" s="289">
        <f>ROUNDUP((E36*2+F36)/3,0)-O36</f>
        <v>187</v>
      </c>
      <c r="AB36" s="289">
        <f>ROUNDUP((E36*2+F36+G36)/4,0)-P36</f>
        <v>140</v>
      </c>
      <c r="AC36" s="289">
        <f>AB36</f>
        <v>140</v>
      </c>
    </row>
    <row r="37" spans="1:29" ht="15.75" thickBot="1">
      <c r="A37" s="254"/>
      <c r="B37" s="283"/>
      <c r="C37" s="284"/>
      <c r="D37" s="284"/>
      <c r="E37" s="284"/>
      <c r="F37" s="284"/>
      <c r="G37" s="284"/>
      <c r="H37" s="284"/>
      <c r="I37" s="284"/>
      <c r="J37" s="284"/>
      <c r="K37" s="273"/>
    </row>
    <row r="38" spans="1:29" ht="15.75" thickBot="1">
      <c r="A38" s="254"/>
      <c r="B38" s="282"/>
      <c r="C38" s="278"/>
      <c r="D38" s="278"/>
      <c r="E38" s="278"/>
      <c r="F38" s="278"/>
      <c r="G38" s="278"/>
      <c r="H38" s="278"/>
      <c r="I38" s="278"/>
      <c r="J38" s="257"/>
      <c r="K38" s="257"/>
    </row>
  </sheetData>
  <mergeCells count="20">
    <mergeCell ref="B32:B33"/>
    <mergeCell ref="C32:E32"/>
    <mergeCell ref="H32:J32"/>
    <mergeCell ref="B11:J11"/>
    <mergeCell ref="B12:B13"/>
    <mergeCell ref="C12:E12"/>
    <mergeCell ref="H12:J12"/>
    <mergeCell ref="A20:I20"/>
    <mergeCell ref="B21:J21"/>
    <mergeCell ref="B22:B23"/>
    <mergeCell ref="C22:E22"/>
    <mergeCell ref="H22:J22"/>
    <mergeCell ref="A30:I30"/>
    <mergeCell ref="B31:J31"/>
    <mergeCell ref="A10:I10"/>
    <mergeCell ref="A1:I1"/>
    <mergeCell ref="B2:J2"/>
    <mergeCell ref="B3:B4"/>
    <mergeCell ref="C3:E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1"/>
  <sheetViews>
    <sheetView workbookViewId="0">
      <selection activeCell="F40" sqref="F40"/>
    </sheetView>
  </sheetViews>
  <sheetFormatPr defaultRowHeight="15"/>
  <cols>
    <col min="3" max="3" width="10.28515625" customWidth="1"/>
    <col min="4" max="4" width="28.85546875" customWidth="1"/>
    <col min="5" max="5" width="27.28515625" customWidth="1"/>
    <col min="6" max="6" width="15" customWidth="1"/>
    <col min="7" max="7" width="39" customWidth="1"/>
    <col min="8" max="8" width="44" customWidth="1"/>
  </cols>
  <sheetData>
    <row r="4" spans="2:8" ht="18" customHeight="1">
      <c r="B4" s="355" t="s">
        <v>168</v>
      </c>
      <c r="C4" s="356"/>
      <c r="D4" s="356"/>
      <c r="E4" s="63"/>
      <c r="F4" s="63"/>
      <c r="G4" s="63"/>
      <c r="H4" s="63"/>
    </row>
    <row r="5" spans="2:8">
      <c r="B5" s="64" t="s">
        <v>169</v>
      </c>
      <c r="C5" s="64" t="s">
        <v>170</v>
      </c>
      <c r="D5" s="64" t="s">
        <v>144</v>
      </c>
      <c r="E5" s="64" t="s">
        <v>100</v>
      </c>
      <c r="F5" s="64" t="s">
        <v>171</v>
      </c>
      <c r="G5" s="64" t="s">
        <v>172</v>
      </c>
      <c r="H5" s="64" t="s">
        <v>173</v>
      </c>
    </row>
    <row r="6" spans="2:8" ht="32.450000000000003" customHeight="1">
      <c r="B6" s="65">
        <v>2853</v>
      </c>
      <c r="C6" s="65" t="s">
        <v>140</v>
      </c>
      <c r="D6" s="66" t="s">
        <v>174</v>
      </c>
      <c r="E6" s="67" t="s">
        <v>175</v>
      </c>
      <c r="F6" s="67"/>
      <c r="G6" s="66" t="s">
        <v>176</v>
      </c>
      <c r="H6" s="68"/>
    </row>
    <row r="7" spans="2:8" ht="36" customHeight="1">
      <c r="B7" s="65">
        <v>2854</v>
      </c>
      <c r="C7" s="65" t="s">
        <v>141</v>
      </c>
      <c r="D7" s="66" t="s">
        <v>177</v>
      </c>
      <c r="E7" s="67" t="s">
        <v>178</v>
      </c>
      <c r="F7" s="67"/>
      <c r="G7" s="66" t="s">
        <v>179</v>
      </c>
      <c r="H7" s="69" t="s">
        <v>180</v>
      </c>
    </row>
    <row r="8" spans="2:8" ht="38.450000000000003" customHeight="1">
      <c r="B8" s="65">
        <v>2855</v>
      </c>
      <c r="C8" s="65" t="s">
        <v>136</v>
      </c>
      <c r="D8" s="70" t="s">
        <v>181</v>
      </c>
      <c r="E8" s="71" t="s">
        <v>182</v>
      </c>
      <c r="F8" s="69" t="s">
        <v>183</v>
      </c>
      <c r="G8" s="69" t="s">
        <v>179</v>
      </c>
      <c r="H8" s="69" t="s">
        <v>180</v>
      </c>
    </row>
    <row r="9" spans="2:8" ht="24.95" customHeight="1">
      <c r="B9" s="65">
        <v>2856</v>
      </c>
      <c r="C9" s="65" t="s">
        <v>137</v>
      </c>
      <c r="D9" s="69" t="s">
        <v>184</v>
      </c>
      <c r="E9" s="71" t="s">
        <v>182</v>
      </c>
      <c r="F9" s="69" t="s">
        <v>183</v>
      </c>
      <c r="G9" s="69" t="s">
        <v>179</v>
      </c>
      <c r="H9" s="68"/>
    </row>
    <row r="10" spans="2:8" ht="24.95" customHeight="1">
      <c r="B10" s="65">
        <v>2858</v>
      </c>
      <c r="C10" s="65" t="s">
        <v>138</v>
      </c>
      <c r="D10" s="69" t="s">
        <v>185</v>
      </c>
      <c r="E10" s="71" t="s">
        <v>182</v>
      </c>
      <c r="F10" s="69" t="s">
        <v>183</v>
      </c>
      <c r="G10" s="69" t="s">
        <v>179</v>
      </c>
      <c r="H10" s="68"/>
    </row>
    <row r="11" spans="2:8" ht="24.95" customHeight="1">
      <c r="B11" s="65">
        <v>2859</v>
      </c>
      <c r="C11" s="65" t="s">
        <v>139</v>
      </c>
      <c r="D11" s="69" t="s">
        <v>186</v>
      </c>
      <c r="E11" s="71" t="s">
        <v>182</v>
      </c>
      <c r="F11" s="69" t="s">
        <v>183</v>
      </c>
      <c r="G11" s="69" t="s">
        <v>179</v>
      </c>
      <c r="H11" s="68"/>
    </row>
    <row r="12" spans="2:8">
      <c r="B12" s="72"/>
      <c r="C12" s="72"/>
      <c r="D12" s="73"/>
      <c r="E12" s="73"/>
      <c r="F12" s="73"/>
      <c r="G12" s="73"/>
      <c r="H12" s="74"/>
    </row>
    <row r="13" spans="2:8">
      <c r="B13" s="72"/>
      <c r="C13" s="72"/>
      <c r="D13" s="73"/>
      <c r="E13" s="73"/>
      <c r="F13" s="73"/>
      <c r="G13" s="73"/>
      <c r="H13" s="74"/>
    </row>
    <row r="14" spans="2:8">
      <c r="B14" s="9"/>
      <c r="C14" s="72"/>
      <c r="D14" s="73"/>
      <c r="E14" s="73"/>
      <c r="F14" s="73"/>
      <c r="G14" s="73"/>
      <c r="H14" s="74"/>
    </row>
    <row r="15" spans="2:8" ht="21.75">
      <c r="B15" s="75" t="s">
        <v>187</v>
      </c>
      <c r="C15" s="76"/>
      <c r="D15" s="73"/>
      <c r="E15" s="73"/>
      <c r="F15" s="73"/>
      <c r="G15" s="73"/>
      <c r="H15" s="74"/>
    </row>
    <row r="16" spans="2:8">
      <c r="B16" s="9"/>
      <c r="C16" s="72"/>
      <c r="D16" s="73"/>
      <c r="E16" s="73"/>
      <c r="F16" s="73"/>
      <c r="G16" s="73"/>
      <c r="H16" s="74"/>
    </row>
    <row r="17" spans="2:8" ht="21.75">
      <c r="B17" s="77" t="s">
        <v>188</v>
      </c>
      <c r="C17" s="72"/>
      <c r="D17" s="73"/>
      <c r="E17" s="73"/>
      <c r="F17" s="73"/>
      <c r="G17" s="73"/>
      <c r="H17" s="74"/>
    </row>
    <row r="18" spans="2:8">
      <c r="B18" s="9"/>
      <c r="C18" s="72"/>
      <c r="D18" s="73"/>
      <c r="E18" s="73"/>
      <c r="F18" s="73"/>
      <c r="G18" s="73"/>
      <c r="H18" s="74"/>
    </row>
    <row r="19" spans="2:8" ht="21">
      <c r="B19" s="78" t="s">
        <v>189</v>
      </c>
      <c r="C19" s="72"/>
      <c r="D19" s="73"/>
      <c r="E19" s="73"/>
      <c r="F19" s="73"/>
      <c r="G19" s="73"/>
      <c r="H19" s="74"/>
    </row>
    <row r="20" spans="2:8">
      <c r="B20" s="9"/>
      <c r="C20" s="72"/>
      <c r="D20" s="73"/>
      <c r="E20" s="73"/>
      <c r="F20" s="73"/>
      <c r="G20" s="73"/>
      <c r="H20" s="74"/>
    </row>
    <row r="21" spans="2:8" ht="21.75">
      <c r="B21" s="78" t="s">
        <v>190</v>
      </c>
      <c r="C21" s="72"/>
      <c r="D21" s="73"/>
      <c r="E21" s="73"/>
      <c r="F21" s="73"/>
      <c r="G21" s="73"/>
      <c r="H21" s="74"/>
    </row>
    <row r="22" spans="2:8">
      <c r="B22" s="9"/>
      <c r="C22" s="72"/>
      <c r="D22" s="73"/>
      <c r="E22" s="73"/>
      <c r="F22" s="73"/>
      <c r="G22" s="73"/>
      <c r="H22" s="74"/>
    </row>
    <row r="23" spans="2:8" ht="21.75">
      <c r="B23" s="77" t="s">
        <v>191</v>
      </c>
      <c r="C23" s="72"/>
      <c r="D23" s="73"/>
      <c r="E23" s="73"/>
      <c r="F23" s="73"/>
      <c r="G23" s="73"/>
      <c r="H23" s="74"/>
    </row>
    <row r="24" spans="2:8">
      <c r="B24" s="9"/>
      <c r="C24" s="72"/>
      <c r="D24" s="73"/>
      <c r="E24" s="73"/>
      <c r="F24" s="73"/>
      <c r="G24" s="73"/>
      <c r="H24" s="74"/>
    </row>
    <row r="25" spans="2:8" ht="21.75">
      <c r="B25" s="79" t="s">
        <v>192</v>
      </c>
      <c r="C25" s="72"/>
      <c r="D25" s="73"/>
      <c r="E25" s="73"/>
      <c r="F25" s="73"/>
      <c r="G25" s="73"/>
      <c r="H25" s="74"/>
    </row>
    <row r="26" spans="2:8">
      <c r="B26" s="9"/>
      <c r="C26" s="72"/>
      <c r="D26" s="80"/>
      <c r="E26" s="80"/>
      <c r="F26" s="80"/>
      <c r="G26" s="80"/>
      <c r="H26" s="9"/>
    </row>
    <row r="27" spans="2:8" ht="21.75">
      <c r="B27" s="79" t="s">
        <v>193</v>
      </c>
      <c r="C27" s="72"/>
      <c r="D27" s="9"/>
      <c r="E27" s="9"/>
      <c r="F27" s="9"/>
      <c r="G27" s="9"/>
      <c r="H27" s="9"/>
    </row>
    <row r="28" spans="2:8">
      <c r="C28" s="81"/>
    </row>
    <row r="29" spans="2:8">
      <c r="B29" s="82"/>
      <c r="C29" s="81"/>
    </row>
    <row r="30" spans="2:8">
      <c r="B30" s="81"/>
      <c r="C30" s="81"/>
    </row>
    <row r="31" spans="2:8">
      <c r="B31" s="81"/>
      <c r="C31" s="81"/>
    </row>
  </sheetData>
  <mergeCells count="1">
    <mergeCell ref="B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A17" sqref="A17"/>
    </sheetView>
  </sheetViews>
  <sheetFormatPr defaultRowHeight="15"/>
  <cols>
    <col min="1" max="1" width="9.140625" style="129"/>
    <col min="2" max="2" width="35" style="129" bestFit="1" customWidth="1"/>
    <col min="3" max="5" width="9.140625" style="129"/>
    <col min="6" max="6" width="11.7109375" style="129" bestFit="1" customWidth="1"/>
    <col min="7" max="16384" width="9.140625" style="129"/>
  </cols>
  <sheetData>
    <row r="1" spans="1:28">
      <c r="F1" s="129" t="s">
        <v>389</v>
      </c>
      <c r="P1" s="18"/>
      <c r="Q1" s="18"/>
      <c r="R1" s="129" t="s">
        <v>374</v>
      </c>
    </row>
    <row r="2" spans="1:28">
      <c r="D2" s="129" t="s">
        <v>375</v>
      </c>
      <c r="J2" s="129" t="s">
        <v>376</v>
      </c>
      <c r="P2" s="129" t="s">
        <v>377</v>
      </c>
      <c r="W2" s="129" t="s">
        <v>378</v>
      </c>
    </row>
    <row r="3" spans="1:28">
      <c r="A3" s="129" t="s">
        <v>89</v>
      </c>
      <c r="B3" s="129" t="s">
        <v>0</v>
      </c>
      <c r="C3" s="129" t="s">
        <v>145</v>
      </c>
      <c r="D3" s="129" t="s">
        <v>379</v>
      </c>
      <c r="E3" s="129" t="s">
        <v>384</v>
      </c>
      <c r="F3" s="129" t="s">
        <v>380</v>
      </c>
      <c r="G3" s="129" t="s">
        <v>381</v>
      </c>
      <c r="H3" s="129" t="s">
        <v>382</v>
      </c>
      <c r="J3" s="129" t="s">
        <v>379</v>
      </c>
      <c r="K3" s="129" t="s">
        <v>384</v>
      </c>
      <c r="L3" s="129" t="s">
        <v>380</v>
      </c>
      <c r="M3" s="129" t="s">
        <v>381</v>
      </c>
      <c r="N3" s="129" t="s">
        <v>382</v>
      </c>
      <c r="P3" s="129" t="s">
        <v>379</v>
      </c>
      <c r="Q3" s="129" t="s">
        <v>77</v>
      </c>
      <c r="R3" s="129" t="s">
        <v>383</v>
      </c>
      <c r="S3" s="129" t="s">
        <v>364</v>
      </c>
      <c r="T3" s="129" t="s">
        <v>365</v>
      </c>
      <c r="U3" s="129" t="s">
        <v>366</v>
      </c>
      <c r="W3" s="129" t="s">
        <v>379</v>
      </c>
      <c r="X3" s="129" t="s">
        <v>77</v>
      </c>
      <c r="Y3" s="129" t="s">
        <v>383</v>
      </c>
      <c r="Z3" s="129" t="s">
        <v>364</v>
      </c>
      <c r="AA3" s="129" t="s">
        <v>365</v>
      </c>
      <c r="AB3" s="129" t="s">
        <v>366</v>
      </c>
    </row>
    <row r="4" spans="1:28" ht="15.75">
      <c r="A4" s="129" t="s">
        <v>406</v>
      </c>
      <c r="B4" s="291" t="s">
        <v>385</v>
      </c>
      <c r="C4" s="81">
        <v>8</v>
      </c>
      <c r="D4" s="146">
        <v>965</v>
      </c>
      <c r="E4" s="146">
        <v>735</v>
      </c>
      <c r="F4" s="146">
        <v>670</v>
      </c>
      <c r="G4" s="146">
        <v>0</v>
      </c>
      <c r="H4" s="146">
        <v>0</v>
      </c>
      <c r="I4" s="18"/>
      <c r="J4" s="298">
        <f t="shared" ref="J4:J12" si="0">D4*0.7</f>
        <v>675.5</v>
      </c>
      <c r="K4" s="298">
        <f t="shared" ref="K4:K12" si="1">E4*0.7</f>
        <v>514.5</v>
      </c>
      <c r="L4" s="298">
        <f t="shared" ref="L4:L12" si="2">F4*0.7</f>
        <v>468.99999999999994</v>
      </c>
      <c r="M4" s="298">
        <f t="shared" ref="M4:M12" si="3">G4*0.7</f>
        <v>0</v>
      </c>
      <c r="N4" s="298">
        <f t="shared" ref="N4:N12" si="4">H4*0.7</f>
        <v>0</v>
      </c>
      <c r="O4" s="18"/>
      <c r="P4" s="286">
        <f>D4</f>
        <v>965</v>
      </c>
      <c r="Q4" s="286">
        <f>E4</f>
        <v>735</v>
      </c>
      <c r="R4" s="4">
        <f>F4</f>
        <v>670</v>
      </c>
      <c r="S4" s="4">
        <f>ROUNDUP((F4*2+G4)/3,0)</f>
        <v>447</v>
      </c>
      <c r="T4" s="4">
        <f>ROUNDUP((F4*2+G4+H4)/4,0)</f>
        <v>335</v>
      </c>
      <c r="U4" s="286">
        <f>T4</f>
        <v>335</v>
      </c>
      <c r="V4" s="4"/>
      <c r="W4" s="292">
        <f>J4</f>
        <v>675.5</v>
      </c>
      <c r="X4" s="292">
        <f>K4</f>
        <v>514.5</v>
      </c>
      <c r="Y4" s="292">
        <f>L4</f>
        <v>468.99999999999994</v>
      </c>
      <c r="Z4" s="292">
        <f>(L4*2+M4)/3</f>
        <v>312.66666666666663</v>
      </c>
      <c r="AA4" s="292">
        <f>(L4*2+M4+N4)/4</f>
        <v>234.49999999999997</v>
      </c>
      <c r="AB4" s="292">
        <f>AA4</f>
        <v>234.49999999999997</v>
      </c>
    </row>
    <row r="5" spans="1:28" ht="15.75">
      <c r="A5" s="129" t="s">
        <v>407</v>
      </c>
      <c r="B5" s="291" t="s">
        <v>386</v>
      </c>
      <c r="C5" s="81">
        <v>8</v>
      </c>
      <c r="D5" s="146">
        <v>738</v>
      </c>
      <c r="E5" s="146">
        <v>613</v>
      </c>
      <c r="F5" s="146">
        <v>548</v>
      </c>
      <c r="G5" s="146">
        <v>0</v>
      </c>
      <c r="H5" s="146">
        <v>0</v>
      </c>
      <c r="I5" s="18"/>
      <c r="J5" s="298">
        <f t="shared" si="0"/>
        <v>516.6</v>
      </c>
      <c r="K5" s="298">
        <f t="shared" si="1"/>
        <v>429.09999999999997</v>
      </c>
      <c r="L5" s="298">
        <f t="shared" si="2"/>
        <v>383.59999999999997</v>
      </c>
      <c r="M5" s="298">
        <f t="shared" si="3"/>
        <v>0</v>
      </c>
      <c r="N5" s="298">
        <f t="shared" si="4"/>
        <v>0</v>
      </c>
      <c r="O5" s="18"/>
      <c r="P5" s="286">
        <f t="shared" ref="P5:P14" si="5">D5</f>
        <v>738</v>
      </c>
      <c r="Q5" s="286">
        <f t="shared" ref="Q5:Q14" si="6">E5</f>
        <v>613</v>
      </c>
      <c r="R5" s="4">
        <f t="shared" ref="R5:R14" si="7">F5</f>
        <v>548</v>
      </c>
      <c r="S5" s="4">
        <f t="shared" ref="S5:S14" si="8">ROUNDUP((F5*2+G5)/3,0)</f>
        <v>366</v>
      </c>
      <c r="T5" s="4">
        <f t="shared" ref="T5:T14" si="9">ROUNDUP((F5*2+G5+H5)/4,0)</f>
        <v>274</v>
      </c>
      <c r="U5" s="286">
        <f t="shared" ref="U5:U16" si="10">T5</f>
        <v>274</v>
      </c>
      <c r="V5" s="18"/>
      <c r="W5" s="292">
        <f t="shared" ref="W5:W14" si="11">J5</f>
        <v>516.6</v>
      </c>
      <c r="X5" s="292">
        <f t="shared" ref="X5:X14" si="12">K5</f>
        <v>429.09999999999997</v>
      </c>
      <c r="Y5" s="292">
        <f t="shared" ref="Y5:Y14" si="13">L5</f>
        <v>383.59999999999997</v>
      </c>
      <c r="Z5" s="292">
        <f t="shared" ref="Z5:Z14" si="14">(L5*2+M5)/3</f>
        <v>255.73333333333332</v>
      </c>
      <c r="AA5" s="292">
        <f>(L5*2+M5+N5)/4</f>
        <v>191.79999999999998</v>
      </c>
      <c r="AB5" s="292">
        <f>AA5</f>
        <v>191.79999999999998</v>
      </c>
    </row>
    <row r="6" spans="1:28" ht="15.75">
      <c r="A6" s="129" t="s">
        <v>408</v>
      </c>
      <c r="B6" s="293" t="s">
        <v>387</v>
      </c>
      <c r="C6" s="81">
        <v>11</v>
      </c>
      <c r="D6" s="146">
        <v>1345</v>
      </c>
      <c r="E6" s="146">
        <v>1010</v>
      </c>
      <c r="F6" s="146">
        <v>945</v>
      </c>
      <c r="G6" s="146">
        <v>0</v>
      </c>
      <c r="H6" s="146">
        <v>0</v>
      </c>
      <c r="I6" s="18"/>
      <c r="J6" s="298">
        <f t="shared" si="0"/>
        <v>941.49999999999989</v>
      </c>
      <c r="K6" s="298">
        <f t="shared" si="1"/>
        <v>707</v>
      </c>
      <c r="L6" s="298">
        <f t="shared" si="2"/>
        <v>661.5</v>
      </c>
      <c r="M6" s="298">
        <f t="shared" si="3"/>
        <v>0</v>
      </c>
      <c r="N6" s="298">
        <f t="shared" si="4"/>
        <v>0</v>
      </c>
      <c r="O6" s="18"/>
      <c r="P6" s="286">
        <f t="shared" si="5"/>
        <v>1345</v>
      </c>
      <c r="Q6" s="286">
        <f t="shared" si="6"/>
        <v>1010</v>
      </c>
      <c r="R6" s="4">
        <f t="shared" si="7"/>
        <v>945</v>
      </c>
      <c r="S6" s="4">
        <f t="shared" si="8"/>
        <v>630</v>
      </c>
      <c r="T6" s="4">
        <f t="shared" si="9"/>
        <v>473</v>
      </c>
      <c r="U6" s="286">
        <f t="shared" si="10"/>
        <v>473</v>
      </c>
      <c r="V6" s="18"/>
      <c r="W6" s="292">
        <f t="shared" si="11"/>
        <v>941.49999999999989</v>
      </c>
      <c r="X6" s="292">
        <f>K6</f>
        <v>707</v>
      </c>
      <c r="Y6" s="292">
        <f t="shared" si="13"/>
        <v>661.5</v>
      </c>
      <c r="Z6" s="292">
        <f t="shared" si="14"/>
        <v>441</v>
      </c>
      <c r="AA6" s="292">
        <f t="shared" ref="AA6:AA14" si="15">(L6*2+M6+N6)/4</f>
        <v>330.75</v>
      </c>
      <c r="AB6" s="292">
        <f t="shared" ref="AB6:AB17" si="16">AA6</f>
        <v>330.75</v>
      </c>
    </row>
    <row r="7" spans="1:28" ht="15.75">
      <c r="A7" s="129" t="s">
        <v>409</v>
      </c>
      <c r="B7" s="293" t="s">
        <v>388</v>
      </c>
      <c r="C7" s="81">
        <v>11</v>
      </c>
      <c r="D7" s="146">
        <v>1445</v>
      </c>
      <c r="E7" s="146">
        <v>1060</v>
      </c>
      <c r="F7" s="146">
        <v>995</v>
      </c>
      <c r="G7" s="146">
        <v>0</v>
      </c>
      <c r="H7" s="146">
        <v>0</v>
      </c>
      <c r="I7" s="18"/>
      <c r="J7" s="298">
        <f t="shared" si="0"/>
        <v>1011.4999999999999</v>
      </c>
      <c r="K7" s="298">
        <f t="shared" si="1"/>
        <v>742</v>
      </c>
      <c r="L7" s="298">
        <f t="shared" si="2"/>
        <v>696.5</v>
      </c>
      <c r="M7" s="298">
        <f t="shared" si="3"/>
        <v>0</v>
      </c>
      <c r="N7" s="298">
        <f t="shared" si="4"/>
        <v>0</v>
      </c>
      <c r="O7" s="18"/>
      <c r="P7" s="286">
        <f t="shared" si="5"/>
        <v>1445</v>
      </c>
      <c r="Q7" s="286">
        <f t="shared" si="6"/>
        <v>1060</v>
      </c>
      <c r="R7" s="4">
        <f t="shared" si="7"/>
        <v>995</v>
      </c>
      <c r="S7" s="4">
        <f t="shared" si="8"/>
        <v>664</v>
      </c>
      <c r="T7" s="4">
        <f t="shared" si="9"/>
        <v>498</v>
      </c>
      <c r="U7" s="286">
        <f t="shared" si="10"/>
        <v>498</v>
      </c>
      <c r="V7" s="18"/>
      <c r="W7" s="292">
        <f t="shared" si="11"/>
        <v>1011.4999999999999</v>
      </c>
      <c r="X7" s="292">
        <f t="shared" si="12"/>
        <v>742</v>
      </c>
      <c r="Y7" s="292">
        <f t="shared" si="13"/>
        <v>696.5</v>
      </c>
      <c r="Z7" s="292">
        <f t="shared" si="14"/>
        <v>464.33333333333331</v>
      </c>
      <c r="AA7" s="292">
        <f t="shared" si="15"/>
        <v>348.25</v>
      </c>
      <c r="AB7" s="292">
        <f t="shared" si="16"/>
        <v>348.25</v>
      </c>
    </row>
    <row r="8" spans="1:28" ht="15.75">
      <c r="A8" s="129" t="s">
        <v>410</v>
      </c>
      <c r="B8" s="293" t="s">
        <v>390</v>
      </c>
      <c r="C8" s="81">
        <v>7</v>
      </c>
      <c r="D8" s="146">
        <v>850</v>
      </c>
      <c r="E8" s="146">
        <v>660</v>
      </c>
      <c r="F8" s="146">
        <v>595</v>
      </c>
      <c r="G8" s="146">
        <v>0</v>
      </c>
      <c r="H8" s="146">
        <v>0</v>
      </c>
      <c r="I8" s="18"/>
      <c r="J8" s="146">
        <f t="shared" si="0"/>
        <v>595</v>
      </c>
      <c r="K8" s="146">
        <f t="shared" si="1"/>
        <v>461.99999999999994</v>
      </c>
      <c r="L8" s="298">
        <f t="shared" si="2"/>
        <v>416.5</v>
      </c>
      <c r="M8" s="298">
        <f t="shared" si="3"/>
        <v>0</v>
      </c>
      <c r="N8" s="298">
        <f t="shared" si="4"/>
        <v>0</v>
      </c>
      <c r="O8" s="18"/>
      <c r="P8" s="286">
        <f t="shared" si="5"/>
        <v>850</v>
      </c>
      <c r="Q8" s="286">
        <f t="shared" si="6"/>
        <v>660</v>
      </c>
      <c r="R8" s="4">
        <f t="shared" si="7"/>
        <v>595</v>
      </c>
      <c r="S8" s="4">
        <f t="shared" si="8"/>
        <v>397</v>
      </c>
      <c r="T8" s="4">
        <f t="shared" si="9"/>
        <v>298</v>
      </c>
      <c r="U8" s="286">
        <f t="shared" si="10"/>
        <v>298</v>
      </c>
      <c r="V8" s="18"/>
      <c r="W8" s="292">
        <f t="shared" si="11"/>
        <v>595</v>
      </c>
      <c r="X8" s="292">
        <f t="shared" si="12"/>
        <v>461.99999999999994</v>
      </c>
      <c r="Y8" s="292">
        <f t="shared" si="13"/>
        <v>416.5</v>
      </c>
      <c r="Z8" s="292">
        <f t="shared" si="14"/>
        <v>277.66666666666669</v>
      </c>
      <c r="AA8" s="292">
        <f t="shared" si="15"/>
        <v>208.25</v>
      </c>
      <c r="AB8" s="292">
        <f t="shared" si="16"/>
        <v>208.25</v>
      </c>
    </row>
    <row r="9" spans="1:28" ht="15.75">
      <c r="A9" s="129" t="s">
        <v>411</v>
      </c>
      <c r="B9" s="293" t="s">
        <v>391</v>
      </c>
      <c r="C9" s="81">
        <v>8</v>
      </c>
      <c r="D9" s="146">
        <v>965</v>
      </c>
      <c r="E9" s="146">
        <v>735</v>
      </c>
      <c r="F9" s="146">
        <v>670</v>
      </c>
      <c r="G9" s="146">
        <v>0</v>
      </c>
      <c r="H9" s="146">
        <v>0</v>
      </c>
      <c r="I9" s="18"/>
      <c r="J9" s="146">
        <f t="shared" si="0"/>
        <v>675.5</v>
      </c>
      <c r="K9" s="146">
        <f t="shared" si="1"/>
        <v>514.5</v>
      </c>
      <c r="L9" s="298">
        <f t="shared" si="2"/>
        <v>468.99999999999994</v>
      </c>
      <c r="M9" s="298">
        <f t="shared" si="3"/>
        <v>0</v>
      </c>
      <c r="N9" s="298">
        <f t="shared" si="4"/>
        <v>0</v>
      </c>
      <c r="O9" s="18"/>
      <c r="P9" s="286">
        <f t="shared" si="5"/>
        <v>965</v>
      </c>
      <c r="Q9" s="286">
        <f t="shared" si="6"/>
        <v>735</v>
      </c>
      <c r="R9" s="4">
        <f t="shared" si="7"/>
        <v>670</v>
      </c>
      <c r="S9" s="4">
        <f t="shared" si="8"/>
        <v>447</v>
      </c>
      <c r="T9" s="4">
        <f t="shared" si="9"/>
        <v>335</v>
      </c>
      <c r="U9" s="286">
        <f t="shared" si="10"/>
        <v>335</v>
      </c>
      <c r="V9" s="18"/>
      <c r="W9" s="292">
        <f t="shared" si="11"/>
        <v>675.5</v>
      </c>
      <c r="X9" s="292">
        <f t="shared" si="12"/>
        <v>514.5</v>
      </c>
      <c r="Y9" s="292">
        <f t="shared" si="13"/>
        <v>468.99999999999994</v>
      </c>
      <c r="Z9" s="292">
        <f t="shared" si="14"/>
        <v>312.66666666666663</v>
      </c>
      <c r="AA9" s="292">
        <f t="shared" si="15"/>
        <v>234.49999999999997</v>
      </c>
      <c r="AB9" s="292">
        <f t="shared" si="16"/>
        <v>234.49999999999997</v>
      </c>
    </row>
    <row r="10" spans="1:28" ht="15.75">
      <c r="A10" s="129" t="s">
        <v>418</v>
      </c>
      <c r="B10" s="295" t="s">
        <v>392</v>
      </c>
      <c r="C10" s="81">
        <v>13</v>
      </c>
      <c r="D10" s="146">
        <v>1825</v>
      </c>
      <c r="E10" s="146">
        <v>1410</v>
      </c>
      <c r="F10" s="146">
        <v>1345</v>
      </c>
      <c r="G10" s="146">
        <v>0</v>
      </c>
      <c r="H10" s="146">
        <v>0</v>
      </c>
      <c r="I10" s="18"/>
      <c r="J10" s="146">
        <f t="shared" si="0"/>
        <v>1277.5</v>
      </c>
      <c r="K10" s="146">
        <f t="shared" si="1"/>
        <v>986.99999999999989</v>
      </c>
      <c r="L10" s="298">
        <f t="shared" si="2"/>
        <v>941.49999999999989</v>
      </c>
      <c r="M10" s="298">
        <f t="shared" si="3"/>
        <v>0</v>
      </c>
      <c r="N10" s="298">
        <f t="shared" si="4"/>
        <v>0</v>
      </c>
      <c r="O10" s="18"/>
      <c r="P10" s="286">
        <f t="shared" si="5"/>
        <v>1825</v>
      </c>
      <c r="Q10" s="286">
        <f t="shared" si="6"/>
        <v>1410</v>
      </c>
      <c r="R10" s="4">
        <f t="shared" si="7"/>
        <v>1345</v>
      </c>
      <c r="S10" s="4">
        <f t="shared" si="8"/>
        <v>897</v>
      </c>
      <c r="T10" s="4">
        <f t="shared" si="9"/>
        <v>673</v>
      </c>
      <c r="U10" s="286">
        <f t="shared" si="10"/>
        <v>673</v>
      </c>
      <c r="V10" s="18"/>
      <c r="W10" s="292">
        <f t="shared" si="11"/>
        <v>1277.5</v>
      </c>
      <c r="X10" s="292">
        <f t="shared" si="12"/>
        <v>986.99999999999989</v>
      </c>
      <c r="Y10" s="292">
        <f t="shared" si="13"/>
        <v>941.49999999999989</v>
      </c>
      <c r="Z10" s="292">
        <f t="shared" si="14"/>
        <v>627.66666666666663</v>
      </c>
      <c r="AA10" s="292">
        <f t="shared" si="15"/>
        <v>470.74999999999994</v>
      </c>
      <c r="AB10" s="292">
        <f t="shared" si="16"/>
        <v>470.74999999999994</v>
      </c>
    </row>
    <row r="11" spans="1:28">
      <c r="A11" s="129" t="s">
        <v>412</v>
      </c>
      <c r="B11" s="296" t="s">
        <v>393</v>
      </c>
      <c r="C11" s="81">
        <v>6</v>
      </c>
      <c r="D11" s="146">
        <v>720</v>
      </c>
      <c r="E11" s="146">
        <v>575</v>
      </c>
      <c r="F11" s="146">
        <v>510</v>
      </c>
      <c r="G11" s="146">
        <v>0</v>
      </c>
      <c r="H11" s="146">
        <v>0</v>
      </c>
      <c r="I11" s="18"/>
      <c r="J11" s="146">
        <f t="shared" si="0"/>
        <v>503.99999999999994</v>
      </c>
      <c r="K11" s="146">
        <f t="shared" si="1"/>
        <v>402.5</v>
      </c>
      <c r="L11" s="298">
        <f t="shared" si="2"/>
        <v>357</v>
      </c>
      <c r="M11" s="298">
        <f t="shared" si="3"/>
        <v>0</v>
      </c>
      <c r="N11" s="298">
        <f t="shared" si="4"/>
        <v>0</v>
      </c>
      <c r="O11" s="18"/>
      <c r="P11" s="286">
        <f t="shared" si="5"/>
        <v>720</v>
      </c>
      <c r="Q11" s="286">
        <f t="shared" si="6"/>
        <v>575</v>
      </c>
      <c r="R11" s="4">
        <f t="shared" si="7"/>
        <v>510</v>
      </c>
      <c r="S11" s="4">
        <f t="shared" si="8"/>
        <v>340</v>
      </c>
      <c r="T11" s="4">
        <f t="shared" si="9"/>
        <v>255</v>
      </c>
      <c r="U11" s="286">
        <f t="shared" si="10"/>
        <v>255</v>
      </c>
      <c r="V11" s="18"/>
      <c r="W11" s="292">
        <f t="shared" si="11"/>
        <v>503.99999999999994</v>
      </c>
      <c r="X11" s="292">
        <f t="shared" si="12"/>
        <v>402.5</v>
      </c>
      <c r="Y11" s="292">
        <f t="shared" si="13"/>
        <v>357</v>
      </c>
      <c r="Z11" s="292">
        <f t="shared" si="14"/>
        <v>238</v>
      </c>
      <c r="AA11" s="292">
        <f t="shared" si="15"/>
        <v>178.5</v>
      </c>
      <c r="AB11" s="292">
        <f t="shared" si="16"/>
        <v>178.5</v>
      </c>
    </row>
    <row r="12" spans="1:28">
      <c r="A12" s="129" t="s">
        <v>413</v>
      </c>
      <c r="B12" s="296" t="s">
        <v>394</v>
      </c>
      <c r="C12" s="81">
        <v>6</v>
      </c>
      <c r="D12" s="146">
        <v>588</v>
      </c>
      <c r="E12" s="146">
        <v>463</v>
      </c>
      <c r="F12" s="146">
        <v>398</v>
      </c>
      <c r="G12" s="146">
        <v>0</v>
      </c>
      <c r="H12" s="146">
        <v>0</v>
      </c>
      <c r="I12" s="18"/>
      <c r="J12" s="146">
        <f t="shared" si="0"/>
        <v>411.59999999999997</v>
      </c>
      <c r="K12" s="146">
        <f t="shared" si="1"/>
        <v>324.09999999999997</v>
      </c>
      <c r="L12" s="298">
        <f t="shared" si="2"/>
        <v>278.59999999999997</v>
      </c>
      <c r="M12" s="298">
        <f t="shared" si="3"/>
        <v>0</v>
      </c>
      <c r="N12" s="298">
        <f t="shared" si="4"/>
        <v>0</v>
      </c>
      <c r="O12" s="18"/>
      <c r="P12" s="286">
        <f t="shared" si="5"/>
        <v>588</v>
      </c>
      <c r="Q12" s="286">
        <f t="shared" si="6"/>
        <v>463</v>
      </c>
      <c r="R12" s="4">
        <f t="shared" si="7"/>
        <v>398</v>
      </c>
      <c r="S12" s="4">
        <f t="shared" si="8"/>
        <v>266</v>
      </c>
      <c r="T12" s="4">
        <f t="shared" si="9"/>
        <v>199</v>
      </c>
      <c r="U12" s="286">
        <f t="shared" si="10"/>
        <v>199</v>
      </c>
      <c r="V12" s="18"/>
      <c r="W12" s="292">
        <f t="shared" si="11"/>
        <v>411.59999999999997</v>
      </c>
      <c r="X12" s="292">
        <f t="shared" si="12"/>
        <v>324.09999999999997</v>
      </c>
      <c r="Y12" s="292">
        <f t="shared" si="13"/>
        <v>278.59999999999997</v>
      </c>
      <c r="Z12" s="292">
        <f t="shared" si="14"/>
        <v>185.73333333333332</v>
      </c>
      <c r="AA12" s="292">
        <f t="shared" si="15"/>
        <v>139.29999999999998</v>
      </c>
      <c r="AB12" s="292">
        <f t="shared" si="16"/>
        <v>139.29999999999998</v>
      </c>
    </row>
    <row r="13" spans="1:28">
      <c r="A13" s="129" t="s">
        <v>414</v>
      </c>
      <c r="B13" s="296" t="s">
        <v>395</v>
      </c>
      <c r="C13" s="81">
        <v>6</v>
      </c>
      <c r="D13" s="146">
        <v>720</v>
      </c>
      <c r="E13" s="146">
        <v>575</v>
      </c>
      <c r="F13" s="146">
        <v>510</v>
      </c>
      <c r="G13" s="146">
        <v>0</v>
      </c>
      <c r="H13" s="146">
        <v>0</v>
      </c>
      <c r="I13" s="18"/>
      <c r="J13" s="146">
        <f t="shared" ref="J13:N16" si="17">D13*0.7</f>
        <v>503.99999999999994</v>
      </c>
      <c r="K13" s="146">
        <f t="shared" si="17"/>
        <v>402.5</v>
      </c>
      <c r="L13" s="298">
        <f t="shared" si="17"/>
        <v>357</v>
      </c>
      <c r="M13" s="298">
        <f t="shared" si="17"/>
        <v>0</v>
      </c>
      <c r="N13" s="298">
        <f t="shared" si="17"/>
        <v>0</v>
      </c>
      <c r="O13" s="18"/>
      <c r="P13" s="286">
        <f t="shared" si="5"/>
        <v>720</v>
      </c>
      <c r="Q13" s="286">
        <f t="shared" si="6"/>
        <v>575</v>
      </c>
      <c r="R13" s="4">
        <f t="shared" si="7"/>
        <v>510</v>
      </c>
      <c r="S13" s="4">
        <f t="shared" si="8"/>
        <v>340</v>
      </c>
      <c r="T13" s="4">
        <f t="shared" si="9"/>
        <v>255</v>
      </c>
      <c r="U13" s="286">
        <f t="shared" si="10"/>
        <v>255</v>
      </c>
      <c r="V13" s="18"/>
      <c r="W13" s="292">
        <f t="shared" si="11"/>
        <v>503.99999999999994</v>
      </c>
      <c r="X13" s="292">
        <f t="shared" si="12"/>
        <v>402.5</v>
      </c>
      <c r="Y13" s="292">
        <f t="shared" si="13"/>
        <v>357</v>
      </c>
      <c r="Z13" s="292">
        <f t="shared" si="14"/>
        <v>238</v>
      </c>
      <c r="AA13" s="292">
        <f t="shared" si="15"/>
        <v>178.5</v>
      </c>
      <c r="AB13" s="292">
        <f t="shared" si="16"/>
        <v>178.5</v>
      </c>
    </row>
    <row r="14" spans="1:28">
      <c r="A14" s="129" t="s">
        <v>415</v>
      </c>
      <c r="B14" s="296" t="s">
        <v>396</v>
      </c>
      <c r="C14" s="81">
        <v>6</v>
      </c>
      <c r="D14" s="146">
        <v>588</v>
      </c>
      <c r="E14" s="146">
        <v>463</v>
      </c>
      <c r="F14" s="146">
        <v>398</v>
      </c>
      <c r="G14" s="146">
        <v>0</v>
      </c>
      <c r="H14" s="146">
        <v>0</v>
      </c>
      <c r="I14" s="18"/>
      <c r="J14" s="146">
        <f t="shared" si="17"/>
        <v>411.59999999999997</v>
      </c>
      <c r="K14" s="146">
        <f t="shared" si="17"/>
        <v>324.09999999999997</v>
      </c>
      <c r="L14" s="298">
        <f t="shared" si="17"/>
        <v>278.59999999999997</v>
      </c>
      <c r="M14" s="298">
        <f t="shared" si="17"/>
        <v>0</v>
      </c>
      <c r="N14" s="298">
        <f t="shared" si="17"/>
        <v>0</v>
      </c>
      <c r="O14" s="18"/>
      <c r="P14" s="286">
        <f t="shared" si="5"/>
        <v>588</v>
      </c>
      <c r="Q14" s="286">
        <f t="shared" si="6"/>
        <v>463</v>
      </c>
      <c r="R14" s="4">
        <f t="shared" si="7"/>
        <v>398</v>
      </c>
      <c r="S14" s="4">
        <f t="shared" si="8"/>
        <v>266</v>
      </c>
      <c r="T14" s="4">
        <f t="shared" si="9"/>
        <v>199</v>
      </c>
      <c r="U14" s="286">
        <f t="shared" si="10"/>
        <v>199</v>
      </c>
      <c r="V14" s="18"/>
      <c r="W14" s="292">
        <f t="shared" si="11"/>
        <v>411.59999999999997</v>
      </c>
      <c r="X14" s="292">
        <f t="shared" si="12"/>
        <v>324.09999999999997</v>
      </c>
      <c r="Y14" s="292">
        <f t="shared" si="13"/>
        <v>278.59999999999997</v>
      </c>
      <c r="Z14" s="292">
        <f t="shared" si="14"/>
        <v>185.73333333333332</v>
      </c>
      <c r="AA14" s="292">
        <f t="shared" si="15"/>
        <v>139.29999999999998</v>
      </c>
      <c r="AB14" s="292">
        <f t="shared" si="16"/>
        <v>139.29999999999998</v>
      </c>
    </row>
    <row r="15" spans="1:28">
      <c r="A15" s="129" t="s">
        <v>416</v>
      </c>
      <c r="B15" s="296" t="s">
        <v>397</v>
      </c>
      <c r="C15" s="81">
        <v>5</v>
      </c>
      <c r="D15" s="146">
        <v>600</v>
      </c>
      <c r="E15" s="146">
        <v>495</v>
      </c>
      <c r="F15" s="146">
        <v>430</v>
      </c>
      <c r="G15" s="146">
        <v>0</v>
      </c>
      <c r="H15" s="146">
        <v>0</v>
      </c>
      <c r="J15" s="146">
        <f t="shared" si="17"/>
        <v>420</v>
      </c>
      <c r="K15" s="146">
        <f t="shared" si="17"/>
        <v>346.5</v>
      </c>
      <c r="L15" s="298">
        <f t="shared" si="17"/>
        <v>301</v>
      </c>
      <c r="M15" s="298">
        <f t="shared" si="17"/>
        <v>0</v>
      </c>
      <c r="N15" s="298">
        <f t="shared" si="17"/>
        <v>0</v>
      </c>
      <c r="P15" s="286">
        <f t="shared" ref="P15:R17" si="18">D15</f>
        <v>600</v>
      </c>
      <c r="Q15" s="286">
        <f t="shared" si="18"/>
        <v>495</v>
      </c>
      <c r="R15" s="4">
        <f t="shared" si="18"/>
        <v>430</v>
      </c>
      <c r="S15" s="4">
        <f>ROUNDUP((F15*2+G15)/3,0)</f>
        <v>287</v>
      </c>
      <c r="T15" s="4">
        <f>ROUNDUP((F15*2+G15+H15)/4,0)</f>
        <v>215</v>
      </c>
      <c r="U15" s="286">
        <f t="shared" si="10"/>
        <v>215</v>
      </c>
      <c r="W15" s="292">
        <f>J15</f>
        <v>420</v>
      </c>
      <c r="X15" s="292">
        <f t="shared" ref="X15:Y17" si="19">K15</f>
        <v>346.5</v>
      </c>
      <c r="Y15" s="292">
        <f t="shared" si="19"/>
        <v>301</v>
      </c>
      <c r="Z15" s="292">
        <f>(L15*2+M15)/3</f>
        <v>200.66666666666666</v>
      </c>
      <c r="AA15" s="292">
        <f>(L15*2+M15+N15)/4</f>
        <v>150.5</v>
      </c>
      <c r="AB15" s="292">
        <f t="shared" si="16"/>
        <v>150.5</v>
      </c>
    </row>
    <row r="16" spans="1:28">
      <c r="A16" s="9" t="s">
        <v>417</v>
      </c>
      <c r="B16" s="296" t="s">
        <v>398</v>
      </c>
      <c r="C16" s="72">
        <v>5</v>
      </c>
      <c r="D16" s="72">
        <v>502</v>
      </c>
      <c r="E16" s="72">
        <v>417</v>
      </c>
      <c r="F16" s="72">
        <v>352</v>
      </c>
      <c r="G16" s="72">
        <v>0</v>
      </c>
      <c r="H16" s="72">
        <v>0</v>
      </c>
      <c r="I16" s="72"/>
      <c r="J16" s="146">
        <f t="shared" si="17"/>
        <v>351.4</v>
      </c>
      <c r="K16" s="146">
        <f t="shared" si="17"/>
        <v>291.89999999999998</v>
      </c>
      <c r="L16" s="298">
        <f t="shared" si="17"/>
        <v>246.39999999999998</v>
      </c>
      <c r="M16" s="298">
        <f t="shared" si="17"/>
        <v>0</v>
      </c>
      <c r="N16" s="298">
        <f t="shared" si="17"/>
        <v>0</v>
      </c>
      <c r="P16" s="286">
        <f t="shared" si="18"/>
        <v>502</v>
      </c>
      <c r="Q16" s="286">
        <f t="shared" si="18"/>
        <v>417</v>
      </c>
      <c r="R16" s="4">
        <f t="shared" si="18"/>
        <v>352</v>
      </c>
      <c r="S16" s="4">
        <f>ROUNDUP((F16*2+G16)/3,0)</f>
        <v>235</v>
      </c>
      <c r="T16" s="4">
        <f>ROUNDUP((F16*2+G16+H16)/4,0)</f>
        <v>176</v>
      </c>
      <c r="U16" s="286">
        <f t="shared" si="10"/>
        <v>176</v>
      </c>
      <c r="W16" s="292">
        <f>J16</f>
        <v>351.4</v>
      </c>
      <c r="X16" s="292">
        <f t="shared" si="19"/>
        <v>291.89999999999998</v>
      </c>
      <c r="Y16" s="292">
        <f t="shared" si="19"/>
        <v>246.39999999999998</v>
      </c>
      <c r="Z16" s="292">
        <f>(L16*2+M16)/3</f>
        <v>164.26666666666665</v>
      </c>
      <c r="AA16" s="292">
        <f>(L16*2+M16+N16)/4</f>
        <v>123.19999999999999</v>
      </c>
      <c r="AB16" s="292">
        <f t="shared" si="16"/>
        <v>123.19999999999999</v>
      </c>
    </row>
    <row r="17" spans="1:28">
      <c r="A17" s="299" t="s">
        <v>420</v>
      </c>
      <c r="B17" s="296" t="s">
        <v>399</v>
      </c>
      <c r="C17" s="30">
        <v>7</v>
      </c>
      <c r="D17" s="30">
        <v>880</v>
      </c>
      <c r="E17" s="30">
        <v>690</v>
      </c>
      <c r="F17" s="30">
        <v>625</v>
      </c>
      <c r="G17" s="30">
        <v>35</v>
      </c>
      <c r="H17" s="30">
        <v>35</v>
      </c>
      <c r="I17" s="30"/>
      <c r="J17" s="146">
        <f>D17*0.7-5</f>
        <v>611</v>
      </c>
      <c r="K17" s="146">
        <f>E17*0.7-5</f>
        <v>477.99999999999994</v>
      </c>
      <c r="L17" s="298">
        <f>F17*0.7-5</f>
        <v>432.5</v>
      </c>
      <c r="M17" s="298">
        <f>G17-5</f>
        <v>30</v>
      </c>
      <c r="N17" s="298">
        <f>H17-5</f>
        <v>30</v>
      </c>
      <c r="P17" s="286">
        <f t="shared" si="18"/>
        <v>880</v>
      </c>
      <c r="Q17" s="286">
        <f t="shared" si="18"/>
        <v>690</v>
      </c>
      <c r="R17" s="4">
        <f t="shared" si="18"/>
        <v>625</v>
      </c>
      <c r="S17" s="4">
        <f>ROUNDUP((F17*2+G17)/3,0)</f>
        <v>429</v>
      </c>
      <c r="T17" s="4">
        <f>ROUNDUP((F17*2+G17+H17)/4,0)</f>
        <v>330</v>
      </c>
      <c r="U17" s="286">
        <f>T17</f>
        <v>330</v>
      </c>
      <c r="W17" s="292">
        <f>J17</f>
        <v>611</v>
      </c>
      <c r="X17" s="292">
        <f t="shared" si="19"/>
        <v>477.99999999999994</v>
      </c>
      <c r="Y17" s="292">
        <f t="shared" si="19"/>
        <v>432.5</v>
      </c>
      <c r="Z17" s="292">
        <f>(L17*2+M17)/3</f>
        <v>298.33333333333331</v>
      </c>
      <c r="AA17" s="292">
        <f>(L17*2+M17+N17)/4</f>
        <v>231.25</v>
      </c>
      <c r="AB17" s="292">
        <f t="shared" si="16"/>
        <v>231.25</v>
      </c>
    </row>
    <row r="18" spans="1:28">
      <c r="A18" s="9" t="s">
        <v>404</v>
      </c>
      <c r="B18" s="297" t="s">
        <v>400</v>
      </c>
      <c r="C18" s="9"/>
      <c r="D18" s="30"/>
      <c r="E18" s="30"/>
      <c r="F18" s="30"/>
      <c r="G18" s="30"/>
      <c r="H18" s="30"/>
      <c r="I18" s="30"/>
      <c r="P18" s="286">
        <v>130</v>
      </c>
      <c r="Q18" s="286">
        <v>130</v>
      </c>
      <c r="R18" s="286">
        <v>130</v>
      </c>
      <c r="S18" s="286">
        <v>130</v>
      </c>
      <c r="T18" s="286">
        <v>130</v>
      </c>
      <c r="U18" s="286">
        <v>130</v>
      </c>
      <c r="W18" s="292">
        <v>125</v>
      </c>
      <c r="X18" s="292">
        <v>125</v>
      </c>
      <c r="Y18" s="292">
        <v>125</v>
      </c>
      <c r="Z18" s="292">
        <v>125</v>
      </c>
      <c r="AA18" s="292">
        <v>125</v>
      </c>
      <c r="AB18" s="292">
        <v>125</v>
      </c>
    </row>
    <row r="19" spans="1:28">
      <c r="A19" s="9" t="s">
        <v>404</v>
      </c>
      <c r="B19" s="297" t="s">
        <v>401</v>
      </c>
      <c r="C19" s="9"/>
      <c r="D19" s="30"/>
      <c r="E19" s="30"/>
      <c r="F19" s="30"/>
      <c r="G19" s="30"/>
      <c r="H19" s="30"/>
      <c r="I19" s="30"/>
      <c r="P19" s="286">
        <v>80</v>
      </c>
      <c r="Q19" s="286">
        <v>80</v>
      </c>
      <c r="R19" s="286">
        <v>80</v>
      </c>
      <c r="S19" s="286">
        <v>80</v>
      </c>
      <c r="T19" s="286">
        <v>80</v>
      </c>
      <c r="U19" s="286">
        <v>80</v>
      </c>
      <c r="W19" s="292">
        <v>75</v>
      </c>
      <c r="X19" s="292">
        <v>75</v>
      </c>
      <c r="Y19" s="292">
        <v>75</v>
      </c>
      <c r="Z19" s="292">
        <v>75</v>
      </c>
      <c r="AA19" s="292">
        <v>75</v>
      </c>
      <c r="AB19" s="292">
        <v>75</v>
      </c>
    </row>
    <row r="20" spans="1:28">
      <c r="A20" s="9" t="s">
        <v>404</v>
      </c>
      <c r="B20" s="297" t="s">
        <v>402</v>
      </c>
      <c r="C20" s="9"/>
      <c r="D20" s="30"/>
      <c r="E20" s="30"/>
      <c r="F20" s="30"/>
      <c r="G20" s="30"/>
      <c r="H20" s="30"/>
      <c r="I20" s="30"/>
      <c r="P20" s="286">
        <v>50</v>
      </c>
      <c r="Q20" s="286">
        <v>50</v>
      </c>
      <c r="R20" s="286">
        <v>50</v>
      </c>
      <c r="S20" s="286">
        <v>50</v>
      </c>
      <c r="T20" s="286">
        <v>50</v>
      </c>
      <c r="U20" s="286">
        <v>50</v>
      </c>
      <c r="W20" s="292">
        <v>45</v>
      </c>
      <c r="X20" s="292">
        <v>45</v>
      </c>
      <c r="Y20" s="292">
        <v>45</v>
      </c>
      <c r="Z20" s="292">
        <v>45</v>
      </c>
      <c r="AA20" s="292">
        <v>45</v>
      </c>
      <c r="AB20" s="292">
        <v>45</v>
      </c>
    </row>
    <row r="21" spans="1:28">
      <c r="A21" s="9" t="s">
        <v>404</v>
      </c>
      <c r="B21" s="297" t="s">
        <v>403</v>
      </c>
      <c r="C21" s="9"/>
      <c r="D21" s="30"/>
      <c r="E21" s="30"/>
      <c r="F21" s="30"/>
      <c r="G21" s="30"/>
      <c r="H21" s="30"/>
      <c r="I21" s="30"/>
      <c r="P21" s="286">
        <v>30</v>
      </c>
      <c r="Q21" s="286">
        <v>30</v>
      </c>
      <c r="R21" s="286">
        <v>30</v>
      </c>
      <c r="S21" s="286">
        <v>30</v>
      </c>
      <c r="T21" s="286">
        <v>30</v>
      </c>
      <c r="U21" s="286">
        <v>30</v>
      </c>
      <c r="W21" s="292">
        <v>25</v>
      </c>
      <c r="X21" s="292">
        <v>25</v>
      </c>
      <c r="Y21" s="292">
        <v>25</v>
      </c>
      <c r="Z21" s="292">
        <v>25</v>
      </c>
      <c r="AA21" s="292">
        <v>25</v>
      </c>
      <c r="AB21" s="292">
        <v>25</v>
      </c>
    </row>
    <row r="22" spans="1:28" ht="15.75">
      <c r="A22" s="16" t="s">
        <v>419</v>
      </c>
      <c r="B22" s="293" t="s">
        <v>405</v>
      </c>
      <c r="C22" s="129">
        <v>7</v>
      </c>
      <c r="D22" s="129">
        <v>850</v>
      </c>
      <c r="E22" s="129">
        <v>660</v>
      </c>
      <c r="F22" s="129">
        <v>595</v>
      </c>
      <c r="G22" s="129">
        <v>0</v>
      </c>
      <c r="H22" s="129">
        <v>0</v>
      </c>
      <c r="J22" s="146">
        <f>D22*0.7</f>
        <v>595</v>
      </c>
      <c r="K22" s="146">
        <f>E22*0.7</f>
        <v>461.99999999999994</v>
      </c>
      <c r="L22" s="294">
        <f>F22*0.7</f>
        <v>416.5</v>
      </c>
      <c r="M22" s="294">
        <f>G22*0.7</f>
        <v>0</v>
      </c>
      <c r="N22" s="294">
        <f>H22*0.7</f>
        <v>0</v>
      </c>
      <c r="P22" s="286">
        <f>D22</f>
        <v>850</v>
      </c>
      <c r="Q22" s="286">
        <f>E22</f>
        <v>660</v>
      </c>
      <c r="R22" s="4">
        <f>F22</f>
        <v>595</v>
      </c>
      <c r="S22" s="4">
        <f>ROUNDUP((F22*2+G22)/3,0)</f>
        <v>397</v>
      </c>
      <c r="T22" s="4">
        <f>ROUNDUP((F22*2+G22+H22)/4,0)</f>
        <v>298</v>
      </c>
      <c r="U22" s="286">
        <f>T22</f>
        <v>298</v>
      </c>
      <c r="W22" s="292">
        <f>J22</f>
        <v>595</v>
      </c>
      <c r="X22" s="292">
        <f>K22</f>
        <v>461.99999999999994</v>
      </c>
      <c r="Y22" s="292">
        <f>L22</f>
        <v>416.5</v>
      </c>
      <c r="Z22" s="292">
        <f>(L22*2+M22)/3</f>
        <v>277.66666666666669</v>
      </c>
      <c r="AA22" s="292">
        <f>(L22*2+M22+N22)/4</f>
        <v>208.25</v>
      </c>
      <c r="AB22" s="292">
        <f>AA22</f>
        <v>208.25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纵横-package</vt:lpstr>
      <vt:lpstr>纵横-local</vt:lpstr>
      <vt:lpstr>纵横-local (从5-8-13开始)</vt:lpstr>
      <vt:lpstr>迈阿密团</vt:lpstr>
      <vt:lpstr>迈阿密+奥兰多 7-12天（5-17-13 最新报价）</vt:lpstr>
      <vt:lpstr>迈阿密+巴哈马邮轮</vt:lpstr>
      <vt:lpstr>cb tour</vt:lpstr>
      <vt:lpstr>新年倒数团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Sisi-Huang</cp:lastModifiedBy>
  <dcterms:created xsi:type="dcterms:W3CDTF">2012-02-23T20:24:15Z</dcterms:created>
  <dcterms:modified xsi:type="dcterms:W3CDTF">2013-12-24T21:28:01Z</dcterms:modified>
</cp:coreProperties>
</file>