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K Interior\Kolkata_Site\"/>
    </mc:Choice>
  </mc:AlternateContent>
  <xr:revisionPtr revIDLastSave="0" documentId="13_ncr:1_{41371B38-125F-484B-BC98-34C23D2BFD9D}" xr6:coauthVersionLast="47" xr6:coauthVersionMax="47" xr10:uidLastSave="{00000000-0000-0000-0000-000000000000}"/>
  <bookViews>
    <workbookView xWindow="11424" yWindow="0" windowWidth="11712" windowHeight="12336" tabRatio="876" xr2:uid="{C44BF74C-B898-4BD0-836B-2E3A275FE08A}"/>
  </bookViews>
  <sheets>
    <sheet name="Bill" sheetId="11" r:id="rId1"/>
    <sheet name="abstract" sheetId="10" r:id="rId2"/>
    <sheet name="summary" sheetId="9" r:id="rId3"/>
    <sheet name="10thfloor" sheetId="6" r:id="rId4"/>
    <sheet name="11thfloor" sheetId="4" r:id="rId5"/>
    <sheet name="12thfloor" sheetId="5" r:id="rId6"/>
    <sheet name="13thfloor" sheetId="3" r:id="rId7"/>
    <sheet name="Groundfloor" sheetId="8" r:id="rId8"/>
    <sheet name="Sheet1" sheetId="1" r:id="rId9"/>
    <sheet name="Sheet2" sheetId="2" r:id="rId10"/>
    <sheet name="Sheet3" sheetId="7" r:id="rId11"/>
    <sheet name="Sheet4" sheetId="12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4" i="2" l="1"/>
  <c r="I283" i="2"/>
  <c r="B155" i="4"/>
  <c r="B140" i="4"/>
  <c r="G10" i="1"/>
  <c r="D27" i="11"/>
  <c r="B27" i="11"/>
  <c r="B18" i="10"/>
  <c r="C205" i="4"/>
  <c r="C204" i="4" s="1"/>
  <c r="F14" i="9" s="1"/>
  <c r="J14" i="9" s="1"/>
  <c r="G18" i="10" s="1"/>
  <c r="H18" i="10" s="1"/>
  <c r="E27" i="11" s="1"/>
  <c r="H27" i="11" s="1"/>
  <c r="I110" i="2"/>
  <c r="B44" i="5"/>
  <c r="B35" i="5"/>
  <c r="B43" i="5"/>
  <c r="B34" i="5"/>
  <c r="B42" i="5"/>
  <c r="B33" i="5"/>
  <c r="C41" i="5"/>
  <c r="B41" i="5"/>
  <c r="C40" i="5"/>
  <c r="C39" i="5"/>
  <c r="C38" i="5"/>
  <c r="B40" i="5"/>
  <c r="B39" i="5"/>
  <c r="B38" i="5"/>
  <c r="B23" i="3"/>
  <c r="B15" i="3"/>
  <c r="C22" i="3"/>
  <c r="C14" i="3"/>
  <c r="B22" i="3"/>
  <c r="B14" i="3"/>
  <c r="B13" i="3"/>
  <c r="B21" i="3"/>
  <c r="B20" i="3"/>
  <c r="G70" i="12"/>
  <c r="G69" i="12"/>
  <c r="G67" i="12"/>
  <c r="G66" i="12"/>
  <c r="G64" i="12"/>
  <c r="G63" i="12"/>
  <c r="G61" i="12"/>
  <c r="G60" i="12"/>
  <c r="G72" i="12" s="1"/>
  <c r="I72" i="12" s="1"/>
  <c r="G56" i="12"/>
  <c r="I56" i="12" s="1"/>
  <c r="G44" i="12"/>
  <c r="I44" i="12" s="1"/>
  <c r="G34" i="12"/>
  <c r="I34" i="12" s="1"/>
  <c r="G22" i="12"/>
  <c r="I22" i="12" s="1"/>
  <c r="I355" i="2"/>
  <c r="I353" i="2" s="1"/>
  <c r="C35" i="5" s="1"/>
  <c r="I356" i="2"/>
  <c r="C44" i="5" s="1"/>
  <c r="I354" i="2"/>
  <c r="I349" i="2"/>
  <c r="I350" i="2"/>
  <c r="I347" i="2"/>
  <c r="C34" i="5" s="1"/>
  <c r="I342" i="2"/>
  <c r="I343" i="2"/>
  <c r="I344" i="2"/>
  <c r="I341" i="2"/>
  <c r="I340" i="2" s="1"/>
  <c r="C42" i="5" s="1"/>
  <c r="I337" i="2"/>
  <c r="I338" i="2"/>
  <c r="I336" i="2"/>
  <c r="I335" i="2"/>
  <c r="I332" i="2"/>
  <c r="E330" i="2"/>
  <c r="I330" i="2" s="1"/>
  <c r="G328" i="2"/>
  <c r="E328" i="2"/>
  <c r="G327" i="2"/>
  <c r="E327" i="2"/>
  <c r="E325" i="2"/>
  <c r="I325" i="2" s="1"/>
  <c r="G324" i="2"/>
  <c r="I324" i="2" s="1"/>
  <c r="C31" i="5" s="1"/>
  <c r="E322" i="2"/>
  <c r="I322" i="2" s="1"/>
  <c r="G321" i="2"/>
  <c r="E321" i="2"/>
  <c r="E317" i="2"/>
  <c r="I317" i="2" s="1"/>
  <c r="C15" i="3" s="1"/>
  <c r="G316" i="2"/>
  <c r="E316" i="2"/>
  <c r="E314" i="2"/>
  <c r="I314" i="2" s="1"/>
  <c r="E313" i="2"/>
  <c r="I313" i="2" s="1"/>
  <c r="I311" i="2"/>
  <c r="C13" i="3" s="1"/>
  <c r="G310" i="2"/>
  <c r="E308" i="2"/>
  <c r="I308" i="2" s="1"/>
  <c r="C12" i="3" s="1"/>
  <c r="C10" i="3" s="1"/>
  <c r="E307" i="2"/>
  <c r="I348" i="2" l="1"/>
  <c r="C43" i="5" s="1"/>
  <c r="C37" i="5" s="1"/>
  <c r="G11" i="9" s="1"/>
  <c r="I334" i="2"/>
  <c r="C33" i="5" s="1"/>
  <c r="I307" i="2"/>
  <c r="C20" i="3" s="1"/>
  <c r="C19" i="3" s="1"/>
  <c r="H10" i="9" s="1"/>
  <c r="I321" i="2"/>
  <c r="C30" i="5" s="1"/>
  <c r="I310" i="2"/>
  <c r="C21" i="3" s="1"/>
  <c r="I327" i="2"/>
  <c r="I316" i="2"/>
  <c r="C23" i="3" s="1"/>
  <c r="I328" i="2"/>
  <c r="C202" i="4"/>
  <c r="B202" i="4"/>
  <c r="C216" i="4"/>
  <c r="B216" i="4"/>
  <c r="B12" i="4"/>
  <c r="G99" i="12"/>
  <c r="I99" i="12" s="1"/>
  <c r="G98" i="12"/>
  <c r="I98" i="12" s="1"/>
  <c r="G97" i="12"/>
  <c r="G101" i="12" s="1"/>
  <c r="C71" i="4"/>
  <c r="B71" i="4"/>
  <c r="B205" i="4"/>
  <c r="C215" i="4"/>
  <c r="B215" i="4"/>
  <c r="C136" i="4"/>
  <c r="B136" i="4"/>
  <c r="C220" i="4"/>
  <c r="B220" i="4"/>
  <c r="C219" i="4"/>
  <c r="B219" i="4"/>
  <c r="C212" i="4"/>
  <c r="C211" i="4" s="1"/>
  <c r="F21" i="9" s="1"/>
  <c r="B212" i="4"/>
  <c r="B74" i="6"/>
  <c r="C114" i="6"/>
  <c r="C113" i="6" s="1"/>
  <c r="E25" i="9" s="1"/>
  <c r="B114" i="6"/>
  <c r="B61" i="4"/>
  <c r="B21" i="5"/>
  <c r="B11" i="3"/>
  <c r="B8" i="3"/>
  <c r="G15" i="7"/>
  <c r="G11" i="7"/>
  <c r="D55" i="11"/>
  <c r="B46" i="10"/>
  <c r="B55" i="11" s="1"/>
  <c r="E104" i="4"/>
  <c r="D104" i="4"/>
  <c r="E39" i="6"/>
  <c r="D39" i="6"/>
  <c r="I13" i="2"/>
  <c r="G43" i="11"/>
  <c r="G44" i="11"/>
  <c r="G46" i="11"/>
  <c r="G45" i="11"/>
  <c r="G72" i="11"/>
  <c r="G58" i="11"/>
  <c r="G65" i="11"/>
  <c r="G66" i="11"/>
  <c r="G67" i="11"/>
  <c r="G71" i="11"/>
  <c r="G70" i="11"/>
  <c r="G69" i="11"/>
  <c r="G68" i="11"/>
  <c r="D66" i="11"/>
  <c r="D67" i="11"/>
  <c r="D68" i="11"/>
  <c r="G63" i="11"/>
  <c r="G17" i="11"/>
  <c r="G16" i="11"/>
  <c r="G56" i="11"/>
  <c r="E54" i="11"/>
  <c r="H54" i="11" s="1"/>
  <c r="E16" i="11"/>
  <c r="D17" i="11"/>
  <c r="D18" i="11"/>
  <c r="D19" i="11"/>
  <c r="D20" i="11"/>
  <c r="D21" i="11"/>
  <c r="D22" i="11"/>
  <c r="D23" i="11"/>
  <c r="D24" i="11"/>
  <c r="D25" i="11"/>
  <c r="D26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53" i="11"/>
  <c r="D58" i="11"/>
  <c r="D59" i="11"/>
  <c r="D60" i="11"/>
  <c r="D62" i="11"/>
  <c r="D63" i="11"/>
  <c r="D64" i="11"/>
  <c r="D65" i="11"/>
  <c r="D16" i="11"/>
  <c r="B17" i="11"/>
  <c r="B18" i="11"/>
  <c r="B19" i="11"/>
  <c r="B21" i="11"/>
  <c r="B22" i="11"/>
  <c r="B23" i="11"/>
  <c r="B24" i="11"/>
  <c r="B25" i="11"/>
  <c r="B26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6" i="11"/>
  <c r="B47" i="11"/>
  <c r="B48" i="11"/>
  <c r="B49" i="11"/>
  <c r="B50" i="11"/>
  <c r="B51" i="11"/>
  <c r="B52" i="11"/>
  <c r="B53" i="11"/>
  <c r="B62" i="11"/>
  <c r="B63" i="11"/>
  <c r="B16" i="11"/>
  <c r="H9" i="10"/>
  <c r="E18" i="11" s="1"/>
  <c r="H18" i="11" s="1"/>
  <c r="H10" i="10"/>
  <c r="E19" i="11" s="1"/>
  <c r="H19" i="11" s="1"/>
  <c r="H20" i="10"/>
  <c r="E29" i="11" s="1"/>
  <c r="H29" i="11" s="1"/>
  <c r="H22" i="10"/>
  <c r="E31" i="11" s="1"/>
  <c r="H31" i="11" s="1"/>
  <c r="H23" i="10"/>
  <c r="E32" i="11" s="1"/>
  <c r="H32" i="11" s="1"/>
  <c r="H24" i="10"/>
  <c r="E33" i="11" s="1"/>
  <c r="H33" i="11" s="1"/>
  <c r="H25" i="10"/>
  <c r="E34" i="11" s="1"/>
  <c r="H34" i="11" s="1"/>
  <c r="H26" i="10"/>
  <c r="E35" i="11" s="1"/>
  <c r="H35" i="11" s="1"/>
  <c r="H28" i="10"/>
  <c r="E37" i="11" s="1"/>
  <c r="H37" i="11" s="1"/>
  <c r="H30" i="10"/>
  <c r="E39" i="11" s="1"/>
  <c r="H39" i="11" s="1"/>
  <c r="H31" i="10"/>
  <c r="E40" i="11" s="1"/>
  <c r="H40" i="11" s="1"/>
  <c r="H34" i="10"/>
  <c r="E43" i="11" s="1"/>
  <c r="H42" i="10"/>
  <c r="E51" i="11" s="1"/>
  <c r="H51" i="11" s="1"/>
  <c r="H44" i="10"/>
  <c r="E53" i="11" s="1"/>
  <c r="H53" i="11" s="1"/>
  <c r="H45" i="10"/>
  <c r="H7" i="10"/>
  <c r="B63" i="10"/>
  <c r="B72" i="11" s="1"/>
  <c r="B64" i="10"/>
  <c r="B73" i="11" s="1"/>
  <c r="B65" i="10"/>
  <c r="B74" i="11" s="1"/>
  <c r="B66" i="10"/>
  <c r="B75" i="11" s="1"/>
  <c r="B67" i="10"/>
  <c r="B76" i="11" s="1"/>
  <c r="B62" i="10"/>
  <c r="B71" i="11" s="1"/>
  <c r="B61" i="10"/>
  <c r="B70" i="11" s="1"/>
  <c r="B60" i="10"/>
  <c r="B69" i="11" s="1"/>
  <c r="B59" i="10"/>
  <c r="B68" i="11" s="1"/>
  <c r="B58" i="10"/>
  <c r="B67" i="11" s="1"/>
  <c r="B57" i="10"/>
  <c r="B66" i="11" s="1"/>
  <c r="B56" i="10"/>
  <c r="B65" i="11" s="1"/>
  <c r="B55" i="10"/>
  <c r="B64" i="11" s="1"/>
  <c r="B49" i="10"/>
  <c r="B58" i="11" s="1"/>
  <c r="B52" i="10"/>
  <c r="B61" i="11" s="1"/>
  <c r="B51" i="10"/>
  <c r="B60" i="11" s="1"/>
  <c r="B50" i="10"/>
  <c r="B59" i="11" s="1"/>
  <c r="B48" i="10"/>
  <c r="B57" i="11" s="1"/>
  <c r="B47" i="10"/>
  <c r="B56" i="11" s="1"/>
  <c r="C31" i="9"/>
  <c r="C18" i="9"/>
  <c r="C43" i="9"/>
  <c r="B11" i="4"/>
  <c r="B20" i="11"/>
  <c r="B31" i="11"/>
  <c r="C28" i="10"/>
  <c r="D37" i="11" s="1"/>
  <c r="B43" i="11"/>
  <c r="B44" i="11"/>
  <c r="B45" i="11"/>
  <c r="C36" i="10"/>
  <c r="D45" i="11" s="1"/>
  <c r="C45" i="10"/>
  <c r="D54" i="11" s="1"/>
  <c r="B54" i="11"/>
  <c r="C20" i="4"/>
  <c r="B20" i="4"/>
  <c r="C129" i="4"/>
  <c r="B129" i="4"/>
  <c r="B97" i="4"/>
  <c r="B105" i="4"/>
  <c r="B178" i="4"/>
  <c r="B111" i="4"/>
  <c r="B102" i="4"/>
  <c r="B115" i="4"/>
  <c r="B119" i="4"/>
  <c r="B123" i="4"/>
  <c r="B110" i="4"/>
  <c r="B101" i="4"/>
  <c r="B109" i="4"/>
  <c r="I169" i="2"/>
  <c r="C177" i="4" s="1"/>
  <c r="B177" i="4"/>
  <c r="B114" i="4"/>
  <c r="B80" i="6"/>
  <c r="B51" i="6"/>
  <c r="B48" i="6"/>
  <c r="B47" i="6"/>
  <c r="B40" i="6"/>
  <c r="C52" i="9"/>
  <c r="C67" i="10" s="1"/>
  <c r="D76" i="11" s="1"/>
  <c r="C51" i="9"/>
  <c r="C66" i="10" s="1"/>
  <c r="D75" i="11" s="1"/>
  <c r="C39" i="9"/>
  <c r="C13" i="9"/>
  <c r="C16" i="9"/>
  <c r="C15" i="9"/>
  <c r="C25" i="9"/>
  <c r="C44" i="9"/>
  <c r="C7" i="9"/>
  <c r="C60" i="10" s="1"/>
  <c r="D69" i="11" s="1"/>
  <c r="C50" i="9"/>
  <c r="C65" i="10" s="1"/>
  <c r="D74" i="11" s="1"/>
  <c r="C49" i="9"/>
  <c r="C64" i="10" s="1"/>
  <c r="D73" i="11" s="1"/>
  <c r="C17" i="9"/>
  <c r="C45" i="9"/>
  <c r="C48" i="9"/>
  <c r="C63" i="10" s="1"/>
  <c r="D72" i="11" s="1"/>
  <c r="C20" i="9"/>
  <c r="C26" i="9"/>
  <c r="C47" i="9"/>
  <c r="C62" i="10" s="1"/>
  <c r="D71" i="11" s="1"/>
  <c r="C46" i="9"/>
  <c r="C61" i="10" s="1"/>
  <c r="D70" i="11" s="1"/>
  <c r="C42" i="9"/>
  <c r="C41" i="9"/>
  <c r="C8" i="9"/>
  <c r="C40" i="9"/>
  <c r="C38" i="9"/>
  <c r="C19" i="9"/>
  <c r="C9" i="9"/>
  <c r="C32" i="9"/>
  <c r="C37" i="9"/>
  <c r="C24" i="9"/>
  <c r="C35" i="9"/>
  <c r="C52" i="10" s="1"/>
  <c r="D61" i="11" s="1"/>
  <c r="C34" i="9"/>
  <c r="C33" i="9"/>
  <c r="C12" i="9"/>
  <c r="C23" i="9"/>
  <c r="C22" i="9"/>
  <c r="D21" i="9"/>
  <c r="C21" i="9"/>
  <c r="D11" i="9"/>
  <c r="C11" i="9"/>
  <c r="D28" i="9"/>
  <c r="C28" i="9"/>
  <c r="C48" i="10" s="1"/>
  <c r="D57" i="11" s="1"/>
  <c r="D10" i="9"/>
  <c r="C10" i="9"/>
  <c r="C27" i="9"/>
  <c r="C47" i="10" s="1"/>
  <c r="D56" i="11" s="1"/>
  <c r="C218" i="4" l="1"/>
  <c r="F23" i="9" s="1"/>
  <c r="I97" i="12"/>
  <c r="C214" i="4"/>
  <c r="F22" i="9" s="1"/>
  <c r="C12" i="4"/>
  <c r="I101" i="12"/>
  <c r="I329" i="2"/>
  <c r="C32" i="5" s="1"/>
  <c r="C29" i="5" s="1"/>
  <c r="G10" i="9" s="1"/>
  <c r="H43" i="11"/>
  <c r="H16" i="11"/>
  <c r="B31" i="3"/>
  <c r="B28" i="3"/>
  <c r="B34" i="3"/>
  <c r="B12" i="5"/>
  <c r="B27" i="5"/>
  <c r="B17" i="5"/>
  <c r="B13" i="5"/>
  <c r="B24" i="5"/>
  <c r="B20" i="5"/>
  <c r="B16" i="5"/>
  <c r="B11" i="5"/>
  <c r="B8" i="5"/>
  <c r="E62" i="6"/>
  <c r="B19" i="8"/>
  <c r="B16" i="8"/>
  <c r="B12" i="8"/>
  <c r="B8" i="8"/>
  <c r="B18" i="8"/>
  <c r="B15" i="8"/>
  <c r="B11" i="8"/>
  <c r="B7" i="8"/>
  <c r="C59" i="6"/>
  <c r="C63" i="6"/>
  <c r="C55" i="6"/>
  <c r="B59" i="6"/>
  <c r="B63" i="6"/>
  <c r="B55" i="6"/>
  <c r="C111" i="6"/>
  <c r="B111" i="6"/>
  <c r="C79" i="6"/>
  <c r="B79" i="6"/>
  <c r="C71" i="6"/>
  <c r="B71" i="6"/>
  <c r="G213" i="7"/>
  <c r="B110" i="6"/>
  <c r="B107" i="6"/>
  <c r="B104" i="6"/>
  <c r="B101" i="6"/>
  <c r="B73" i="6"/>
  <c r="B97" i="6"/>
  <c r="B72" i="6"/>
  <c r="B96" i="6"/>
  <c r="B34" i="6"/>
  <c r="B21" i="6"/>
  <c r="B33" i="6"/>
  <c r="B32" i="6"/>
  <c r="B93" i="6"/>
  <c r="B92" i="6"/>
  <c r="B90" i="6"/>
  <c r="B89" i="6"/>
  <c r="B87" i="6"/>
  <c r="B70" i="6"/>
  <c r="B78" i="6"/>
  <c r="B84" i="6"/>
  <c r="B83" i="6"/>
  <c r="B77" i="6"/>
  <c r="B82" i="6"/>
  <c r="B76" i="6"/>
  <c r="B69" i="6"/>
  <c r="B66" i="6"/>
  <c r="B31" i="6"/>
  <c r="B20" i="6"/>
  <c r="B24" i="6"/>
  <c r="B19" i="6"/>
  <c r="B62" i="6"/>
  <c r="B58" i="6"/>
  <c r="B54" i="6"/>
  <c r="B61" i="6"/>
  <c r="B57" i="6"/>
  <c r="B53" i="6"/>
  <c r="B30" i="6"/>
  <c r="B18" i="6"/>
  <c r="B29" i="6"/>
  <c r="B17" i="6"/>
  <c r="B28" i="6"/>
  <c r="B16" i="6"/>
  <c r="B44" i="6"/>
  <c r="B37" i="6"/>
  <c r="B27" i="6"/>
  <c r="B15" i="6"/>
  <c r="B26" i="6"/>
  <c r="B14" i="6"/>
  <c r="B12" i="6"/>
  <c r="B11" i="6"/>
  <c r="B10" i="6"/>
  <c r="B9" i="6"/>
  <c r="B8" i="6"/>
  <c r="B7" i="6"/>
  <c r="B84" i="4"/>
  <c r="B10" i="4"/>
  <c r="B190" i="4"/>
  <c r="B201" i="4"/>
  <c r="B152" i="4"/>
  <c r="B187" i="4"/>
  <c r="B186" i="4"/>
  <c r="B184" i="4"/>
  <c r="B181" i="4"/>
  <c r="B29" i="4"/>
  <c r="B151" i="4"/>
  <c r="B83" i="4"/>
  <c r="B135" i="4"/>
  <c r="B17" i="4"/>
  <c r="B93" i="4"/>
  <c r="B208" i="4"/>
  <c r="B176" i="4"/>
  <c r="B170" i="4"/>
  <c r="B25" i="4"/>
  <c r="E9" i="4"/>
  <c r="B9" i="4"/>
  <c r="B200" i="4"/>
  <c r="B175" i="4"/>
  <c r="B169" i="4"/>
  <c r="B174" i="4"/>
  <c r="B168" i="4"/>
  <c r="B173" i="4"/>
  <c r="B172" i="4"/>
  <c r="B167" i="4"/>
  <c r="B166" i="4"/>
  <c r="B157" i="4"/>
  <c r="B134" i="4"/>
  <c r="B92" i="4"/>
  <c r="E126" i="4"/>
  <c r="B126" i="4"/>
  <c r="B24" i="4"/>
  <c r="B197" i="4"/>
  <c r="B196" i="4"/>
  <c r="B164" i="4"/>
  <c r="B161" i="4"/>
  <c r="B156" i="4"/>
  <c r="B150" i="4"/>
  <c r="B194" i="4"/>
  <c r="B48" i="4"/>
  <c r="B16" i="4"/>
  <c r="B91" i="4"/>
  <c r="B160" i="4"/>
  <c r="B147" i="4"/>
  <c r="B133" i="4"/>
  <c r="B19" i="4"/>
  <c r="B96" i="4"/>
  <c r="B128" i="4"/>
  <c r="B144" i="4"/>
  <c r="B143" i="4"/>
  <c r="B60" i="4"/>
  <c r="B47" i="4"/>
  <c r="B59" i="4"/>
  <c r="B46" i="4"/>
  <c r="B58" i="4"/>
  <c r="B45" i="4"/>
  <c r="B57" i="4"/>
  <c r="B44" i="4"/>
  <c r="B56" i="4"/>
  <c r="B139" i="4"/>
  <c r="B138" i="4"/>
  <c r="B132" i="4"/>
  <c r="B131" i="4"/>
  <c r="B18" i="4"/>
  <c r="B95" i="4"/>
  <c r="B127" i="4"/>
  <c r="B43" i="4"/>
  <c r="B42" i="4"/>
  <c r="B55" i="4"/>
  <c r="B41" i="4"/>
  <c r="B40" i="4"/>
  <c r="B39" i="4"/>
  <c r="B122" i="4"/>
  <c r="B118" i="4"/>
  <c r="B54" i="4"/>
  <c r="B38" i="4"/>
  <c r="B53" i="4"/>
  <c r="B37" i="4"/>
  <c r="B36" i="4"/>
  <c r="B35" i="4"/>
  <c r="G232" i="7" l="1"/>
  <c r="G231" i="7"/>
  <c r="G233" i="7" s="1"/>
  <c r="G229" i="7"/>
  <c r="G228" i="7"/>
  <c r="G230" i="7" s="1"/>
  <c r="G226" i="7"/>
  <c r="G225" i="7"/>
  <c r="G227" i="7" s="1"/>
  <c r="G222" i="7"/>
  <c r="G220" i="7"/>
  <c r="G219" i="7"/>
  <c r="G218" i="7"/>
  <c r="G212" i="7"/>
  <c r="D215" i="7"/>
  <c r="G215" i="7" s="1"/>
  <c r="G214" i="7"/>
  <c r="D211" i="7"/>
  <c r="G211" i="7" s="1"/>
  <c r="D210" i="7"/>
  <c r="G210" i="7" s="1"/>
  <c r="D209" i="7"/>
  <c r="G209" i="7" s="1"/>
  <c r="D208" i="7"/>
  <c r="G208" i="7" s="1"/>
  <c r="G207" i="7"/>
  <c r="G206" i="7"/>
  <c r="G205" i="7"/>
  <c r="G203" i="7"/>
  <c r="G202" i="7"/>
  <c r="G204" i="7" s="1"/>
  <c r="C107" i="6" s="1"/>
  <c r="C106" i="6" s="1"/>
  <c r="E38" i="9" s="1"/>
  <c r="G195" i="7"/>
  <c r="C101" i="6" s="1"/>
  <c r="C100" i="6" s="1"/>
  <c r="E9" i="9" s="1"/>
  <c r="G194" i="7"/>
  <c r="C73" i="6" s="1"/>
  <c r="G193" i="7"/>
  <c r="C97" i="6" s="1"/>
  <c r="D189" i="7"/>
  <c r="G189" i="7" s="1"/>
  <c r="D188" i="7"/>
  <c r="G188" i="7" s="1"/>
  <c r="D186" i="7"/>
  <c r="G186" i="7" s="1"/>
  <c r="G185" i="7"/>
  <c r="D175" i="7"/>
  <c r="G175" i="7" s="1"/>
  <c r="D174" i="7"/>
  <c r="G174" i="7" s="1"/>
  <c r="D173" i="7"/>
  <c r="G173" i="7" s="1"/>
  <c r="D172" i="7"/>
  <c r="G172" i="7" s="1"/>
  <c r="G170" i="7"/>
  <c r="G169" i="7"/>
  <c r="G167" i="7"/>
  <c r="G166" i="7"/>
  <c r="G165" i="7"/>
  <c r="G164" i="7"/>
  <c r="G162" i="7"/>
  <c r="G161" i="7"/>
  <c r="G160" i="7"/>
  <c r="G159" i="7"/>
  <c r="G158" i="7"/>
  <c r="G157" i="7"/>
  <c r="E155" i="7"/>
  <c r="G155" i="7" s="1"/>
  <c r="E154" i="7"/>
  <c r="D154" i="7"/>
  <c r="E153" i="7"/>
  <c r="D153" i="7"/>
  <c r="E152" i="7"/>
  <c r="D152" i="7"/>
  <c r="E151" i="7"/>
  <c r="D151" i="7"/>
  <c r="E150" i="7"/>
  <c r="D150" i="7"/>
  <c r="D149" i="7"/>
  <c r="G149" i="7" s="1"/>
  <c r="E147" i="7"/>
  <c r="D147" i="7"/>
  <c r="E146" i="7"/>
  <c r="D146" i="7"/>
  <c r="E145" i="7"/>
  <c r="D145" i="7"/>
  <c r="E144" i="7"/>
  <c r="D144" i="7"/>
  <c r="E143" i="7"/>
  <c r="D143" i="7"/>
  <c r="E142" i="7"/>
  <c r="D142" i="7"/>
  <c r="E140" i="7"/>
  <c r="D140" i="7"/>
  <c r="E139" i="7"/>
  <c r="D139" i="7"/>
  <c r="E138" i="7"/>
  <c r="D138" i="7"/>
  <c r="E136" i="7"/>
  <c r="D136" i="7"/>
  <c r="E135" i="7"/>
  <c r="D135" i="7"/>
  <c r="E134" i="7"/>
  <c r="D134" i="7"/>
  <c r="E133" i="7"/>
  <c r="D133" i="7"/>
  <c r="E132" i="7"/>
  <c r="D132" i="7"/>
  <c r="E130" i="7"/>
  <c r="D130" i="7"/>
  <c r="D129" i="7"/>
  <c r="G129" i="7" s="1"/>
  <c r="C151" i="4" s="1"/>
  <c r="D127" i="7"/>
  <c r="G127" i="7" s="1"/>
  <c r="D126" i="7"/>
  <c r="G126" i="7" s="1"/>
  <c r="D125" i="7"/>
  <c r="G125" i="7" s="1"/>
  <c r="D124" i="7"/>
  <c r="G124" i="7" s="1"/>
  <c r="D123" i="7"/>
  <c r="G123" i="7" s="1"/>
  <c r="D122" i="7"/>
  <c r="G122" i="7" s="1"/>
  <c r="G120" i="7"/>
  <c r="G119" i="7"/>
  <c r="G118" i="7"/>
  <c r="G117" i="7"/>
  <c r="G116" i="7"/>
  <c r="G115" i="7"/>
  <c r="D114" i="7"/>
  <c r="G114" i="7" s="1"/>
  <c r="D113" i="7"/>
  <c r="G113" i="7" s="1"/>
  <c r="D111" i="7"/>
  <c r="G111" i="7" s="1"/>
  <c r="D110" i="7"/>
  <c r="G110" i="7" s="1"/>
  <c r="D109" i="7"/>
  <c r="G109" i="7" s="1"/>
  <c r="D108" i="7"/>
  <c r="G108" i="7" s="1"/>
  <c r="D107" i="7"/>
  <c r="G107" i="7" s="1"/>
  <c r="D106" i="7"/>
  <c r="G106" i="7" s="1"/>
  <c r="D105" i="7"/>
  <c r="G105" i="7" s="1"/>
  <c r="D104" i="7"/>
  <c r="G104" i="7" s="1"/>
  <c r="D103" i="7"/>
  <c r="G103" i="7" s="1"/>
  <c r="D102" i="7"/>
  <c r="G102" i="7" s="1"/>
  <c r="D101" i="7"/>
  <c r="G101" i="7" s="1"/>
  <c r="D100" i="7"/>
  <c r="G100" i="7" s="1"/>
  <c r="D99" i="7"/>
  <c r="G99" i="7" s="1"/>
  <c r="D97" i="7"/>
  <c r="G97" i="7" s="1"/>
  <c r="D96" i="7"/>
  <c r="G96" i="7" s="1"/>
  <c r="D95" i="7"/>
  <c r="G95" i="7" s="1"/>
  <c r="D94" i="7"/>
  <c r="G94" i="7" s="1"/>
  <c r="D93" i="7"/>
  <c r="G93" i="7" s="1"/>
  <c r="D92" i="7"/>
  <c r="G92" i="7" s="1"/>
  <c r="D91" i="7"/>
  <c r="G91" i="7" s="1"/>
  <c r="D90" i="7"/>
  <c r="G90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2" i="7"/>
  <c r="G82" i="7" s="1"/>
  <c r="D81" i="7"/>
  <c r="G81" i="7" s="1"/>
  <c r="D79" i="7"/>
  <c r="G79" i="7" s="1"/>
  <c r="G78" i="7"/>
  <c r="D77" i="7"/>
  <c r="G77" i="7" s="1"/>
  <c r="D76" i="7"/>
  <c r="G76" i="7" s="1"/>
  <c r="D75" i="7"/>
  <c r="G75" i="7" s="1"/>
  <c r="D73" i="7"/>
  <c r="G73" i="7" s="1"/>
  <c r="C176" i="4" s="1"/>
  <c r="D72" i="7"/>
  <c r="G72" i="7" s="1"/>
  <c r="C170" i="4" s="1"/>
  <c r="E70" i="7"/>
  <c r="D70" i="7"/>
  <c r="E69" i="7"/>
  <c r="D69" i="7"/>
  <c r="E68" i="7"/>
  <c r="G68" i="7" s="1"/>
  <c r="D64" i="7"/>
  <c r="G64" i="7" s="1"/>
  <c r="C9" i="4" s="1"/>
  <c r="E63" i="7"/>
  <c r="D63" i="7"/>
  <c r="D58" i="7"/>
  <c r="G58" i="7" s="1"/>
  <c r="D57" i="7"/>
  <c r="G57" i="7" s="1"/>
  <c r="D55" i="7"/>
  <c r="G55" i="7" s="1"/>
  <c r="D54" i="7"/>
  <c r="G54" i="7" s="1"/>
  <c r="D51" i="7"/>
  <c r="G51" i="7" s="1"/>
  <c r="C174" i="4" s="1"/>
  <c r="D50" i="7"/>
  <c r="G50" i="7" s="1"/>
  <c r="C168" i="4" s="1"/>
  <c r="D47" i="7"/>
  <c r="G47" i="7" s="1"/>
  <c r="C173" i="4" s="1"/>
  <c r="D46" i="7"/>
  <c r="G46" i="7" s="1"/>
  <c r="C167" i="4" s="1"/>
  <c r="D43" i="7"/>
  <c r="G43" i="7" s="1"/>
  <c r="C157" i="4" s="1"/>
  <c r="D40" i="7"/>
  <c r="G40" i="7" s="1"/>
  <c r="D39" i="7"/>
  <c r="G39" i="7" s="1"/>
  <c r="D38" i="7"/>
  <c r="G38" i="7" s="1"/>
  <c r="D36" i="7"/>
  <c r="G36" i="7" s="1"/>
  <c r="D35" i="7"/>
  <c r="G35" i="7" s="1"/>
  <c r="D34" i="7"/>
  <c r="G34" i="7" s="1"/>
  <c r="G32" i="7"/>
  <c r="D31" i="7"/>
  <c r="G31" i="7" s="1"/>
  <c r="D30" i="7"/>
  <c r="G30" i="7" s="1"/>
  <c r="D28" i="7"/>
  <c r="G28" i="7" s="1"/>
  <c r="D27" i="7"/>
  <c r="G27" i="7" s="1"/>
  <c r="D26" i="7"/>
  <c r="G26" i="7" s="1"/>
  <c r="D25" i="7"/>
  <c r="G25" i="7" s="1"/>
  <c r="E24" i="7"/>
  <c r="D24" i="7"/>
  <c r="E23" i="7"/>
  <c r="D23" i="7"/>
  <c r="D21" i="7"/>
  <c r="G21" i="7" s="1"/>
  <c r="D20" i="7"/>
  <c r="G20" i="7" s="1"/>
  <c r="G22" i="7" s="1"/>
  <c r="C161" i="4" s="1"/>
  <c r="D18" i="7"/>
  <c r="G18" i="7" s="1"/>
  <c r="D17" i="7"/>
  <c r="G17" i="7" s="1"/>
  <c r="D16" i="7"/>
  <c r="G16" i="7" s="1"/>
  <c r="C156" i="4" s="1"/>
  <c r="E14" i="7"/>
  <c r="D14" i="7"/>
  <c r="D13" i="7"/>
  <c r="G13" i="7" s="1"/>
  <c r="G12" i="7"/>
  <c r="E10" i="7"/>
  <c r="D10" i="7"/>
  <c r="E9" i="7"/>
  <c r="D9" i="7"/>
  <c r="G8" i="7"/>
  <c r="G216" i="7" l="1"/>
  <c r="G171" i="7"/>
  <c r="C10" i="4" s="1"/>
  <c r="G241" i="7"/>
  <c r="C34" i="3" s="1"/>
  <c r="C33" i="3" s="1"/>
  <c r="H19" i="9" s="1"/>
  <c r="G143" i="7"/>
  <c r="G128" i="7"/>
  <c r="C83" i="4" s="1"/>
  <c r="G19" i="7"/>
  <c r="C164" i="4" s="1"/>
  <c r="G33" i="7"/>
  <c r="C126" i="4" s="1"/>
  <c r="G176" i="7"/>
  <c r="C84" i="4" s="1"/>
  <c r="G147" i="7"/>
  <c r="G199" i="7"/>
  <c r="C104" i="6" s="1"/>
  <c r="C103" i="6" s="1"/>
  <c r="E19" i="9" s="1"/>
  <c r="G150" i="7"/>
  <c r="G9" i="7"/>
  <c r="C194" i="4" s="1"/>
  <c r="C193" i="4" s="1"/>
  <c r="F15" i="9" s="1"/>
  <c r="G80" i="7"/>
  <c r="C208" i="4" s="1"/>
  <c r="C207" i="4" s="1"/>
  <c r="F38" i="9" s="1"/>
  <c r="G23" i="7"/>
  <c r="C197" i="4" s="1"/>
  <c r="C196" i="4" s="1"/>
  <c r="F16" i="9" s="1"/>
  <c r="G136" i="7"/>
  <c r="G10" i="7"/>
  <c r="C110" i="6"/>
  <c r="C109" i="6" s="1"/>
  <c r="E39" i="9" s="1"/>
  <c r="G138" i="7"/>
  <c r="G152" i="7"/>
  <c r="G168" i="7"/>
  <c r="C190" i="4" s="1"/>
  <c r="C189" i="4" s="1"/>
  <c r="F25" i="9" s="1"/>
  <c r="G190" i="7"/>
  <c r="C72" i="6" s="1"/>
  <c r="G221" i="7"/>
  <c r="G187" i="7"/>
  <c r="C96" i="6" s="1"/>
  <c r="C95" i="6" s="1"/>
  <c r="E32" i="9" s="1"/>
  <c r="G56" i="7"/>
  <c r="C169" i="4" s="1"/>
  <c r="G70" i="7"/>
  <c r="G163" i="7"/>
  <c r="C201" i="4" s="1"/>
  <c r="G24" i="7"/>
  <c r="C24" i="4" s="1"/>
  <c r="G130" i="7"/>
  <c r="C29" i="4" s="1"/>
  <c r="C28" i="4" s="1"/>
  <c r="F8" i="9" s="1"/>
  <c r="G144" i="7"/>
  <c r="G151" i="7"/>
  <c r="G14" i="7"/>
  <c r="C150" i="4" s="1"/>
  <c r="G29" i="7"/>
  <c r="G132" i="7"/>
  <c r="G145" i="7"/>
  <c r="G139" i="7"/>
  <c r="G63" i="7"/>
  <c r="C200" i="4" s="1"/>
  <c r="G133" i="7"/>
  <c r="G146" i="7"/>
  <c r="G140" i="7"/>
  <c r="G153" i="7"/>
  <c r="G134" i="7"/>
  <c r="G121" i="7"/>
  <c r="C135" i="4" s="1"/>
  <c r="G142" i="7"/>
  <c r="G154" i="7"/>
  <c r="G135" i="7"/>
  <c r="G37" i="7"/>
  <c r="C92" i="4" s="1"/>
  <c r="G69" i="7"/>
  <c r="G112" i="7"/>
  <c r="C17" i="4" s="1"/>
  <c r="G98" i="7"/>
  <c r="C93" i="4" s="1"/>
  <c r="G41" i="7"/>
  <c r="C134" i="4" s="1"/>
  <c r="G59" i="7"/>
  <c r="C175" i="4" s="1"/>
  <c r="C199" i="4" l="1"/>
  <c r="C163" i="4"/>
  <c r="F49" i="9" s="1"/>
  <c r="J49" i="9" s="1"/>
  <c r="G64" i="10" s="1"/>
  <c r="H64" i="10" s="1"/>
  <c r="E73" i="11" s="1"/>
  <c r="H73" i="11" s="1"/>
  <c r="C166" i="4"/>
  <c r="F32" i="9" s="1"/>
  <c r="J32" i="9" s="1"/>
  <c r="G49" i="10" s="1"/>
  <c r="H49" i="10" s="1"/>
  <c r="E58" i="11" s="1"/>
  <c r="H58" i="11" s="1"/>
  <c r="J15" i="9"/>
  <c r="G19" i="10" s="1"/>
  <c r="H19" i="10" s="1"/>
  <c r="E28" i="11" s="1"/>
  <c r="H28" i="11" s="1"/>
  <c r="J38" i="9"/>
  <c r="G54" i="10" s="1"/>
  <c r="H54" i="10" s="1"/>
  <c r="E63" i="11" s="1"/>
  <c r="H63" i="11" s="1"/>
  <c r="J8" i="9"/>
  <c r="G11" i="10" s="1"/>
  <c r="H11" i="10" s="1"/>
  <c r="E20" i="11" s="1"/>
  <c r="H20" i="11" s="1"/>
  <c r="J16" i="9"/>
  <c r="G21" i="10" s="1"/>
  <c r="H21" i="10" s="1"/>
  <c r="E30" i="11" s="1"/>
  <c r="H30" i="11" s="1"/>
  <c r="F13" i="9"/>
  <c r="G148" i="7"/>
  <c r="C187" i="4" s="1"/>
  <c r="C186" i="4" s="1"/>
  <c r="F44" i="9" s="1"/>
  <c r="J44" i="9" s="1"/>
  <c r="G156" i="7"/>
  <c r="C152" i="4" s="1"/>
  <c r="C149" i="4" s="1"/>
  <c r="F12" i="9" s="1"/>
  <c r="G71" i="7"/>
  <c r="C25" i="4" s="1"/>
  <c r="G141" i="7"/>
  <c r="C184" i="4" s="1"/>
  <c r="C183" i="4" s="1"/>
  <c r="F7" i="9" s="1"/>
  <c r="G137" i="7"/>
  <c r="C181" i="4" s="1"/>
  <c r="C180" i="4" s="1"/>
  <c r="F50" i="9" s="1"/>
  <c r="J7" i="9" l="1"/>
  <c r="G60" i="10" s="1"/>
  <c r="H60" i="10" s="1"/>
  <c r="E69" i="11" s="1"/>
  <c r="H69" i="11" s="1"/>
  <c r="J50" i="9"/>
  <c r="G65" i="10" s="1"/>
  <c r="H65" i="10" s="1"/>
  <c r="E74" i="11" s="1"/>
  <c r="H74" i="11" s="1"/>
  <c r="J13" i="9"/>
  <c r="G17" i="10" s="1"/>
  <c r="H17" i="10" s="1"/>
  <c r="E26" i="11" s="1"/>
  <c r="H26" i="11" s="1"/>
  <c r="G8" i="10"/>
  <c r="H8" i="10" s="1"/>
  <c r="E17" i="11" s="1"/>
  <c r="H17" i="11" s="1"/>
  <c r="I219" i="2"/>
  <c r="I154" i="2"/>
  <c r="I148" i="2"/>
  <c r="I131" i="2"/>
  <c r="I14" i="2"/>
  <c r="G301" i="2"/>
  <c r="E301" i="2"/>
  <c r="G300" i="2"/>
  <c r="E300" i="2"/>
  <c r="G299" i="2"/>
  <c r="E299" i="2"/>
  <c r="G298" i="2"/>
  <c r="E298" i="2"/>
  <c r="G297" i="2"/>
  <c r="E297" i="2"/>
  <c r="G296" i="2"/>
  <c r="E296" i="2"/>
  <c r="G295" i="2"/>
  <c r="E295" i="2"/>
  <c r="G294" i="2"/>
  <c r="E294" i="2"/>
  <c r="E290" i="2"/>
  <c r="I290" i="2" s="1"/>
  <c r="E289" i="2"/>
  <c r="I289" i="2" s="1"/>
  <c r="I291" i="2" s="1"/>
  <c r="C16" i="4" s="1"/>
  <c r="E287" i="2"/>
  <c r="I287" i="2" s="1"/>
  <c r="E286" i="2"/>
  <c r="I286" i="2" s="1"/>
  <c r="E284" i="2"/>
  <c r="E283" i="2"/>
  <c r="E280" i="2"/>
  <c r="I280" i="2" s="1"/>
  <c r="C155" i="4" s="1"/>
  <c r="C154" i="4" s="1"/>
  <c r="F45" i="9" s="1"/>
  <c r="E279" i="2"/>
  <c r="I279" i="2" s="1"/>
  <c r="C147" i="4" s="1"/>
  <c r="E278" i="2"/>
  <c r="I278" i="2" s="1"/>
  <c r="C133" i="4" s="1"/>
  <c r="E277" i="2"/>
  <c r="I277" i="2" s="1"/>
  <c r="C19" i="4" s="1"/>
  <c r="E276" i="2"/>
  <c r="I276" i="2" s="1"/>
  <c r="C96" i="4" s="1"/>
  <c r="E275" i="2"/>
  <c r="I275" i="2" s="1"/>
  <c r="C128" i="4" s="1"/>
  <c r="E272" i="2"/>
  <c r="I272" i="2" s="1"/>
  <c r="C140" i="4" s="1"/>
  <c r="E271" i="2"/>
  <c r="I271" i="2" s="1"/>
  <c r="C144" i="4" s="1"/>
  <c r="E268" i="2"/>
  <c r="I268" i="2" s="1"/>
  <c r="G267" i="2"/>
  <c r="E267" i="2"/>
  <c r="E264" i="2"/>
  <c r="I264" i="2" s="1"/>
  <c r="E263" i="2"/>
  <c r="I263" i="2" s="1"/>
  <c r="E262" i="2"/>
  <c r="I262" i="2" s="1"/>
  <c r="G261" i="2"/>
  <c r="E261" i="2"/>
  <c r="E259" i="2"/>
  <c r="I259" i="2" s="1"/>
  <c r="E258" i="2"/>
  <c r="I258" i="2" s="1"/>
  <c r="G257" i="2"/>
  <c r="E257" i="2"/>
  <c r="G256" i="2"/>
  <c r="E256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6" i="2"/>
  <c r="E246" i="2"/>
  <c r="G245" i="2"/>
  <c r="E245" i="2"/>
  <c r="G244" i="2"/>
  <c r="E244" i="2"/>
  <c r="G243" i="2"/>
  <c r="E243" i="2"/>
  <c r="G242" i="2"/>
  <c r="E242" i="2"/>
  <c r="E239" i="2"/>
  <c r="I239" i="2" s="1"/>
  <c r="G238" i="2"/>
  <c r="E238" i="2"/>
  <c r="E230" i="2"/>
  <c r="I230" i="2" s="1"/>
  <c r="C143" i="4" s="1"/>
  <c r="I228" i="2"/>
  <c r="C60" i="4" s="1"/>
  <c r="G226" i="2"/>
  <c r="E226" i="2"/>
  <c r="G225" i="2"/>
  <c r="E225" i="2"/>
  <c r="E222" i="2"/>
  <c r="I222" i="2" s="1"/>
  <c r="C59" i="4" s="1"/>
  <c r="G220" i="2"/>
  <c r="E216" i="2"/>
  <c r="I216" i="2" s="1"/>
  <c r="C58" i="4" s="1"/>
  <c r="G215" i="2"/>
  <c r="E215" i="2"/>
  <c r="E211" i="2"/>
  <c r="I211" i="2" s="1"/>
  <c r="C119" i="4" s="1"/>
  <c r="E210" i="2"/>
  <c r="I210" i="2" s="1"/>
  <c r="C123" i="4" s="1"/>
  <c r="G209" i="2"/>
  <c r="E209" i="2"/>
  <c r="G208" i="2"/>
  <c r="E208" i="2"/>
  <c r="I208" i="2" s="1"/>
  <c r="G205" i="2"/>
  <c r="I205" i="2" s="1"/>
  <c r="E205" i="2"/>
  <c r="E204" i="2"/>
  <c r="I204" i="2" s="1"/>
  <c r="I206" i="2" s="1"/>
  <c r="C97" i="4" s="1"/>
  <c r="I201" i="2"/>
  <c r="C57" i="4" s="1"/>
  <c r="G200" i="2"/>
  <c r="E200" i="2"/>
  <c r="E197" i="2"/>
  <c r="I197" i="2" s="1"/>
  <c r="C56" i="4" s="1"/>
  <c r="E196" i="2"/>
  <c r="I193" i="2"/>
  <c r="C115" i="4" s="1"/>
  <c r="E192" i="2"/>
  <c r="I192" i="2" s="1"/>
  <c r="C105" i="4" s="1"/>
  <c r="C104" i="4" s="1"/>
  <c r="F30" i="9" s="1"/>
  <c r="G187" i="2"/>
  <c r="E187" i="2"/>
  <c r="I187" i="2" s="1"/>
  <c r="C178" i="4" s="1"/>
  <c r="E186" i="2"/>
  <c r="G185" i="2"/>
  <c r="E185" i="2"/>
  <c r="I185" i="2" s="1"/>
  <c r="I181" i="2"/>
  <c r="C139" i="4" s="1"/>
  <c r="I180" i="2"/>
  <c r="C132" i="4" s="1"/>
  <c r="I179" i="2"/>
  <c r="C18" i="4" s="1"/>
  <c r="I178" i="2"/>
  <c r="C95" i="4" s="1"/>
  <c r="I177" i="2"/>
  <c r="C127" i="4" s="1"/>
  <c r="I176" i="2"/>
  <c r="C61" i="4" s="1"/>
  <c r="E174" i="2"/>
  <c r="E170" i="2"/>
  <c r="I168" i="2"/>
  <c r="C114" i="4" s="1"/>
  <c r="E164" i="2"/>
  <c r="I164" i="2" s="1"/>
  <c r="E163" i="2"/>
  <c r="I163" i="2" s="1"/>
  <c r="I165" i="2" s="1"/>
  <c r="C55" i="4" s="1"/>
  <c r="G159" i="2"/>
  <c r="E159" i="2"/>
  <c r="G158" i="2"/>
  <c r="E158" i="2"/>
  <c r="G157" i="2"/>
  <c r="E157" i="2"/>
  <c r="G152" i="2"/>
  <c r="E147" i="2"/>
  <c r="I147" i="2" s="1"/>
  <c r="C122" i="4" s="1"/>
  <c r="C121" i="4" s="1"/>
  <c r="E146" i="2"/>
  <c r="I146" i="2" s="1"/>
  <c r="C118" i="4" s="1"/>
  <c r="G145" i="2"/>
  <c r="I145" i="2" s="1"/>
  <c r="C11" i="4" s="1"/>
  <c r="E145" i="2"/>
  <c r="E144" i="2"/>
  <c r="I144" i="2" s="1"/>
  <c r="C54" i="4" s="1"/>
  <c r="E140" i="2"/>
  <c r="I140" i="2" s="1"/>
  <c r="G137" i="2"/>
  <c r="E137" i="2"/>
  <c r="E139" i="2"/>
  <c r="I139" i="2" s="1"/>
  <c r="G136" i="2"/>
  <c r="E136" i="2"/>
  <c r="G135" i="2"/>
  <c r="E134" i="2"/>
  <c r="E130" i="2"/>
  <c r="E129" i="2"/>
  <c r="E126" i="2"/>
  <c r="E125" i="2"/>
  <c r="I115" i="2"/>
  <c r="C34" i="6" s="1"/>
  <c r="E112" i="2"/>
  <c r="C33" i="6"/>
  <c r="E108" i="2"/>
  <c r="I108" i="2" s="1"/>
  <c r="E107" i="2"/>
  <c r="I107" i="2" s="1"/>
  <c r="I109" i="2" s="1"/>
  <c r="E103" i="2"/>
  <c r="I103" i="2" s="1"/>
  <c r="E102" i="2"/>
  <c r="I102" i="2" s="1"/>
  <c r="I101" i="2"/>
  <c r="I100" i="2"/>
  <c r="E99" i="2"/>
  <c r="I99" i="2" s="1"/>
  <c r="E98" i="2"/>
  <c r="I98" i="2" s="1"/>
  <c r="E97" i="2"/>
  <c r="I97" i="2" s="1"/>
  <c r="I96" i="2"/>
  <c r="E95" i="2"/>
  <c r="I95" i="2" s="1"/>
  <c r="I94" i="2"/>
  <c r="I93" i="2"/>
  <c r="E92" i="2"/>
  <c r="I92" i="2" s="1"/>
  <c r="E91" i="2"/>
  <c r="I91" i="2" s="1"/>
  <c r="E89" i="2"/>
  <c r="I89" i="2" s="1"/>
  <c r="E88" i="2"/>
  <c r="I88" i="2" s="1"/>
  <c r="I87" i="2"/>
  <c r="E86" i="2"/>
  <c r="I86" i="2" s="1"/>
  <c r="E85" i="2"/>
  <c r="I85" i="2" s="1"/>
  <c r="E84" i="2"/>
  <c r="I84" i="2" s="1"/>
  <c r="E83" i="2"/>
  <c r="I83" i="2" s="1"/>
  <c r="E82" i="2"/>
  <c r="I82" i="2" s="1"/>
  <c r="E81" i="2"/>
  <c r="I81" i="2" s="1"/>
  <c r="E80" i="2"/>
  <c r="I80" i="2" s="1"/>
  <c r="E79" i="2"/>
  <c r="I79" i="2" s="1"/>
  <c r="E78" i="2"/>
  <c r="I78" i="2" s="1"/>
  <c r="I75" i="2"/>
  <c r="C87" i="6" s="1"/>
  <c r="C86" i="6" s="1"/>
  <c r="E24" i="9" s="1"/>
  <c r="I74" i="2"/>
  <c r="C84" i="6" s="1"/>
  <c r="I73" i="2"/>
  <c r="C78" i="6" s="1"/>
  <c r="I72" i="2"/>
  <c r="C70" i="6" s="1"/>
  <c r="E71" i="2"/>
  <c r="I71" i="2" s="1"/>
  <c r="C83" i="6" s="1"/>
  <c r="E70" i="2"/>
  <c r="I70" i="2" s="1"/>
  <c r="C77" i="6" s="1"/>
  <c r="E69" i="2"/>
  <c r="I69" i="2" s="1"/>
  <c r="C69" i="6" s="1"/>
  <c r="I68" i="2"/>
  <c r="C74" i="6" s="1"/>
  <c r="I66" i="2"/>
  <c r="C66" i="6" s="1"/>
  <c r="C65" i="6" s="1"/>
  <c r="E12" i="9" s="1"/>
  <c r="I63" i="2"/>
  <c r="C31" i="6" s="1"/>
  <c r="I61" i="2"/>
  <c r="I60" i="2"/>
  <c r="E58" i="2"/>
  <c r="I58" i="2" s="1"/>
  <c r="E57" i="2"/>
  <c r="I57" i="2" s="1"/>
  <c r="E56" i="2"/>
  <c r="I56" i="2" s="1"/>
  <c r="E55" i="2"/>
  <c r="I55" i="2" s="1"/>
  <c r="G53" i="2"/>
  <c r="E53" i="2"/>
  <c r="G52" i="2"/>
  <c r="E52" i="2"/>
  <c r="G51" i="2"/>
  <c r="E51" i="2"/>
  <c r="G50" i="2"/>
  <c r="E50" i="2"/>
  <c r="G49" i="2"/>
  <c r="E49" i="2"/>
  <c r="G48" i="2"/>
  <c r="E48" i="2"/>
  <c r="I45" i="2"/>
  <c r="E44" i="2"/>
  <c r="I44" i="2" s="1"/>
  <c r="I46" i="2" s="1"/>
  <c r="I42" i="2"/>
  <c r="E41" i="2"/>
  <c r="I41" i="2" s="1"/>
  <c r="I43" i="2" s="1"/>
  <c r="I39" i="2"/>
  <c r="E38" i="2"/>
  <c r="I38" i="2" s="1"/>
  <c r="I40" i="2" s="1"/>
  <c r="E36" i="2"/>
  <c r="I36" i="2" s="1"/>
  <c r="C30" i="6" s="1"/>
  <c r="G35" i="2"/>
  <c r="E33" i="2"/>
  <c r="I33" i="2" s="1"/>
  <c r="C29" i="6" s="1"/>
  <c r="E28" i="2"/>
  <c r="I28" i="2" s="1"/>
  <c r="C28" i="6" s="1"/>
  <c r="G27" i="2"/>
  <c r="E24" i="2"/>
  <c r="I24" i="2" s="1"/>
  <c r="C80" i="6" s="1"/>
  <c r="E23" i="2"/>
  <c r="I23" i="2" s="1"/>
  <c r="C51" i="6" s="1"/>
  <c r="C50" i="6" s="1"/>
  <c r="E43" i="9" s="1"/>
  <c r="E22" i="2"/>
  <c r="I22" i="2" s="1"/>
  <c r="C47" i="6" s="1"/>
  <c r="G21" i="2"/>
  <c r="I21" i="2" s="1"/>
  <c r="E21" i="2"/>
  <c r="I18" i="2"/>
  <c r="E17" i="2"/>
  <c r="I17" i="2" s="1"/>
  <c r="E16" i="2"/>
  <c r="E10" i="2"/>
  <c r="I10" i="2" s="1"/>
  <c r="C27" i="6" s="1"/>
  <c r="G9" i="2"/>
  <c r="E9" i="2"/>
  <c r="C117" i="4" l="1"/>
  <c r="F43" i="9" s="1"/>
  <c r="I104" i="2"/>
  <c r="C138" i="4"/>
  <c r="C113" i="4"/>
  <c r="C125" i="4"/>
  <c r="F47" i="9" s="1"/>
  <c r="C142" i="4"/>
  <c r="F20" i="9" s="1"/>
  <c r="C131" i="4"/>
  <c r="F24" i="9" s="1"/>
  <c r="C68" i="6"/>
  <c r="E33" i="9" s="1"/>
  <c r="C172" i="4"/>
  <c r="F33" i="9" s="1"/>
  <c r="C146" i="4"/>
  <c r="F48" i="9" s="1"/>
  <c r="J48" i="9" s="1"/>
  <c r="G63" i="10" s="1"/>
  <c r="H63" i="10" s="1"/>
  <c r="E72" i="11" s="1"/>
  <c r="H72" i="11" s="1"/>
  <c r="F31" i="9"/>
  <c r="J12" i="9"/>
  <c r="G15" i="10" s="1"/>
  <c r="H15" i="10" s="1"/>
  <c r="E24" i="11" s="1"/>
  <c r="H24" i="11" s="1"/>
  <c r="C82" i="6"/>
  <c r="E35" i="9" s="1"/>
  <c r="C76" i="6"/>
  <c r="E34" i="9" s="1"/>
  <c r="I19" i="2"/>
  <c r="C48" i="6" s="1"/>
  <c r="C46" i="6" s="1"/>
  <c r="E31" i="9" s="1"/>
  <c r="F46" i="9"/>
  <c r="F26" i="9"/>
  <c r="C54" i="6"/>
  <c r="C53" i="6" s="1"/>
  <c r="E21" i="9" s="1"/>
  <c r="I141" i="2"/>
  <c r="C53" i="4" s="1"/>
  <c r="I288" i="2"/>
  <c r="C91" i="4" s="1"/>
  <c r="C58" i="6"/>
  <c r="C57" i="6" s="1"/>
  <c r="E22" i="9" s="1"/>
  <c r="I285" i="2"/>
  <c r="C160" i="4" s="1"/>
  <c r="I238" i="2"/>
  <c r="I267" i="2"/>
  <c r="I112" i="2"/>
  <c r="I35" i="2"/>
  <c r="C18" i="6" s="1"/>
  <c r="I296" i="2"/>
  <c r="I50" i="2"/>
  <c r="I62" i="2"/>
  <c r="C20" i="6" s="1"/>
  <c r="I246" i="2"/>
  <c r="I253" i="2"/>
  <c r="I125" i="2"/>
  <c r="I162" i="2"/>
  <c r="C41" i="4" s="1"/>
  <c r="I27" i="2"/>
  <c r="C16" i="6" s="1"/>
  <c r="I186" i="2"/>
  <c r="C111" i="4" s="1"/>
  <c r="I174" i="2"/>
  <c r="I126" i="2"/>
  <c r="I136" i="2"/>
  <c r="I15" i="2"/>
  <c r="C37" i="6" s="1"/>
  <c r="C36" i="6" s="1"/>
  <c r="E29" i="9" s="1"/>
  <c r="I48" i="2"/>
  <c r="I196" i="2"/>
  <c r="C43" i="4" s="1"/>
  <c r="I261" i="2"/>
  <c r="C32" i="6"/>
  <c r="C26" i="6" s="1"/>
  <c r="E11" i="9" s="1"/>
  <c r="I134" i="2"/>
  <c r="I158" i="2"/>
  <c r="I226" i="2"/>
  <c r="I49" i="2"/>
  <c r="C102" i="4"/>
  <c r="I245" i="2"/>
  <c r="I252" i="2"/>
  <c r="I295" i="2"/>
  <c r="I301" i="2"/>
  <c r="I51" i="2"/>
  <c r="I256" i="2"/>
  <c r="I16" i="2"/>
  <c r="C44" i="6" s="1"/>
  <c r="C43" i="6" s="1"/>
  <c r="E18" i="9" s="1"/>
  <c r="I152" i="2"/>
  <c r="I52" i="2"/>
  <c r="I137" i="2"/>
  <c r="I242" i="2"/>
  <c r="I257" i="2"/>
  <c r="I129" i="2"/>
  <c r="I153" i="2"/>
  <c r="I113" i="2"/>
  <c r="I243" i="2"/>
  <c r="I299" i="2"/>
  <c r="I130" i="2"/>
  <c r="I157" i="2"/>
  <c r="I225" i="2"/>
  <c r="C40" i="6"/>
  <c r="C39" i="6" s="1"/>
  <c r="E30" i="9" s="1"/>
  <c r="J30" i="9" s="1"/>
  <c r="G32" i="10" s="1"/>
  <c r="H32" i="10" s="1"/>
  <c r="E41" i="11" s="1"/>
  <c r="H41" i="11" s="1"/>
  <c r="I170" i="2"/>
  <c r="C109" i="4" s="1"/>
  <c r="I251" i="2"/>
  <c r="I300" i="2"/>
  <c r="I135" i="2"/>
  <c r="I159" i="2"/>
  <c r="I173" i="2"/>
  <c r="I200" i="2"/>
  <c r="C44" i="4" s="1"/>
  <c r="I248" i="2"/>
  <c r="I297" i="2"/>
  <c r="I220" i="2"/>
  <c r="I221" i="2" s="1"/>
  <c r="C46" i="4" s="1"/>
  <c r="C62" i="6"/>
  <c r="C61" i="6" s="1"/>
  <c r="E23" i="9" s="1"/>
  <c r="I249" i="2"/>
  <c r="I298" i="2"/>
  <c r="I32" i="2"/>
  <c r="C17" i="6" s="1"/>
  <c r="C101" i="4"/>
  <c r="I53" i="2"/>
  <c r="I250" i="2"/>
  <c r="I143" i="2"/>
  <c r="C38" i="4" s="1"/>
  <c r="I209" i="2"/>
  <c r="C110" i="4" s="1"/>
  <c r="I9" i="2"/>
  <c r="C15" i="6" s="1"/>
  <c r="I244" i="2"/>
  <c r="I294" i="2"/>
  <c r="I215" i="2"/>
  <c r="C45" i="4" s="1"/>
  <c r="I90" i="2"/>
  <c r="C90" i="6" s="1"/>
  <c r="C89" i="6" s="1"/>
  <c r="E36" i="9" s="1"/>
  <c r="J36" i="9" s="1"/>
  <c r="I59" i="2"/>
  <c r="C24" i="6" s="1"/>
  <c r="C23" i="6" s="1"/>
  <c r="E28" i="9" s="1"/>
  <c r="C93" i="6"/>
  <c r="C92" i="6" s="1"/>
  <c r="E37" i="9" s="1"/>
  <c r="J37" i="9" s="1"/>
  <c r="I54" i="2" l="1"/>
  <c r="C19" i="6" s="1"/>
  <c r="I132" i="2"/>
  <c r="C36" i="4" s="1"/>
  <c r="C100" i="4"/>
  <c r="F29" i="9" s="1"/>
  <c r="J29" i="9" s="1"/>
  <c r="G27" i="10" s="1"/>
  <c r="H27" i="10" s="1"/>
  <c r="E36" i="11" s="1"/>
  <c r="H36" i="11" s="1"/>
  <c r="C108" i="4"/>
  <c r="F18" i="9" s="1"/>
  <c r="J18" i="9" s="1"/>
  <c r="C159" i="4"/>
  <c r="F17" i="9" s="1"/>
  <c r="J31" i="9"/>
  <c r="G46" i="10" s="1"/>
  <c r="H46" i="10" s="1"/>
  <c r="E55" i="11" s="1"/>
  <c r="H55" i="11" s="1"/>
  <c r="J23" i="9"/>
  <c r="G40" i="10" s="1"/>
  <c r="H40" i="10" s="1"/>
  <c r="E49" i="11" s="1"/>
  <c r="H49" i="11" s="1"/>
  <c r="J22" i="9"/>
  <c r="G39" i="10" s="1"/>
  <c r="H39" i="10" s="1"/>
  <c r="E48" i="11" s="1"/>
  <c r="H48" i="11" s="1"/>
  <c r="J21" i="9"/>
  <c r="G38" i="10" s="1"/>
  <c r="H38" i="10" s="1"/>
  <c r="E47" i="11" s="1"/>
  <c r="H47" i="11" s="1"/>
  <c r="J20" i="9"/>
  <c r="G37" i="10" s="1"/>
  <c r="H37" i="10" s="1"/>
  <c r="E46" i="11" s="1"/>
  <c r="H46" i="11" s="1"/>
  <c r="J26" i="9"/>
  <c r="G43" i="10" s="1"/>
  <c r="H43" i="10" s="1"/>
  <c r="E52" i="11" s="1"/>
  <c r="H52" i="11" s="1"/>
  <c r="J43" i="9"/>
  <c r="G59" i="10" s="1"/>
  <c r="H59" i="10" s="1"/>
  <c r="E68" i="11" s="1"/>
  <c r="H68" i="11" s="1"/>
  <c r="J24" i="9"/>
  <c r="G41" i="10" s="1"/>
  <c r="H41" i="10" s="1"/>
  <c r="E50" i="11" s="1"/>
  <c r="H50" i="11" s="1"/>
  <c r="J28" i="9"/>
  <c r="G48" i="10" s="1"/>
  <c r="H48" i="10" s="1"/>
  <c r="E57" i="11" s="1"/>
  <c r="H57" i="11" s="1"/>
  <c r="J47" i="9"/>
  <c r="G62" i="10" s="1"/>
  <c r="H62" i="10" s="1"/>
  <c r="E71" i="11" s="1"/>
  <c r="H71" i="11" s="1"/>
  <c r="G53" i="10"/>
  <c r="H53" i="10" s="1"/>
  <c r="E62" i="11" s="1"/>
  <c r="H62" i="11" s="1"/>
  <c r="I227" i="2"/>
  <c r="C47" i="4" s="1"/>
  <c r="I138" i="2"/>
  <c r="C37" i="4" s="1"/>
  <c r="I155" i="2"/>
  <c r="C39" i="4" s="1"/>
  <c r="I114" i="2"/>
  <c r="C21" i="6" s="1"/>
  <c r="I127" i="2"/>
  <c r="C35" i="4" s="1"/>
  <c r="I302" i="2"/>
  <c r="C48" i="4" s="1"/>
  <c r="I160" i="2"/>
  <c r="C40" i="4" s="1"/>
  <c r="I175" i="2"/>
  <c r="C42" i="4" s="1"/>
  <c r="G33" i="10" l="1"/>
  <c r="H33" i="10" s="1"/>
  <c r="E42" i="11" s="1"/>
  <c r="H42" i="11" s="1"/>
  <c r="C14" i="6"/>
  <c r="E10" i="9" s="1"/>
  <c r="G130" i="1"/>
  <c r="G129" i="1"/>
  <c r="G75" i="1"/>
  <c r="G72" i="1"/>
  <c r="G193" i="1"/>
  <c r="C19" i="8" s="1"/>
  <c r="C18" i="8" s="1"/>
  <c r="I25" i="9" s="1"/>
  <c r="D191" i="1"/>
  <c r="G191" i="1" s="1"/>
  <c r="G190" i="1"/>
  <c r="D188" i="1"/>
  <c r="G188" i="1" s="1"/>
  <c r="G187" i="1"/>
  <c r="D185" i="1"/>
  <c r="G185" i="1" s="1"/>
  <c r="G184" i="1"/>
  <c r="D85" i="1"/>
  <c r="G85" i="1" s="1"/>
  <c r="C88" i="4" s="1"/>
  <c r="E84" i="1"/>
  <c r="D84" i="1"/>
  <c r="G83" i="1"/>
  <c r="C87" i="4" s="1"/>
  <c r="G82" i="1"/>
  <c r="C74" i="4" s="1"/>
  <c r="G139" i="1"/>
  <c r="C90" i="4" s="1"/>
  <c r="G138" i="1"/>
  <c r="C75" i="4" s="1"/>
  <c r="G98" i="1"/>
  <c r="C89" i="4" s="1"/>
  <c r="G97" i="1"/>
  <c r="C82" i="4" s="1"/>
  <c r="C81" i="4" s="1"/>
  <c r="G134" i="1"/>
  <c r="C52" i="4" s="1"/>
  <c r="G60" i="1"/>
  <c r="C51" i="4" s="1"/>
  <c r="C50" i="4" s="1"/>
  <c r="D16" i="1"/>
  <c r="G16" i="1" s="1"/>
  <c r="D15" i="1"/>
  <c r="G15" i="1" s="1"/>
  <c r="D14" i="1"/>
  <c r="G14" i="1" s="1"/>
  <c r="G13" i="1"/>
  <c r="G12" i="1"/>
  <c r="G25" i="1"/>
  <c r="G26" i="1"/>
  <c r="C11" i="5" s="1"/>
  <c r="G27" i="1"/>
  <c r="C16" i="5" s="1"/>
  <c r="G28" i="1"/>
  <c r="G178" i="1"/>
  <c r="G177" i="1"/>
  <c r="G174" i="1"/>
  <c r="G173" i="1"/>
  <c r="G170" i="1"/>
  <c r="G169" i="1"/>
  <c r="G168" i="1"/>
  <c r="G167" i="1"/>
  <c r="G163" i="1"/>
  <c r="G162" i="1"/>
  <c r="G164" i="1"/>
  <c r="G159" i="1"/>
  <c r="G158" i="1"/>
  <c r="G157" i="1"/>
  <c r="D155" i="1"/>
  <c r="G155" i="1" s="1"/>
  <c r="G156" i="1"/>
  <c r="G152" i="1"/>
  <c r="D151" i="1"/>
  <c r="G151" i="1" s="1"/>
  <c r="G149" i="1"/>
  <c r="G148" i="1"/>
  <c r="G147" i="1"/>
  <c r="G146" i="1"/>
  <c r="G124" i="1"/>
  <c r="G123" i="1"/>
  <c r="G122" i="1"/>
  <c r="G121" i="1"/>
  <c r="G120" i="1"/>
  <c r="G119" i="1"/>
  <c r="G115" i="1"/>
  <c r="G114" i="1"/>
  <c r="G110" i="1"/>
  <c r="G109" i="1"/>
  <c r="G105" i="1"/>
  <c r="G106" i="1"/>
  <c r="G107" i="1"/>
  <c r="G108" i="1"/>
  <c r="G104" i="1"/>
  <c r="G103" i="1"/>
  <c r="G102" i="1"/>
  <c r="G94" i="1"/>
  <c r="D93" i="1"/>
  <c r="G93" i="1" s="1"/>
  <c r="G89" i="1"/>
  <c r="G88" i="1"/>
  <c r="D79" i="1"/>
  <c r="G79" i="1" s="1"/>
  <c r="G78" i="1"/>
  <c r="G77" i="1"/>
  <c r="D76" i="1"/>
  <c r="G76" i="1" s="1"/>
  <c r="G74" i="1"/>
  <c r="G73" i="1"/>
  <c r="G68" i="1"/>
  <c r="G67" i="1"/>
  <c r="G66" i="1"/>
  <c r="G65" i="1"/>
  <c r="D34" i="1"/>
  <c r="G34" i="1" s="1"/>
  <c r="D50" i="1"/>
  <c r="G50" i="1" s="1"/>
  <c r="C15" i="4" s="1"/>
  <c r="C14" i="4" s="1"/>
  <c r="D49" i="1"/>
  <c r="G49" i="1" s="1"/>
  <c r="C94" i="4" s="1"/>
  <c r="D48" i="1"/>
  <c r="G48" i="1" s="1"/>
  <c r="C8" i="4" s="1"/>
  <c r="C7" i="4" s="1"/>
  <c r="D39" i="1"/>
  <c r="G39" i="1" s="1"/>
  <c r="D35" i="1"/>
  <c r="G35" i="1" s="1"/>
  <c r="G43" i="1"/>
  <c r="D38" i="1"/>
  <c r="G38" i="1" s="1"/>
  <c r="G42" i="1"/>
  <c r="D41" i="1"/>
  <c r="G41" i="1" s="1"/>
  <c r="C27" i="5" s="1"/>
  <c r="C26" i="5" s="1"/>
  <c r="G25" i="9" s="1"/>
  <c r="D37" i="1"/>
  <c r="G37" i="1" s="1"/>
  <c r="G33" i="1"/>
  <c r="G32" i="1"/>
  <c r="C13" i="5" s="1"/>
  <c r="G31" i="1"/>
  <c r="C24" i="5" s="1"/>
  <c r="C23" i="5" s="1"/>
  <c r="G46" i="9" s="1"/>
  <c r="J46" i="9" s="1"/>
  <c r="G61" i="10" s="1"/>
  <c r="H61" i="10" s="1"/>
  <c r="E70" i="11" s="1"/>
  <c r="H70" i="11" s="1"/>
  <c r="C11" i="3"/>
  <c r="H11" i="9" s="1"/>
  <c r="G9" i="1"/>
  <c r="C8" i="3" s="1"/>
  <c r="C7" i="3" s="1"/>
  <c r="H9" i="9" s="1"/>
  <c r="J9" i="9" s="1"/>
  <c r="G12" i="10" s="1"/>
  <c r="H12" i="10" s="1"/>
  <c r="E21" i="11" s="1"/>
  <c r="H21" i="11" s="1"/>
  <c r="C73" i="4" l="1"/>
  <c r="F41" i="9" s="1"/>
  <c r="C86" i="4"/>
  <c r="F34" i="9" s="1"/>
  <c r="F40" i="9"/>
  <c r="J40" i="9" s="1"/>
  <c r="G56" i="10" s="1"/>
  <c r="H56" i="10" s="1"/>
  <c r="E65" i="11" s="1"/>
  <c r="H65" i="11" s="1"/>
  <c r="J25" i="9"/>
  <c r="G35" i="10" s="1"/>
  <c r="H35" i="10" s="1"/>
  <c r="E44" i="11" s="1"/>
  <c r="H44" i="11" s="1"/>
  <c r="C7" i="5"/>
  <c r="G45" i="9" s="1"/>
  <c r="J45" i="9" s="1"/>
  <c r="G16" i="10" s="1"/>
  <c r="H16" i="10" s="1"/>
  <c r="E25" i="11" s="1"/>
  <c r="H25" i="11" s="1"/>
  <c r="C8" i="5"/>
  <c r="C20" i="5"/>
  <c r="F35" i="9"/>
  <c r="F11" i="9"/>
  <c r="F39" i="9"/>
  <c r="G153" i="1"/>
  <c r="C7" i="6" s="1"/>
  <c r="G17" i="1"/>
  <c r="C28" i="3" s="1"/>
  <c r="C27" i="3" s="1"/>
  <c r="H51" i="9" s="1"/>
  <c r="J51" i="9" s="1"/>
  <c r="G66" i="10" s="1"/>
  <c r="H66" i="10" s="1"/>
  <c r="E75" i="11" s="1"/>
  <c r="H75" i="11" s="1"/>
  <c r="G80" i="1"/>
  <c r="C65" i="4" s="1"/>
  <c r="G116" i="1"/>
  <c r="C69" i="4" s="1"/>
  <c r="G186" i="1"/>
  <c r="C8" i="8" s="1"/>
  <c r="C7" i="8" s="1"/>
  <c r="I17" i="9" s="1"/>
  <c r="J17" i="9" s="1"/>
  <c r="G29" i="10" s="1"/>
  <c r="H29" i="10" s="1"/>
  <c r="E38" i="11" s="1"/>
  <c r="H38" i="11" s="1"/>
  <c r="G189" i="1"/>
  <c r="C12" i="8" s="1"/>
  <c r="C11" i="8" s="1"/>
  <c r="I34" i="9" s="1"/>
  <c r="G192" i="1"/>
  <c r="C16" i="8" s="1"/>
  <c r="C15" i="8" s="1"/>
  <c r="I35" i="9" s="1"/>
  <c r="G133" i="1"/>
  <c r="C34" i="4" s="1"/>
  <c r="G84" i="1"/>
  <c r="C79" i="4" s="1"/>
  <c r="G96" i="1"/>
  <c r="C78" i="4" s="1"/>
  <c r="C77" i="4" s="1"/>
  <c r="G128" i="1"/>
  <c r="G131" i="1" s="1"/>
  <c r="C33" i="4" s="1"/>
  <c r="G56" i="1"/>
  <c r="G171" i="1"/>
  <c r="C10" i="6" s="1"/>
  <c r="G57" i="1"/>
  <c r="G58" i="1"/>
  <c r="G179" i="1"/>
  <c r="C12" i="6" s="1"/>
  <c r="G125" i="1"/>
  <c r="C70" i="4" s="1"/>
  <c r="G18" i="1"/>
  <c r="C31" i="3" s="1"/>
  <c r="C30" i="3" s="1"/>
  <c r="H52" i="9" s="1"/>
  <c r="J52" i="9" s="1"/>
  <c r="G67" i="10" s="1"/>
  <c r="H67" i="10" s="1"/>
  <c r="E76" i="11" s="1"/>
  <c r="H76" i="11" s="1"/>
  <c r="G160" i="1"/>
  <c r="C8" i="6" s="1"/>
  <c r="G111" i="1"/>
  <c r="C68" i="4" s="1"/>
  <c r="G69" i="1"/>
  <c r="C64" i="4" s="1"/>
  <c r="G165" i="1"/>
  <c r="C9" i="6" s="1"/>
  <c r="G90" i="1"/>
  <c r="C66" i="4" s="1"/>
  <c r="G95" i="1"/>
  <c r="C67" i="4" s="1"/>
  <c r="G175" i="1"/>
  <c r="C11" i="6" s="1"/>
  <c r="G40" i="1"/>
  <c r="C21" i="5" s="1"/>
  <c r="G44" i="1"/>
  <c r="C12" i="5" s="1"/>
  <c r="C10" i="5" s="1"/>
  <c r="G36" i="1"/>
  <c r="C17" i="5" s="1"/>
  <c r="G53" i="1"/>
  <c r="G51" i="1"/>
  <c r="G52" i="1"/>
  <c r="C63" i="4" l="1"/>
  <c r="F27" i="9" s="1"/>
  <c r="C6" i="6"/>
  <c r="E27" i="9" s="1"/>
  <c r="C19" i="5"/>
  <c r="G35" i="9" s="1"/>
  <c r="G33" i="9"/>
  <c r="J33" i="9" s="1"/>
  <c r="G50" i="10" s="1"/>
  <c r="H50" i="10" s="1"/>
  <c r="E59" i="11" s="1"/>
  <c r="H59" i="11" s="1"/>
  <c r="C15" i="5"/>
  <c r="G34" i="9" s="1"/>
  <c r="J34" i="9" s="1"/>
  <c r="G51" i="10" s="1"/>
  <c r="H51" i="10" s="1"/>
  <c r="E60" i="11" s="1"/>
  <c r="H60" i="11" s="1"/>
  <c r="J39" i="9"/>
  <c r="G55" i="10" s="1"/>
  <c r="H55" i="10" s="1"/>
  <c r="E64" i="11" s="1"/>
  <c r="H64" i="11" s="1"/>
  <c r="J11" i="9"/>
  <c r="G14" i="10" s="1"/>
  <c r="H14" i="10" s="1"/>
  <c r="E23" i="11" s="1"/>
  <c r="H23" i="11" s="1"/>
  <c r="J35" i="9"/>
  <c r="G52" i="10" s="1"/>
  <c r="H52" i="10" s="1"/>
  <c r="E61" i="11" s="1"/>
  <c r="H61" i="11" s="1"/>
  <c r="J41" i="9"/>
  <c r="G57" i="10" s="1"/>
  <c r="H57" i="10" s="1"/>
  <c r="E66" i="11" s="1"/>
  <c r="H66" i="11" s="1"/>
  <c r="F42" i="9"/>
  <c r="G59" i="1"/>
  <c r="C32" i="4" s="1"/>
  <c r="G54" i="1"/>
  <c r="C23" i="4" s="1"/>
  <c r="C31" i="4" l="1"/>
  <c r="F10" i="9" s="1"/>
  <c r="J10" i="9" s="1"/>
  <c r="G13" i="10" s="1"/>
  <c r="H13" i="10" s="1"/>
  <c r="E22" i="11" s="1"/>
  <c r="H22" i="11" s="1"/>
  <c r="H77" i="11" s="1"/>
  <c r="C22" i="4"/>
  <c r="F19" i="9" s="1"/>
  <c r="J19" i="9" s="1"/>
  <c r="G36" i="10" s="1"/>
  <c r="H36" i="10" s="1"/>
  <c r="E45" i="11" s="1"/>
  <c r="H45" i="11" s="1"/>
  <c r="J27" i="9"/>
  <c r="G47" i="10" s="1"/>
  <c r="H47" i="10" s="1"/>
  <c r="E56" i="11" s="1"/>
  <c r="H56" i="11" s="1"/>
  <c r="J42" i="9"/>
  <c r="G58" i="10" s="1"/>
  <c r="H58" i="10" s="1"/>
  <c r="E67" i="11" s="1"/>
  <c r="H67" i="11" s="1"/>
  <c r="H79" i="11" l="1"/>
  <c r="H82" i="11" s="1"/>
  <c r="H83" i="11" s="1"/>
</calcChain>
</file>

<file path=xl/sharedStrings.xml><?xml version="1.0" encoding="utf-8"?>
<sst xmlns="http://schemas.openxmlformats.org/spreadsheetml/2006/main" count="2240" uniqueCount="443">
  <si>
    <t>Sr.no</t>
  </si>
  <si>
    <t>Description</t>
  </si>
  <si>
    <t>length</t>
  </si>
  <si>
    <t>breadth</t>
  </si>
  <si>
    <t>height</t>
  </si>
  <si>
    <t>Nos</t>
  </si>
  <si>
    <t>Total Qty</t>
  </si>
  <si>
    <t>%</t>
  </si>
  <si>
    <t>Unit</t>
  </si>
  <si>
    <t>Shakuniya Interior</t>
  </si>
  <si>
    <t>PROJECTS / SITE :- M/S. Kanoria House, 10th - 13th Floors, Park Towers 14, Ballygunge Park, Kolkata, 700019.</t>
  </si>
  <si>
    <t>13th Floor Measurement sheet</t>
  </si>
  <si>
    <t>marble skirting</t>
  </si>
  <si>
    <t>marble skirting polish</t>
  </si>
  <si>
    <t>rmt</t>
  </si>
  <si>
    <t>12th Floor Measurement sheet</t>
  </si>
  <si>
    <t>Stalf Bathroom</t>
  </si>
  <si>
    <t>tile skirting</t>
  </si>
  <si>
    <t>umbra patti(granite)</t>
  </si>
  <si>
    <t>umbra patti edge dhar polish</t>
  </si>
  <si>
    <t>umbra patti Champering(patta)</t>
  </si>
  <si>
    <t>Terrace</t>
  </si>
  <si>
    <t>marble patti (floor)</t>
  </si>
  <si>
    <t>stalfroom door patti edge dhar polish</t>
  </si>
  <si>
    <t>stalfroom umbra patti Champering(patta)</t>
  </si>
  <si>
    <t>granite skirting</t>
  </si>
  <si>
    <t>otla(ramna)</t>
  </si>
  <si>
    <t>otla edge dhar polish</t>
  </si>
  <si>
    <t>otla Champering(patta)</t>
  </si>
  <si>
    <t>11th Floor Measurement sheet</t>
  </si>
  <si>
    <t>lift lobby</t>
  </si>
  <si>
    <t>granite top(parapet top)</t>
  </si>
  <si>
    <t>granite dhar polish</t>
  </si>
  <si>
    <t>granite Champering(patta)</t>
  </si>
  <si>
    <t>wall plaster</t>
  </si>
  <si>
    <t>window less</t>
  </si>
  <si>
    <t xml:space="preserve"> </t>
  </si>
  <si>
    <t>grouting</t>
  </si>
  <si>
    <t>wall</t>
  </si>
  <si>
    <t>flooring</t>
  </si>
  <si>
    <t xml:space="preserve">grounting (tile) </t>
  </si>
  <si>
    <t>terrace</t>
  </si>
  <si>
    <t>grouting (tile)</t>
  </si>
  <si>
    <t>grouting(tile)</t>
  </si>
  <si>
    <t>Storeroom</t>
  </si>
  <si>
    <t>gounting(tile)</t>
  </si>
  <si>
    <t>10th Floor Measurement sheet</t>
  </si>
  <si>
    <t>Utility wall tile grouting</t>
  </si>
  <si>
    <t>Cupboard white tile</t>
  </si>
  <si>
    <t>Master 2 Bathroom</t>
  </si>
  <si>
    <t xml:space="preserve">Master 1 Bathroom </t>
  </si>
  <si>
    <t>Kitchen 1</t>
  </si>
  <si>
    <t>Kitchen 2</t>
  </si>
  <si>
    <t>smt</t>
  </si>
  <si>
    <t>Kids bedroom grouting</t>
  </si>
  <si>
    <t>Balcony Flooring grouting</t>
  </si>
  <si>
    <t>Kids Bathroom grouting</t>
  </si>
  <si>
    <t>Servent Bedroom grouting</t>
  </si>
  <si>
    <t>Guest Bathroom tile grouting</t>
  </si>
  <si>
    <t>Measurement Sheet No - 5</t>
  </si>
  <si>
    <t>kaleji tappa polish</t>
  </si>
  <si>
    <t>kaleji skirting polish</t>
  </si>
  <si>
    <t>3 lift lobby area</t>
  </si>
  <si>
    <t>marble flooring polish</t>
  </si>
  <si>
    <t>marble skiting polish</t>
  </si>
  <si>
    <t>Office room</t>
  </si>
  <si>
    <t>passage</t>
  </si>
  <si>
    <t>Cupboard kalinga stone fixing</t>
  </si>
  <si>
    <t>45 degree both side cutting &amp;polishing</t>
  </si>
  <si>
    <t>Edge dhar polish</t>
  </si>
  <si>
    <t xml:space="preserve">Mainder </t>
  </si>
  <si>
    <t>cupboard kalinga stone counter</t>
  </si>
  <si>
    <t>Ground Floor Measurement sheet</t>
  </si>
  <si>
    <t xml:space="preserve">Lift lobby </t>
  </si>
  <si>
    <t>granite frame</t>
  </si>
  <si>
    <t>Champering</t>
  </si>
  <si>
    <t>granite skiritng</t>
  </si>
  <si>
    <t>kaleji raiser polish</t>
  </si>
  <si>
    <t>kaleji ramna polish</t>
  </si>
  <si>
    <t>cupboard table kainga stone fixing</t>
  </si>
  <si>
    <t>bed side table kalinga  fixing table top (1- nos)</t>
  </si>
  <si>
    <t>Livingroom/Hall (cupboard)</t>
  </si>
  <si>
    <t xml:space="preserve">flooring </t>
  </si>
  <si>
    <t>SR.NO</t>
  </si>
  <si>
    <t>Lin feet</t>
  </si>
  <si>
    <t>Length</t>
  </si>
  <si>
    <t>Binfeet</t>
  </si>
  <si>
    <t>Breadth</t>
  </si>
  <si>
    <t>Height</t>
  </si>
  <si>
    <t>UNIT</t>
  </si>
  <si>
    <t>Kids room</t>
  </si>
  <si>
    <t>sqmt</t>
  </si>
  <si>
    <t>marble skiritng polish</t>
  </si>
  <si>
    <t>door frame</t>
  </si>
  <si>
    <t>dhar polish</t>
  </si>
  <si>
    <t>moulding</t>
  </si>
  <si>
    <t>window</t>
  </si>
  <si>
    <t>counter</t>
  </si>
  <si>
    <t>top</t>
  </si>
  <si>
    <t>vertical</t>
  </si>
  <si>
    <t>patti</t>
  </si>
  <si>
    <t>sitting</t>
  </si>
  <si>
    <t>Master Bedroom 1</t>
  </si>
  <si>
    <t>marblle flooring polish</t>
  </si>
  <si>
    <t>Master Bedroom 1 (Inside room)</t>
  </si>
  <si>
    <t xml:space="preserve">marble flooring polish </t>
  </si>
  <si>
    <t xml:space="preserve">granite window sill fixing </t>
  </si>
  <si>
    <t>window granite dhar polish</t>
  </si>
  <si>
    <t xml:space="preserve"> window Champering(patta)</t>
  </si>
  <si>
    <t>Master Bedroom 1 toilet</t>
  </si>
  <si>
    <t>wall marble polish</t>
  </si>
  <si>
    <t>wall marble patti polish</t>
  </si>
  <si>
    <t>marble flooring polish less</t>
  </si>
  <si>
    <t>marbkle skirting polish</t>
  </si>
  <si>
    <t>Guest Bedroom</t>
  </si>
  <si>
    <t xml:space="preserve">floor tile (cupboard) </t>
  </si>
  <si>
    <t>Living room</t>
  </si>
  <si>
    <t>balcony granite umbra patti fixing</t>
  </si>
  <si>
    <t>granite patti dhar polish</t>
  </si>
  <si>
    <t>granite umbra patti champering(patta)</t>
  </si>
  <si>
    <t>wall granite patti (parapet wall)</t>
  </si>
  <si>
    <t>wall granite dhar polish(parapet wall)</t>
  </si>
  <si>
    <t>wall granite champering(patta parapet wall)</t>
  </si>
  <si>
    <t>granite V groove(parapet wall)</t>
  </si>
  <si>
    <t xml:space="preserve">10th -12th floor </t>
  </si>
  <si>
    <t>Raiser polish</t>
  </si>
  <si>
    <t>tappa skirting polish</t>
  </si>
  <si>
    <t xml:space="preserve">wall marble top tappa side wall polish </t>
  </si>
  <si>
    <t>SHAKUNIYA INTERIOR</t>
  </si>
  <si>
    <t>Bin feet</t>
  </si>
  <si>
    <t>ward boy room</t>
  </si>
  <si>
    <t>hall</t>
  </si>
  <si>
    <t>outside terrace balcony flooring polish</t>
  </si>
  <si>
    <t>balcony skiritng polish</t>
  </si>
  <si>
    <t>mainder</t>
  </si>
  <si>
    <t>kitchen1</t>
  </si>
  <si>
    <t>Kitchen store room</t>
  </si>
  <si>
    <t>master bedroom 1</t>
  </si>
  <si>
    <t>facia patti</t>
  </si>
  <si>
    <t xml:space="preserve"> umbra pattti</t>
  </si>
  <si>
    <t>master bedroom 2</t>
  </si>
  <si>
    <t xml:space="preserve">balcony granite parafet wall </t>
  </si>
  <si>
    <t>parafet wall granite dhar polish</t>
  </si>
  <si>
    <t>parafet wall granite champering(patta)</t>
  </si>
  <si>
    <t>V groove</t>
  </si>
  <si>
    <t>jari</t>
  </si>
  <si>
    <t>master bedroom 2 toilet</t>
  </si>
  <si>
    <t>vetical</t>
  </si>
  <si>
    <t>umbra patti</t>
  </si>
  <si>
    <t>terrrace balcony</t>
  </si>
  <si>
    <t>guest room</t>
  </si>
  <si>
    <t>guest bathroom</t>
  </si>
  <si>
    <t>terrace balcony</t>
  </si>
  <si>
    <t xml:space="preserve">  </t>
  </si>
  <si>
    <t>kitchen 2</t>
  </si>
  <si>
    <t>main door frame plater</t>
  </si>
  <si>
    <t xml:space="preserve">Kids bathroom </t>
  </si>
  <si>
    <t>counter top polish</t>
  </si>
  <si>
    <t>side vertical polish</t>
  </si>
  <si>
    <t>V groove (parapet wall)</t>
  </si>
  <si>
    <t>ramp tile flooring</t>
  </si>
  <si>
    <t>ramp tile skirting</t>
  </si>
  <si>
    <t>Lift lobby</t>
  </si>
  <si>
    <t xml:space="preserve"> Lift lobby granite frame</t>
  </si>
  <si>
    <t>lift lobby granite dhar polish</t>
  </si>
  <si>
    <t>lift lobby granite champering(patta)</t>
  </si>
  <si>
    <t>vertical marble polish</t>
  </si>
  <si>
    <t>marble self polish</t>
  </si>
  <si>
    <t>less</t>
  </si>
  <si>
    <t>top with moulding</t>
  </si>
  <si>
    <t>less other</t>
  </si>
  <si>
    <t>Maid room</t>
  </si>
  <si>
    <t>Measurement Sheet No 4(Polish)</t>
  </si>
  <si>
    <t>11th Floor Summary</t>
  </si>
  <si>
    <t>DESCRIPTION</t>
  </si>
  <si>
    <t>NOS</t>
  </si>
  <si>
    <t xml:space="preserve"> UNIT</t>
  </si>
  <si>
    <t>A</t>
  </si>
  <si>
    <t>wall waterproofing (Rework)</t>
  </si>
  <si>
    <t>floor waterproofing (Rework)</t>
  </si>
  <si>
    <t>sitting wall waterproofing</t>
  </si>
  <si>
    <t>floor tile</t>
  </si>
  <si>
    <t xml:space="preserve">wall tile(sitting wall ) </t>
  </si>
  <si>
    <t>wall tile(inside frame)</t>
  </si>
  <si>
    <t>door frame  breaking</t>
  </si>
  <si>
    <t>door frame fixing (Rework)</t>
  </si>
  <si>
    <t>Brick bed coba (Rework)</t>
  </si>
  <si>
    <t>plaster</t>
  </si>
  <si>
    <t>sitting (Terrace)</t>
  </si>
  <si>
    <t>sittting chamfering</t>
  </si>
  <si>
    <t xml:space="preserve">granite patti champering </t>
  </si>
  <si>
    <t>granite patti fixing  (parapet wall)</t>
  </si>
  <si>
    <t>sitting edge dhar polish</t>
  </si>
  <si>
    <t>granite patti edge dhar polish</t>
  </si>
  <si>
    <t>granite patti v groove</t>
  </si>
  <si>
    <t>B</t>
  </si>
  <si>
    <t xml:space="preserve">Hall </t>
  </si>
  <si>
    <t>tile skirting (otla frame)</t>
  </si>
  <si>
    <t>C</t>
  </si>
  <si>
    <t>Master 1 Bathroom</t>
  </si>
  <si>
    <t>umbra patti breaking</t>
  </si>
  <si>
    <t>umbra patti fixing</t>
  </si>
  <si>
    <t>D</t>
  </si>
  <si>
    <t>E</t>
  </si>
  <si>
    <t>Ward boy room</t>
  </si>
  <si>
    <t>F</t>
  </si>
  <si>
    <t>wall tile (counter Dinning )</t>
  </si>
  <si>
    <t>counter top</t>
  </si>
  <si>
    <t>G</t>
  </si>
  <si>
    <t>plaster(door frame)</t>
  </si>
  <si>
    <t>plaster(kitchen main door stair case )</t>
  </si>
  <si>
    <t>umbra patting fixing</t>
  </si>
  <si>
    <t>platform 1 (western kitchen Dinning side)</t>
  </si>
  <si>
    <t>platform 1 sink</t>
  </si>
  <si>
    <t>paltform 2 lift side</t>
  </si>
  <si>
    <t>platform 3 IK side</t>
  </si>
  <si>
    <t>paltform 4 staircase side</t>
  </si>
  <si>
    <t>platform edge dhar polish</t>
  </si>
  <si>
    <t>facia patti edge dhar polish</t>
  </si>
  <si>
    <t>facia patti edge dhar polish (Stair case)</t>
  </si>
  <si>
    <t>vertical edge dhar polish (stair case)</t>
  </si>
  <si>
    <t>vertical edge dhar polish</t>
  </si>
  <si>
    <t>vertical edge dhar polish (I.K lift)</t>
  </si>
  <si>
    <t>sink  edge dhar polish</t>
  </si>
  <si>
    <t>paltform champering (patta)</t>
  </si>
  <si>
    <t>facia patti champering(patta)</t>
  </si>
  <si>
    <t>vertical champering</t>
  </si>
  <si>
    <t>sink champering (patta)</t>
  </si>
  <si>
    <t>facia pattin v groove</t>
  </si>
  <si>
    <t>facia patti v groove</t>
  </si>
  <si>
    <t>facia patti 45 degree both side cutting &amp;polishing</t>
  </si>
  <si>
    <t>vertical 45 degree both side cutting &amp;polishing</t>
  </si>
  <si>
    <t xml:space="preserve"> 45 degree both side cutting &amp;polishing</t>
  </si>
  <si>
    <t>Tile  flooring</t>
  </si>
  <si>
    <t>marble flooring</t>
  </si>
  <si>
    <t>floor marble otla breaking</t>
  </si>
  <si>
    <t>marble flooring breaking</t>
  </si>
  <si>
    <t>marble flooring  breaking</t>
  </si>
  <si>
    <t>wall tile breaking (Below kitchen counter)</t>
  </si>
  <si>
    <t>wall tile breaking</t>
  </si>
  <si>
    <t>floor tile fixing</t>
  </si>
  <si>
    <t>wall tile fixing</t>
  </si>
  <si>
    <t>granite skirting(payeri)</t>
  </si>
  <si>
    <t>granite top (payeri)</t>
  </si>
  <si>
    <t>both side 45 degree cutting and polishing</t>
  </si>
  <si>
    <t>10th Floor Summary</t>
  </si>
  <si>
    <t>Utility area passage</t>
  </si>
  <si>
    <t>umbra patti breaking(door frame)</t>
  </si>
  <si>
    <t>umbra patti fixing(door frame)</t>
  </si>
  <si>
    <t>Guestroom Toilet</t>
  </si>
  <si>
    <t>Maidroom Toilet</t>
  </si>
  <si>
    <t>Utility area</t>
  </si>
  <si>
    <t>kitchen platform</t>
  </si>
  <si>
    <t xml:space="preserve"> rmt</t>
  </si>
  <si>
    <t>granite patti on wooden cupboard</t>
  </si>
  <si>
    <t>Edge dharpolish</t>
  </si>
  <si>
    <t>Kitchen 1 (western &amp; Indian)</t>
  </si>
  <si>
    <t>window sill fixing</t>
  </si>
  <si>
    <t>window champering</t>
  </si>
  <si>
    <t>window edge dhar polish</t>
  </si>
  <si>
    <t>13th Floor Summary</t>
  </si>
  <si>
    <t>Staff room</t>
  </si>
  <si>
    <t>plaster(door frame )</t>
  </si>
  <si>
    <t>11th Floor Summary sheet</t>
  </si>
  <si>
    <t>Qty</t>
  </si>
  <si>
    <t>kaleji  polish</t>
  </si>
  <si>
    <t>13th Floor Summary sheet</t>
  </si>
  <si>
    <t>12th Floor Summary sheet</t>
  </si>
  <si>
    <t>Measurement sheet no 3</t>
  </si>
  <si>
    <t>marble patti</t>
  </si>
  <si>
    <t>master bedroom 1 toilet</t>
  </si>
  <si>
    <t>tile skiting</t>
  </si>
  <si>
    <t>waterproofing</t>
  </si>
  <si>
    <t>door frame breaking</t>
  </si>
  <si>
    <t xml:space="preserve">wall tile </t>
  </si>
  <si>
    <t>platform</t>
  </si>
  <si>
    <t>marble wall polish</t>
  </si>
  <si>
    <t>Umbra patti fixing</t>
  </si>
  <si>
    <t>Tappa polish</t>
  </si>
  <si>
    <t>marble skiritng</t>
  </si>
  <si>
    <t>Ground Floor Summary sheet</t>
  </si>
  <si>
    <t>Servant room</t>
  </si>
  <si>
    <t>staircase  Kaleji fooring(12th 10-13th floor)</t>
  </si>
  <si>
    <t>SUMMARY</t>
  </si>
  <si>
    <t>No</t>
  </si>
  <si>
    <t>Description Of Work</t>
  </si>
  <si>
    <t>10th floor</t>
  </si>
  <si>
    <t>11th floor</t>
  </si>
  <si>
    <t>12th floor</t>
  </si>
  <si>
    <t>13th floor</t>
  </si>
  <si>
    <t>Total</t>
  </si>
  <si>
    <t>wall breaking</t>
  </si>
  <si>
    <t>Ground floor</t>
  </si>
  <si>
    <t xml:space="preserve"> granite patti fixing </t>
  </si>
  <si>
    <t xml:space="preserve">wall marble (counter vertical) </t>
  </si>
  <si>
    <t>counter/sitting marble patti</t>
  </si>
  <si>
    <t>a</t>
  </si>
  <si>
    <t>ABSTRACT</t>
  </si>
  <si>
    <t>RA1</t>
  </si>
  <si>
    <t xml:space="preserve"> RA2</t>
  </si>
  <si>
    <t>wall tile breaking-wardrobe</t>
  </si>
  <si>
    <t xml:space="preserve"> PCC Flooring white cement and white sand</t>
  </si>
  <si>
    <t>White marble flooring</t>
  </si>
  <si>
    <t>Floor tile</t>
  </si>
  <si>
    <t>Tile skirting</t>
  </si>
  <si>
    <t>IPS</t>
  </si>
  <si>
    <t>Brick bed coba</t>
  </si>
  <si>
    <t xml:space="preserve">PCC 4" </t>
  </si>
  <si>
    <t>Tile Lkani</t>
  </si>
  <si>
    <t>Wall tile cutting</t>
  </si>
  <si>
    <t>Floor tile cutting</t>
  </si>
  <si>
    <t>bathroom wall Nish tile finishing</t>
  </si>
  <si>
    <t>Door frame Granite fixing</t>
  </si>
  <si>
    <t>Door frame Champering</t>
  </si>
  <si>
    <t>Door fram dhar polish</t>
  </si>
  <si>
    <t>sitting marble</t>
  </si>
  <si>
    <t>wall marble</t>
  </si>
  <si>
    <t xml:space="preserve"> window granite dhar polish</t>
  </si>
  <si>
    <t>Bathroom Wall Cutout</t>
  </si>
  <si>
    <t>Bedroom, Hall, Kitchen Electrical WallCutout</t>
  </si>
  <si>
    <t>HVAC Wall Cutout</t>
  </si>
  <si>
    <t>RA3</t>
  </si>
  <si>
    <t>counter facia patti</t>
  </si>
  <si>
    <t xml:space="preserve"> V groove</t>
  </si>
  <si>
    <t>Raiser and tappa polish</t>
  </si>
  <si>
    <t>Kitchen platform</t>
  </si>
  <si>
    <r>
      <rPr>
        <b/>
        <sz val="16"/>
        <color rgb="FFFF0000"/>
        <rFont val="Times New Roman"/>
        <family val="1"/>
      </rPr>
      <t>SHAKUNIYA INTERIOR</t>
    </r>
    <r>
      <rPr>
        <b/>
        <sz val="12"/>
        <rFont val="Times New Roman"/>
        <family val="1"/>
      </rPr>
      <t xml:space="preserve">
INTERIOR CONTRACTOR
</t>
    </r>
    <r>
      <rPr>
        <b/>
        <u/>
        <sz val="12"/>
        <color rgb="FF00B050"/>
        <rFont val="Calibri"/>
        <family val="2"/>
      </rPr>
      <t>704 P wing, Sonam Narmada, New Golden Nest, Bhayander (East), Thane-401105</t>
    </r>
    <r>
      <rPr>
        <b/>
        <sz val="12"/>
        <rFont val="Times New Roman"/>
        <family val="1"/>
      </rPr>
      <t xml:space="preserve">
                                                    </t>
    </r>
    <r>
      <rPr>
        <sz val="12"/>
        <rFont val="Times New Roman"/>
        <family val="1"/>
      </rPr>
      <t xml:space="preserve">   Mob:9892188454   </t>
    </r>
    <r>
      <rPr>
        <b/>
        <sz val="12"/>
        <rFont val="Times New Roman"/>
        <family val="1"/>
      </rPr>
      <t xml:space="preserve">                                                                                                    </t>
    </r>
  </si>
  <si>
    <t>PROFORMA INVOICE</t>
  </si>
  <si>
    <t>Details of Receiver | Billed to:</t>
  </si>
  <si>
    <t>Name</t>
  </si>
  <si>
    <t>RK INTERIORS LTD</t>
  </si>
  <si>
    <t xml:space="preserve">Shakuniya Interior </t>
  </si>
  <si>
    <t>Address</t>
  </si>
  <si>
    <t>3rd Floor, 8/1/2, Dr UN</t>
  </si>
  <si>
    <t>704-P wing,7th floor, Sonam Narmada</t>
  </si>
  <si>
    <t>Brahmachari sarani, Mullick Bazar</t>
  </si>
  <si>
    <t>New Golden Nest, Bhayander (East)</t>
  </si>
  <si>
    <t>Kolkata, West Bengal, 700017</t>
  </si>
  <si>
    <t>Thane-401105</t>
  </si>
  <si>
    <t>GSTIN</t>
  </si>
  <si>
    <t>19AABCR8338Q1ZJ</t>
  </si>
  <si>
    <t>27GFTPS9869R1ZG</t>
  </si>
  <si>
    <t>State</t>
  </si>
  <si>
    <t>West Bengal.  | State Code : 19</t>
  </si>
  <si>
    <t>Maharashtra</t>
  </si>
  <si>
    <t>State Code : 27</t>
  </si>
  <si>
    <r>
      <t>Site Address: M</t>
    </r>
    <r>
      <rPr>
        <b/>
        <sz val="9"/>
        <rFont val="Trebuchet MS"/>
        <family val="2"/>
      </rPr>
      <t>/S. Kanoria House, 10th - 13th Floors, Park Towers 14, Ballygunge Park, Kolkata, 700019.</t>
    </r>
  </si>
  <si>
    <t xml:space="preserve">Sr. No. </t>
  </si>
  <si>
    <t>Description of Service</t>
  </si>
  <si>
    <t>SAC Code</t>
  </si>
  <si>
    <r>
      <t xml:space="preserve">Cumulative
</t>
    </r>
    <r>
      <rPr>
        <sz val="9"/>
        <rFont val="Calibri"/>
        <family val="2"/>
      </rPr>
      <t>Total Qty</t>
    </r>
  </si>
  <si>
    <t>Rate</t>
  </si>
  <si>
    <t>Amount</t>
  </si>
  <si>
    <t>Total :</t>
  </si>
  <si>
    <t>PAN:GFTPS9869R
GST IN :27GFTPS9869R1ZG
Bank Detail:
Bharat Bank
Account No:003712100010720
IFSC  code :BCBM0000038</t>
  </si>
  <si>
    <t>Less Basic Amt Inv No 55</t>
  </si>
  <si>
    <t>Total Amount Without Tax</t>
  </si>
  <si>
    <t>Add : CGST 9%</t>
  </si>
  <si>
    <t>-</t>
  </si>
  <si>
    <t>Add : SGST 9%</t>
  </si>
  <si>
    <t>Add : IGST 18%</t>
  </si>
  <si>
    <t>Total Amount After Tax</t>
  </si>
  <si>
    <t>Authorised Signatory</t>
  </si>
  <si>
    <t>[ E&amp;OE ]</t>
  </si>
  <si>
    <t>Sub :RA3</t>
  </si>
  <si>
    <t>Date : 23/02/2024</t>
  </si>
  <si>
    <t>Invoice No. :  58</t>
  </si>
  <si>
    <t>PO NO : 014-WO-P160 Kanoria House-230627</t>
  </si>
  <si>
    <t>Details of Contractor :</t>
  </si>
  <si>
    <t>10th Floor Summary sheet</t>
  </si>
  <si>
    <t>brick work</t>
  </si>
  <si>
    <t>wall granite</t>
  </si>
  <si>
    <t xml:space="preserve">wall side vata filling </t>
  </si>
  <si>
    <t>stalfroom door otla(umbra)</t>
  </si>
  <si>
    <t>granite fixing</t>
  </si>
  <si>
    <t xml:space="preserve">11th Floor Measurement sheet  </t>
  </si>
  <si>
    <t>S. No.</t>
  </si>
  <si>
    <t xml:space="preserve">Location </t>
  </si>
  <si>
    <t>Nos.</t>
  </si>
  <si>
    <t>Width</t>
  </si>
  <si>
    <t>Qunty.</t>
  </si>
  <si>
    <t>Progressive
Qty</t>
  </si>
  <si>
    <t>Ph-2-11.00</t>
  </si>
  <si>
    <t>Granite Window jamb</t>
  </si>
  <si>
    <t>Steel Grey Granite</t>
  </si>
  <si>
    <t>11th. Floor Formal area</t>
  </si>
  <si>
    <t>Dinning 1</t>
  </si>
  <si>
    <t>Horizontal</t>
  </si>
  <si>
    <t>Vartical</t>
  </si>
  <si>
    <t>Dinning 2</t>
  </si>
  <si>
    <t>Library Room AC wall</t>
  </si>
  <si>
    <t>Seating area</t>
  </si>
  <si>
    <t/>
  </si>
  <si>
    <t>Rmt</t>
  </si>
  <si>
    <t>4mm Chemphered (Granite)</t>
  </si>
  <si>
    <t>20mm Patta (Granite)</t>
  </si>
  <si>
    <t>5 x 5mm Groove</t>
  </si>
  <si>
    <t>Granite Dhar polishing inside &amp; Outside</t>
  </si>
  <si>
    <t>Ph-2-14.00</t>
  </si>
  <si>
    <t>Wall Dado tiles</t>
  </si>
  <si>
    <t>Powder room</t>
  </si>
  <si>
    <t>Door back wall</t>
  </si>
  <si>
    <t>In Bettween Door &amp; window</t>
  </si>
  <si>
    <t>Bellow Window</t>
  </si>
  <si>
    <t>Sqm</t>
  </si>
  <si>
    <t>Wall tiles Epoxy Grouting</t>
  </si>
  <si>
    <t xml:space="preserve">Door back wall Horizontal </t>
  </si>
  <si>
    <t>Door back wall vartical</t>
  </si>
  <si>
    <t>In Bettween Door &amp; window Horizontal</t>
  </si>
  <si>
    <t>Bellow Window Horizontal</t>
  </si>
  <si>
    <t>4.00-B-2.00.g</t>
  </si>
  <si>
    <t>Kalinga Table top</t>
  </si>
  <si>
    <t xml:space="preserve">11th floor </t>
  </si>
  <si>
    <t>Dinning Table top</t>
  </si>
  <si>
    <t xml:space="preserve">Patta for Sandwich long </t>
  </si>
  <si>
    <t>Patta for Sandwich Short</t>
  </si>
  <si>
    <t>Kalinga Table top Edge Polishing</t>
  </si>
  <si>
    <t>Rm</t>
  </si>
  <si>
    <t>8.00-47.00</t>
  </si>
  <si>
    <t>Wall tiles dado 600 x 1200mm, APUANE STARIO</t>
  </si>
  <si>
    <t xml:space="preserve">11th Floor </t>
  </si>
  <si>
    <t xml:space="preserve">RE Work - Western Kitchen Lift share wall Due to Crack in tiles </t>
  </si>
  <si>
    <t>room 1</t>
  </si>
  <si>
    <t>sqft</t>
  </si>
  <si>
    <t>room 2</t>
  </si>
  <si>
    <t>room 3</t>
  </si>
  <si>
    <t>12th Measurement sheet</t>
  </si>
  <si>
    <t xml:space="preserve">terrrace </t>
  </si>
  <si>
    <t>Staircase terrazzo floor polish</t>
  </si>
  <si>
    <t>skiritng polish</t>
  </si>
  <si>
    <t>flooring polish</t>
  </si>
  <si>
    <t>ST Landing</t>
  </si>
  <si>
    <t>Battery Room side</t>
  </si>
  <si>
    <t>less:offset</t>
  </si>
  <si>
    <t>UPS Room</t>
  </si>
  <si>
    <t>skirting polish</t>
  </si>
  <si>
    <t>store room</t>
  </si>
  <si>
    <t>floor polish</t>
  </si>
  <si>
    <t>trade and riser polish</t>
  </si>
  <si>
    <t>patti polish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</si>
  <si>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</si>
  <si>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13th Floor  servent room Measurement sheet</t>
  </si>
  <si>
    <t>pattern tile on gypsum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</si>
</sst>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0"/>
    <numFmt numFmtId="165" formatCode="0.0"/>
    <numFmt numFmtId="166" formatCode="0.00000"/>
    <numFmt numFmtId="167" formatCode="_(* #,##0.00_);_(* \(#,##0.00\);_(* &quot;-&quot;??_);_(@_)"/>
    <numFmt numFmtId="168" formatCode="_(* #,##0.00_);_(* \(#,##0.00\);_(* &quot;-&quot;?_);_(@_)"/>
    <numFmt numFmtId="169" formatCode="_(* #,##0.00_);_(* \!\(#,##0.00\!\);_(* &quot;-&quot;??_);_(@_)"/>
    <numFmt numFmtId="170" formatCode="_ * #,##0.00_ ;_ * \-#,##0.00_ ;_ * \-??_ ;_ @_ "/>
    <numFmt numFmtId="171" formatCode="0.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2"/>
      <name val="Times New Roman"/>
      <family val="1"/>
    </font>
    <font>
      <b/>
      <u/>
      <sz val="12"/>
      <color rgb="FF00B050"/>
      <name val="Calibri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rebuchet MS"/>
      <family val="2"/>
    </font>
    <font>
      <sz val="12"/>
      <name val="Trebuchet MS"/>
      <family val="2"/>
    </font>
    <font>
      <sz val="10"/>
      <name val="Trebuchet MS Bold"/>
      <charset val="134"/>
    </font>
    <font>
      <b/>
      <sz val="12"/>
      <name val="Trebuchet MS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Trebuchet MS"/>
      <family val="2"/>
    </font>
    <font>
      <b/>
      <sz val="9"/>
      <name val="Trebuchet MS"/>
      <family val="2"/>
    </font>
    <font>
      <b/>
      <sz val="9"/>
      <name val="Trebuchet MS Bold"/>
      <charset val="134"/>
    </font>
    <font>
      <b/>
      <sz val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name val="Trebuchet MS Bold"/>
      <charset val="134"/>
    </font>
    <font>
      <sz val="9"/>
      <name val="Trebuchet MS Bold"/>
      <charset val="134"/>
    </font>
    <font>
      <b/>
      <sz val="9"/>
      <name val="Arial"/>
      <family val="2"/>
    </font>
    <font>
      <sz val="10"/>
      <color theme="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FF0000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medium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70" fontId="24" fillId="0" borderId="0" applyFill="0" applyBorder="0" applyProtection="0"/>
  </cellStyleXfs>
  <cellXfs count="2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9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4" borderId="1" xfId="0" applyFont="1" applyFill="1" applyBorder="1" applyAlignment="1">
      <alignment wrapText="1"/>
    </xf>
    <xf numFmtId="2" fontId="0" fillId="0" borderId="1" xfId="0" applyNumberFormat="1" applyBorder="1"/>
    <xf numFmtId="2" fontId="1" fillId="5" borderId="1" xfId="0" applyNumberFormat="1" applyFont="1" applyFill="1" applyBorder="1"/>
    <xf numFmtId="9" fontId="1" fillId="5" borderId="1" xfId="0" applyNumberFormat="1" applyFont="1" applyFill="1" applyBorder="1"/>
    <xf numFmtId="0" fontId="1" fillId="5" borderId="1" xfId="0" applyFont="1" applyFill="1" applyBorder="1"/>
    <xf numFmtId="2" fontId="1" fillId="4" borderId="1" xfId="0" applyNumberFormat="1" applyFont="1" applyFill="1" applyBorder="1"/>
    <xf numFmtId="9" fontId="1" fillId="4" borderId="1" xfId="0" applyNumberFormat="1" applyFont="1" applyFill="1" applyBorder="1"/>
    <xf numFmtId="0" fontId="1" fillId="4" borderId="1" xfId="0" applyFont="1" applyFill="1" applyBorder="1"/>
    <xf numFmtId="2" fontId="1" fillId="0" borderId="1" xfId="0" applyNumberFormat="1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6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wrapText="1"/>
    </xf>
    <xf numFmtId="166" fontId="0" fillId="3" borderId="1" xfId="0" applyNumberFormat="1" applyFill="1" applyBorder="1"/>
    <xf numFmtId="9" fontId="0" fillId="0" borderId="0" xfId="1" applyFont="1"/>
    <xf numFmtId="0" fontId="10" fillId="0" borderId="1" xfId="0" applyFont="1" applyBorder="1" applyAlignment="1">
      <alignment horizontal="left"/>
    </xf>
    <xf numFmtId="9" fontId="10" fillId="0" borderId="1" xfId="1" applyFont="1" applyBorder="1" applyAlignment="1">
      <alignment horizontal="left"/>
    </xf>
    <xf numFmtId="0" fontId="10" fillId="0" borderId="0" xfId="0" applyFont="1" applyAlignment="1">
      <alignment horizontal="left"/>
    </xf>
    <xf numFmtId="0" fontId="3" fillId="0" borderId="1" xfId="0" applyFont="1" applyBorder="1"/>
    <xf numFmtId="0" fontId="10" fillId="0" borderId="1" xfId="0" applyFont="1" applyBorder="1" applyAlignment="1">
      <alignment wrapText="1"/>
    </xf>
    <xf numFmtId="2" fontId="0" fillId="5" borderId="1" xfId="0" applyNumberFormat="1" applyFill="1" applyBorder="1"/>
    <xf numFmtId="9" fontId="0" fillId="5" borderId="1" xfId="0" applyNumberFormat="1" applyFill="1" applyBorder="1"/>
    <xf numFmtId="0" fontId="0" fillId="5" borderId="1" xfId="0" applyFill="1" applyBorder="1"/>
    <xf numFmtId="2" fontId="3" fillId="0" borderId="1" xfId="0" applyNumberFormat="1" applyFont="1" applyBorder="1"/>
    <xf numFmtId="0" fontId="8" fillId="0" borderId="1" xfId="0" applyFont="1" applyBorder="1" applyAlignment="1">
      <alignment wrapText="1"/>
    </xf>
    <xf numFmtId="9" fontId="0" fillId="0" borderId="1" xfId="1" applyFont="1" applyBorder="1"/>
    <xf numFmtId="0" fontId="0" fillId="0" borderId="5" xfId="0" applyBorder="1"/>
    <xf numFmtId="9" fontId="0" fillId="0" borderId="0" xfId="1" applyFont="1" applyAlignment="1">
      <alignment horizontal="center"/>
    </xf>
    <xf numFmtId="9" fontId="1" fillId="0" borderId="1" xfId="1" applyFont="1" applyBorder="1"/>
    <xf numFmtId="9" fontId="0" fillId="0" borderId="1" xfId="1" applyFont="1" applyFill="1" applyBorder="1"/>
    <xf numFmtId="2" fontId="0" fillId="0" borderId="0" xfId="0" applyNumberFormat="1"/>
    <xf numFmtId="0" fontId="16" fillId="0" borderId="0" xfId="0" applyFont="1"/>
    <xf numFmtId="0" fontId="20" fillId="0" borderId="19" xfId="0" applyFont="1" applyBorder="1"/>
    <xf numFmtId="0" fontId="20" fillId="0" borderId="20" xfId="0" applyFont="1" applyBorder="1"/>
    <xf numFmtId="0" fontId="18" fillId="0" borderId="17" xfId="0" applyFont="1" applyBorder="1"/>
    <xf numFmtId="0" fontId="18" fillId="0" borderId="1" xfId="0" applyFont="1" applyBorder="1"/>
    <xf numFmtId="0" fontId="18" fillId="0" borderId="14" xfId="0" applyFont="1" applyBorder="1"/>
    <xf numFmtId="0" fontId="0" fillId="0" borderId="21" xfId="0" applyBorder="1"/>
    <xf numFmtId="0" fontId="22" fillId="0" borderId="22" xfId="0" applyFont="1" applyBorder="1" applyAlignment="1">
      <alignment vertical="top"/>
    </xf>
    <xf numFmtId="0" fontId="22" fillId="0" borderId="20" xfId="0" applyFont="1" applyBorder="1" applyAlignment="1">
      <alignment vertical="top"/>
    </xf>
    <xf numFmtId="0" fontId="22" fillId="0" borderId="23" xfId="0" applyFont="1" applyBorder="1" applyAlignment="1">
      <alignment vertical="top"/>
    </xf>
    <xf numFmtId="0" fontId="0" fillId="0" borderId="7" xfId="0" applyBorder="1"/>
    <xf numFmtId="0" fontId="22" fillId="0" borderId="5" xfId="0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24" xfId="0" applyFont="1" applyBorder="1" applyAlignment="1">
      <alignment vertical="top"/>
    </xf>
    <xf numFmtId="0" fontId="0" fillId="0" borderId="25" xfId="0" applyBorder="1"/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18" fillId="0" borderId="26" xfId="0" applyFont="1" applyBorder="1"/>
    <xf numFmtId="0" fontId="18" fillId="0" borderId="2" xfId="0" applyFont="1" applyBorder="1"/>
    <xf numFmtId="0" fontId="18" fillId="0" borderId="27" xfId="0" applyFont="1" applyBorder="1"/>
    <xf numFmtId="0" fontId="18" fillId="0" borderId="28" xfId="0" applyFont="1" applyBorder="1"/>
    <xf numFmtId="0" fontId="27" fillId="0" borderId="26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7" fillId="0" borderId="0" xfId="0" applyFont="1"/>
    <xf numFmtId="0" fontId="0" fillId="0" borderId="26" xfId="0" applyBorder="1" applyAlignment="1">
      <alignment horizontal="center" vertical="center"/>
    </xf>
    <xf numFmtId="1" fontId="30" fillId="0" borderId="1" xfId="0" applyNumberFormat="1" applyFont="1" applyBorder="1" applyAlignment="1" applyProtection="1">
      <alignment horizontal="center" vertical="top" wrapText="1"/>
      <protection locked="0"/>
    </xf>
    <xf numFmtId="9" fontId="30" fillId="0" borderId="1" xfId="0" applyNumberFormat="1" applyFont="1" applyBorder="1" applyAlignment="1">
      <alignment horizontal="center" vertical="top"/>
    </xf>
    <xf numFmtId="167" fontId="30" fillId="0" borderId="1" xfId="0" applyNumberFormat="1" applyFont="1" applyBorder="1" applyAlignment="1">
      <alignment horizontal="center" vertical="top"/>
    </xf>
    <xf numFmtId="167" fontId="30" fillId="0" borderId="32" xfId="0" applyNumberFormat="1" applyFont="1" applyBorder="1" applyAlignment="1">
      <alignment vertical="top"/>
    </xf>
    <xf numFmtId="167" fontId="30" fillId="0" borderId="33" xfId="0" applyNumberFormat="1" applyFont="1" applyBorder="1" applyAlignment="1">
      <alignment vertical="top"/>
    </xf>
    <xf numFmtId="167" fontId="30" fillId="0" borderId="1" xfId="0" applyNumberFormat="1" applyFont="1" applyBorder="1" applyAlignment="1">
      <alignment vertical="top"/>
    </xf>
    <xf numFmtId="0" fontId="31" fillId="0" borderId="26" xfId="0" applyFont="1" applyBorder="1"/>
    <xf numFmtId="0" fontId="31" fillId="0" borderId="1" xfId="0" applyFont="1" applyBorder="1"/>
    <xf numFmtId="0" fontId="31" fillId="0" borderId="1" xfId="0" applyFont="1" applyBorder="1" applyAlignment="1">
      <alignment horizontal="right"/>
    </xf>
    <xf numFmtId="168" fontId="27" fillId="0" borderId="33" xfId="0" applyNumberFormat="1" applyFont="1" applyBorder="1" applyAlignment="1">
      <alignment horizontal="center"/>
    </xf>
    <xf numFmtId="167" fontId="31" fillId="7" borderId="32" xfId="0" applyNumberFormat="1" applyFont="1" applyFill="1" applyBorder="1" applyAlignment="1">
      <alignment horizontal="center"/>
    </xf>
    <xf numFmtId="169" fontId="20" fillId="0" borderId="32" xfId="0" applyNumberFormat="1" applyFont="1" applyBorder="1" applyAlignment="1">
      <alignment horizontal="right" vertical="center"/>
    </xf>
    <xf numFmtId="43" fontId="1" fillId="7" borderId="39" xfId="0" applyNumberFormat="1" applyFont="1" applyFill="1" applyBorder="1"/>
    <xf numFmtId="0" fontId="20" fillId="0" borderId="40" xfId="0" applyFont="1" applyBorder="1" applyAlignment="1">
      <alignment vertical="center" wrapText="1"/>
    </xf>
    <xf numFmtId="0" fontId="20" fillId="0" borderId="41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34" fillId="0" borderId="0" xfId="0" applyFont="1"/>
    <xf numFmtId="0" fontId="34" fillId="0" borderId="24" xfId="0" applyFont="1" applyBorder="1"/>
    <xf numFmtId="165" fontId="0" fillId="0" borderId="1" xfId="0" applyNumberForma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 vertical="top" wrapText="1" indent="1"/>
    </xf>
    <xf numFmtId="43" fontId="36" fillId="0" borderId="1" xfId="2" applyNumberFormat="1" applyFont="1" applyFill="1" applyBorder="1" applyAlignment="1" applyProtection="1">
      <alignment horizontal="right" vertical="top"/>
    </xf>
    <xf numFmtId="0" fontId="1" fillId="0" borderId="1" xfId="0" applyFont="1" applyBorder="1" applyAlignment="1">
      <alignment horizontal="left" vertical="center"/>
    </xf>
    <xf numFmtId="43" fontId="35" fillId="0" borderId="1" xfId="2" applyNumberFormat="1" applyFont="1" applyFill="1" applyBorder="1" applyAlignment="1" applyProtection="1">
      <alignment horizontal="left" vertical="center" wrapText="1"/>
    </xf>
    <xf numFmtId="170" fontId="35" fillId="0" borderId="1" xfId="2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3" fontId="37" fillId="0" borderId="1" xfId="0" applyNumberFormat="1" applyFont="1" applyBorder="1" applyAlignment="1">
      <alignment horizontal="left"/>
    </xf>
    <xf numFmtId="43" fontId="36" fillId="0" borderId="1" xfId="0" applyNumberFormat="1" applyFont="1" applyBorder="1" applyAlignment="1">
      <alignment horizontal="left"/>
    </xf>
    <xf numFmtId="43" fontId="36" fillId="0" borderId="1" xfId="2" applyNumberFormat="1" applyFont="1" applyFill="1" applyBorder="1" applyAlignment="1" applyProtection="1">
      <alignment horizontal="left" vertical="top"/>
    </xf>
    <xf numFmtId="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43" fontId="35" fillId="0" borderId="0" xfId="2" applyNumberFormat="1" applyFont="1" applyFill="1" applyBorder="1" applyAlignment="1" applyProtection="1">
      <alignment horizontal="left" vertical="top"/>
    </xf>
    <xf numFmtId="0" fontId="0" fillId="0" borderId="1" xfId="0" applyBorder="1" applyAlignment="1">
      <alignment horizontal="left" wrapText="1"/>
    </xf>
    <xf numFmtId="171" fontId="0" fillId="0" borderId="1" xfId="0" applyNumberFormat="1" applyBorder="1" applyAlignment="1">
      <alignment horizontal="left"/>
    </xf>
    <xf numFmtId="43" fontId="35" fillId="0" borderId="1" xfId="2" applyNumberFormat="1" applyFont="1" applyFill="1" applyBorder="1" applyAlignment="1" applyProtection="1">
      <alignment horizontal="left" vertical="top"/>
    </xf>
    <xf numFmtId="0" fontId="38" fillId="0" borderId="1" xfId="0" applyFont="1" applyBorder="1" applyAlignment="1">
      <alignment horizontal="left"/>
    </xf>
    <xf numFmtId="0" fontId="1" fillId="2" borderId="20" xfId="0" applyFont="1" applyFill="1" applyBorder="1"/>
    <xf numFmtId="0" fontId="1" fillId="2" borderId="34" xfId="0" applyFont="1" applyFill="1" applyBorder="1"/>
    <xf numFmtId="0" fontId="1" fillId="5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/>
    </xf>
    <xf numFmtId="2" fontId="1" fillId="5" borderId="1" xfId="0" applyNumberFormat="1" applyFont="1" applyFill="1" applyBorder="1" applyAlignment="1">
      <alignment horizontal="left"/>
    </xf>
    <xf numFmtId="0" fontId="0" fillId="4" borderId="26" xfId="0" applyFill="1" applyBorder="1" applyAlignment="1">
      <alignment horizontal="center" vertical="center"/>
    </xf>
    <xf numFmtId="2" fontId="0" fillId="4" borderId="1" xfId="0" applyNumberFormat="1" applyFill="1" applyBorder="1"/>
    <xf numFmtId="1" fontId="30" fillId="4" borderId="1" xfId="0" applyNumberFormat="1" applyFont="1" applyFill="1" applyBorder="1" applyAlignment="1" applyProtection="1">
      <alignment horizontal="center" vertical="top" wrapText="1"/>
      <protection locked="0"/>
    </xf>
    <xf numFmtId="9" fontId="30" fillId="4" borderId="1" xfId="0" applyNumberFormat="1" applyFont="1" applyFill="1" applyBorder="1" applyAlignment="1">
      <alignment horizontal="center" vertical="top"/>
    </xf>
    <xf numFmtId="167" fontId="30" fillId="4" borderId="1" xfId="0" applyNumberFormat="1" applyFont="1" applyFill="1" applyBorder="1" applyAlignment="1">
      <alignment horizontal="center" vertical="top"/>
    </xf>
    <xf numFmtId="167" fontId="30" fillId="4" borderId="33" xfId="0" applyNumberFormat="1" applyFont="1" applyFill="1" applyBorder="1" applyAlignment="1">
      <alignment vertical="top"/>
    </xf>
    <xf numFmtId="167" fontId="30" fillId="4" borderId="32" xfId="0" applyNumberFormat="1" applyFont="1" applyFill="1" applyBorder="1" applyAlignment="1">
      <alignment vertical="top"/>
    </xf>
    <xf numFmtId="2" fontId="1" fillId="3" borderId="1" xfId="0" applyNumberFormat="1" applyFont="1" applyFill="1" applyBorder="1"/>
    <xf numFmtId="9" fontId="1" fillId="3" borderId="1" xfId="0" applyNumberFormat="1" applyFont="1" applyFill="1" applyBorder="1"/>
    <xf numFmtId="0" fontId="1" fillId="3" borderId="1" xfId="0" applyFont="1" applyFill="1" applyBorder="1"/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23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18" fillId="0" borderId="29" xfId="0" applyFont="1" applyBorder="1" applyAlignment="1">
      <alignment horizontal="left"/>
    </xf>
    <xf numFmtId="0" fontId="18" fillId="0" borderId="30" xfId="0" applyFont="1" applyBorder="1" applyAlignment="1">
      <alignment horizontal="left"/>
    </xf>
    <xf numFmtId="0" fontId="24" fillId="0" borderId="30" xfId="0" applyFont="1" applyBorder="1" applyAlignment="1">
      <alignment horizontal="left"/>
    </xf>
    <xf numFmtId="0" fontId="24" fillId="0" borderId="31" xfId="0" applyFont="1" applyBorder="1" applyAlignment="1">
      <alignment horizontal="left"/>
    </xf>
    <xf numFmtId="0" fontId="11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4" xfId="0" applyFont="1" applyBorder="1" applyAlignment="1">
      <alignment horizontal="center"/>
    </xf>
    <xf numFmtId="0" fontId="20" fillId="0" borderId="42" xfId="0" applyFont="1" applyBorder="1" applyAlignment="1">
      <alignment horizontal="right"/>
    </xf>
    <xf numFmtId="0" fontId="20" fillId="0" borderId="43" xfId="0" applyFont="1" applyBorder="1" applyAlignment="1">
      <alignment horizontal="right"/>
    </xf>
    <xf numFmtId="0" fontId="20" fillId="0" borderId="44" xfId="0" applyFont="1" applyBorder="1" applyAlignment="1">
      <alignment horizontal="right"/>
    </xf>
    <xf numFmtId="0" fontId="18" fillId="0" borderId="45" xfId="0" applyFont="1" applyBorder="1" applyAlignment="1">
      <alignment horizontal="left"/>
    </xf>
    <xf numFmtId="0" fontId="18" fillId="0" borderId="46" xfId="0" applyFont="1" applyBorder="1" applyAlignment="1">
      <alignment horizontal="left"/>
    </xf>
    <xf numFmtId="0" fontId="18" fillId="0" borderId="4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9" fillId="0" borderId="17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20" fillId="0" borderId="17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0" fontId="25" fillId="0" borderId="6" xfId="0" applyFont="1" applyBorder="1" applyAlignment="1">
      <alignment horizontal="left"/>
    </xf>
    <xf numFmtId="0" fontId="25" fillId="0" borderId="16" xfId="0" applyFont="1" applyBorder="1" applyAlignment="1">
      <alignment horizontal="left"/>
    </xf>
    <xf numFmtId="0" fontId="32" fillId="0" borderId="19" xfId="0" applyFont="1" applyBorder="1" applyAlignment="1">
      <alignment horizontal="left" vertical="center" wrapText="1"/>
    </xf>
    <xf numFmtId="0" fontId="32" fillId="0" borderId="34" xfId="0" applyFont="1" applyBorder="1" applyAlignment="1">
      <alignment horizontal="left" vertical="center" wrapText="1"/>
    </xf>
    <xf numFmtId="0" fontId="32" fillId="0" borderId="35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1" fontId="33" fillId="0" borderId="2" xfId="0" applyNumberFormat="1" applyFont="1" applyBorder="1" applyAlignment="1" applyProtection="1">
      <alignment horizontal="center" vertical="top" wrapText="1"/>
      <protection locked="0"/>
    </xf>
    <xf numFmtId="1" fontId="33" fillId="0" borderId="3" xfId="0" applyNumberFormat="1" applyFont="1" applyBorder="1" applyAlignment="1" applyProtection="1">
      <alignment horizontal="center" vertical="top" wrapText="1"/>
      <protection locked="0"/>
    </xf>
    <xf numFmtId="1" fontId="33" fillId="0" borderId="4" xfId="0" applyNumberFormat="1" applyFont="1" applyBorder="1" applyAlignment="1" applyProtection="1">
      <alignment horizontal="center" vertical="top" wrapText="1"/>
      <protection locked="0"/>
    </xf>
    <xf numFmtId="0" fontId="27" fillId="0" borderId="2" xfId="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top"/>
    </xf>
    <xf numFmtId="0" fontId="27" fillId="0" borderId="3" xfId="0" applyFont="1" applyBorder="1" applyAlignment="1">
      <alignment horizontal="right" vertical="top"/>
    </xf>
    <xf numFmtId="0" fontId="18" fillId="0" borderId="2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0" fontId="18" fillId="0" borderId="3" xfId="0" applyFont="1" applyBorder="1" applyAlignment="1">
      <alignment horizontal="right" vertical="top"/>
    </xf>
    <xf numFmtId="0" fontId="20" fillId="0" borderId="22" xfId="0" applyFont="1" applyBorder="1" applyAlignment="1">
      <alignment horizontal="center" vertical="top"/>
    </xf>
    <xf numFmtId="0" fontId="20" fillId="0" borderId="20" xfId="0" applyFont="1" applyBorder="1" applyAlignment="1">
      <alignment horizontal="center" vertical="top"/>
    </xf>
    <xf numFmtId="0" fontId="20" fillId="0" borderId="20" xfId="0" applyFont="1" applyBorder="1" applyAlignment="1">
      <alignment horizontal="right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</cellXfs>
  <cellStyles count="3">
    <cellStyle name="Comma 2 2 4" xfId="2" xr:uid="{D8653E99-DCE7-442E-8139-983FB24EF66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cuments\RK%20Interior\Kolkata_Site\RA1_Kolkata_Site_Bill_10&amp;11thfloor%20Revised.xlsx" TargetMode="External"/><Relationship Id="rId1" Type="http://schemas.openxmlformats.org/officeDocument/2006/relationships/externalLinkPath" Target="RA1_Kolkata_Site_Bill_10&amp;11thfloor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K%20Interior\Kolkata_Site\Proforma%20_Invoice_RA2_Kolkata.xlsx" TargetMode="External"/><Relationship Id="rId1" Type="http://schemas.openxmlformats.org/officeDocument/2006/relationships/externalLinkPath" Target="Proforma%20_Invoice_RA2_Kolk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th_floor_measurement"/>
      <sheetName val="11th_floor_summary"/>
      <sheetName val="10th_floor_measurement"/>
      <sheetName val="10th_floor_summary"/>
      <sheetName val="Summary"/>
      <sheetName val="Abstract"/>
      <sheetName val="Bill"/>
    </sheetNames>
    <sheetDataSet>
      <sheetData sheetId="0"/>
      <sheetData sheetId="1">
        <row r="69">
          <cell r="E69" t="str">
            <v>Nos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"/>
      <sheetName val="Abstract"/>
      <sheetName val="Summary"/>
      <sheetName val="10thfloor_summary"/>
      <sheetName val="11thfloor_summary"/>
      <sheetName val="12thfloor_summary"/>
      <sheetName val="13thfloor_summary"/>
      <sheetName val="10floor_measurement"/>
      <sheetName val="11floor_measurement"/>
      <sheetName val="12floor_measurement"/>
      <sheetName val="13floor_measurement"/>
    </sheetNames>
    <sheetDataSet>
      <sheetData sheetId="0"/>
      <sheetData sheetId="1"/>
      <sheetData sheetId="2">
        <row r="18">
          <cell r="C18" t="str">
            <v>sqmt</v>
          </cell>
        </row>
        <row r="35">
          <cell r="C35" t="str">
            <v>rmt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3C00-C22D-465E-BDFA-83F0C4F54185}">
  <dimension ref="A1:H89"/>
  <sheetViews>
    <sheetView tabSelected="1" topLeftCell="A58" workbookViewId="0">
      <selection activeCell="G75" sqref="G75"/>
    </sheetView>
  </sheetViews>
  <sheetFormatPr defaultRowHeight="14.4"/>
  <cols>
    <col min="1" max="1" width="7.44140625" customWidth="1"/>
    <col min="2" max="2" width="29.109375" customWidth="1"/>
    <col min="3" max="3" width="7.88671875" customWidth="1"/>
    <col min="4" max="4" width="4.88671875" customWidth="1"/>
    <col min="5" max="5" width="9" customWidth="1"/>
    <col min="6" max="6" width="5.5546875" customWidth="1"/>
    <col min="7" max="7" width="9.77734375" customWidth="1"/>
    <col min="8" max="8" width="14.44140625" customWidth="1"/>
  </cols>
  <sheetData>
    <row r="1" spans="1:8" s="61" customFormat="1" ht="72.599999999999994" customHeight="1" thickBot="1">
      <c r="A1" s="161" t="s">
        <v>326</v>
      </c>
      <c r="B1" s="162"/>
      <c r="C1" s="162"/>
      <c r="D1" s="162"/>
      <c r="E1" s="162"/>
      <c r="F1" s="162"/>
      <c r="G1" s="162"/>
      <c r="H1" s="163"/>
    </row>
    <row r="2" spans="1:8" ht="28.2" customHeight="1" thickBot="1">
      <c r="A2" s="164" t="s">
        <v>327</v>
      </c>
      <c r="B2" s="165"/>
      <c r="C2" s="165"/>
      <c r="D2" s="165"/>
      <c r="E2" s="165"/>
      <c r="F2" s="165"/>
      <c r="G2" s="165"/>
      <c r="H2" s="166"/>
    </row>
    <row r="3" spans="1:8" ht="15.6" thickTop="1">
      <c r="A3" s="174" t="s">
        <v>366</v>
      </c>
      <c r="B3" s="175"/>
      <c r="C3" s="175"/>
      <c r="D3" s="175"/>
      <c r="E3" s="175"/>
      <c r="F3" s="175"/>
      <c r="G3" s="175"/>
      <c r="H3" s="176"/>
    </row>
    <row r="4" spans="1:8" ht="15">
      <c r="A4" s="177" t="s">
        <v>365</v>
      </c>
      <c r="B4" s="178"/>
      <c r="C4" s="178"/>
      <c r="D4" s="178"/>
      <c r="E4" s="178"/>
      <c r="F4" s="178"/>
      <c r="G4" s="178"/>
      <c r="H4" s="179"/>
    </row>
    <row r="5" spans="1:8" ht="16.2">
      <c r="A5" s="180" t="s">
        <v>364</v>
      </c>
      <c r="B5" s="181"/>
      <c r="C5" s="181"/>
      <c r="D5" s="181"/>
      <c r="E5" s="181"/>
      <c r="F5" s="181"/>
      <c r="G5" s="181"/>
      <c r="H5" s="182"/>
    </row>
    <row r="6" spans="1:8" ht="15">
      <c r="A6" s="183" t="s">
        <v>367</v>
      </c>
      <c r="B6" s="184"/>
      <c r="C6" s="184"/>
      <c r="D6" s="184"/>
      <c r="E6" s="184"/>
      <c r="F6" s="184"/>
      <c r="G6" s="184"/>
      <c r="H6" s="185"/>
    </row>
    <row r="7" spans="1:8" ht="15">
      <c r="A7" s="62" t="s">
        <v>328</v>
      </c>
      <c r="B7" s="63"/>
      <c r="C7" s="186" t="s">
        <v>368</v>
      </c>
      <c r="D7" s="184"/>
      <c r="E7" s="184"/>
      <c r="F7" s="184"/>
      <c r="G7" s="184"/>
      <c r="H7" s="185"/>
    </row>
    <row r="8" spans="1:8" ht="16.2">
      <c r="A8" s="64" t="s">
        <v>329</v>
      </c>
      <c r="B8" s="5" t="s">
        <v>330</v>
      </c>
      <c r="C8" s="65" t="s">
        <v>329</v>
      </c>
      <c r="D8" s="151" t="s">
        <v>331</v>
      </c>
      <c r="E8" s="152"/>
      <c r="F8" s="152"/>
      <c r="G8" s="152"/>
      <c r="H8" s="153"/>
    </row>
    <row r="9" spans="1:8" ht="15">
      <c r="A9" s="66" t="s">
        <v>332</v>
      </c>
      <c r="B9" s="67" t="s">
        <v>333</v>
      </c>
      <c r="C9" s="65" t="s">
        <v>332</v>
      </c>
      <c r="D9" s="68" t="s">
        <v>334</v>
      </c>
      <c r="E9" s="69"/>
      <c r="F9" s="69"/>
      <c r="G9" s="69"/>
      <c r="H9" s="70"/>
    </row>
    <row r="10" spans="1:8" ht="15">
      <c r="A10" s="64"/>
      <c r="B10" s="71" t="s">
        <v>335</v>
      </c>
      <c r="C10" s="65"/>
      <c r="D10" s="72" t="s">
        <v>336</v>
      </c>
      <c r="E10" s="73"/>
      <c r="F10" s="73"/>
      <c r="G10" s="73"/>
      <c r="H10" s="74"/>
    </row>
    <row r="11" spans="1:8" ht="15">
      <c r="A11" s="64"/>
      <c r="B11" s="75" t="s">
        <v>337</v>
      </c>
      <c r="C11" s="65"/>
      <c r="D11" s="76" t="s">
        <v>338</v>
      </c>
      <c r="E11" s="77"/>
      <c r="F11" s="77"/>
      <c r="G11" s="77"/>
      <c r="H11" s="78"/>
    </row>
    <row r="12" spans="1:8" ht="15">
      <c r="A12" s="79" t="s">
        <v>339</v>
      </c>
      <c r="B12" s="9" t="s">
        <v>340</v>
      </c>
      <c r="C12" s="80" t="s">
        <v>339</v>
      </c>
      <c r="D12" s="154" t="s">
        <v>341</v>
      </c>
      <c r="E12" s="155"/>
      <c r="F12" s="155"/>
      <c r="G12" s="155"/>
      <c r="H12" s="156"/>
    </row>
    <row r="13" spans="1:8" ht="15.6" thickBot="1">
      <c r="A13" s="81" t="s">
        <v>342</v>
      </c>
      <c r="B13" s="82" t="s">
        <v>343</v>
      </c>
      <c r="C13" s="82" t="s">
        <v>342</v>
      </c>
      <c r="D13" s="157" t="s">
        <v>344</v>
      </c>
      <c r="E13" s="158"/>
      <c r="F13" s="158"/>
      <c r="G13" s="159" t="s">
        <v>345</v>
      </c>
      <c r="H13" s="160"/>
    </row>
    <row r="14" spans="1:8" ht="15">
      <c r="A14" s="187" t="s">
        <v>346</v>
      </c>
      <c r="B14" s="188"/>
      <c r="C14" s="188"/>
      <c r="D14" s="188"/>
      <c r="E14" s="188"/>
      <c r="F14" s="188"/>
      <c r="G14" s="188"/>
      <c r="H14" s="189"/>
    </row>
    <row r="15" spans="1:8" s="88" customFormat="1" ht="26.4">
      <c r="A15" s="83" t="s">
        <v>347</v>
      </c>
      <c r="B15" s="84" t="s">
        <v>348</v>
      </c>
      <c r="C15" s="85" t="s">
        <v>349</v>
      </c>
      <c r="D15" s="85" t="s">
        <v>8</v>
      </c>
      <c r="E15" s="86" t="s">
        <v>350</v>
      </c>
      <c r="F15" s="86" t="s">
        <v>7</v>
      </c>
      <c r="G15" s="84" t="s">
        <v>351</v>
      </c>
      <c r="H15" s="87" t="s">
        <v>352</v>
      </c>
    </row>
    <row r="16" spans="1:8">
      <c r="A16" s="89">
        <v>1</v>
      </c>
      <c r="B16" s="21" t="str">
        <f>abstract!B7</f>
        <v>wall breaking</v>
      </c>
      <c r="C16" s="90">
        <v>995472</v>
      </c>
      <c r="D16" s="21" t="str">
        <f>abstract!C7</f>
        <v>sqmt</v>
      </c>
      <c r="E16" s="21">
        <f>abstract!H7</f>
        <v>0.63</v>
      </c>
      <c r="F16" s="91">
        <v>1</v>
      </c>
      <c r="G16" s="92">
        <f>43.75*10.76</f>
        <v>470.75</v>
      </c>
      <c r="H16" s="93">
        <f>G16*F16*E16</f>
        <v>296.57249999999999</v>
      </c>
    </row>
    <row r="17" spans="1:8">
      <c r="A17" s="89">
        <v>2</v>
      </c>
      <c r="B17" s="21" t="str">
        <f>abstract!B8</f>
        <v>wall tile breaking-wardrobe</v>
      </c>
      <c r="C17" s="90">
        <v>995472</v>
      </c>
      <c r="D17" s="21" t="str">
        <f>abstract!C8</f>
        <v>sqmt</v>
      </c>
      <c r="E17" s="21">
        <f>abstract!H8</f>
        <v>6.4702162177275433</v>
      </c>
      <c r="F17" s="91">
        <v>1</v>
      </c>
      <c r="G17" s="92">
        <f>25*10.76</f>
        <v>269</v>
      </c>
      <c r="H17" s="93">
        <f>G17*F17*E17</f>
        <v>1740.4881625687092</v>
      </c>
    </row>
    <row r="18" spans="1:8">
      <c r="A18" s="141">
        <v>3</v>
      </c>
      <c r="B18" s="142" t="str">
        <f>abstract!B9</f>
        <v xml:space="preserve"> PCC Flooring white cement and white sand</v>
      </c>
      <c r="C18" s="143">
        <v>995472</v>
      </c>
      <c r="D18" s="142" t="str">
        <f>abstract!C9</f>
        <v>sqmt</v>
      </c>
      <c r="E18" s="142">
        <f>abstract!H9</f>
        <v>26.3779</v>
      </c>
      <c r="F18" s="144">
        <v>1</v>
      </c>
      <c r="G18" s="145"/>
      <c r="H18" s="147">
        <f>G18*F18*E18</f>
        <v>0</v>
      </c>
    </row>
    <row r="19" spans="1:8">
      <c r="A19" s="89">
        <v>4</v>
      </c>
      <c r="B19" s="21" t="str">
        <f>abstract!B10</f>
        <v>White marble flooring</v>
      </c>
      <c r="C19" s="90">
        <v>995472</v>
      </c>
      <c r="D19" s="21" t="str">
        <f>abstract!C10</f>
        <v>sqmt</v>
      </c>
      <c r="E19" s="21">
        <f>abstract!H10</f>
        <v>25.378399999999999</v>
      </c>
      <c r="F19" s="91">
        <v>1</v>
      </c>
      <c r="G19" s="92">
        <v>3023.56</v>
      </c>
      <c r="H19" s="93">
        <f>+G19*F19*E19</f>
        <v>76733.115103999997</v>
      </c>
    </row>
    <row r="20" spans="1:8">
      <c r="A20" s="89">
        <v>5</v>
      </c>
      <c r="B20" s="21" t="str">
        <f>abstract!B11</f>
        <v>marble flooring</v>
      </c>
      <c r="C20" s="90">
        <v>995472</v>
      </c>
      <c r="D20" s="21" t="str">
        <f>abstract!C11</f>
        <v>sqmt</v>
      </c>
      <c r="E20" s="21">
        <f>abstract!H11</f>
        <v>7.4422405264723386</v>
      </c>
      <c r="F20" s="91">
        <v>1</v>
      </c>
      <c r="G20" s="92">
        <v>3023.56</v>
      </c>
      <c r="H20" s="93">
        <f>G20*F20*E20</f>
        <v>22502.060766220704</v>
      </c>
    </row>
    <row r="21" spans="1:8">
      <c r="A21" s="89">
        <v>6</v>
      </c>
      <c r="B21" s="21" t="str">
        <f>abstract!B12</f>
        <v>marble skirting</v>
      </c>
      <c r="C21" s="90">
        <v>995472</v>
      </c>
      <c r="D21" s="21" t="str">
        <f>abstract!C12</f>
        <v>rmt</v>
      </c>
      <c r="E21" s="21">
        <f>abstract!H12</f>
        <v>38.13219512195122</v>
      </c>
      <c r="F21" s="91">
        <v>1</v>
      </c>
      <c r="G21" s="92">
        <v>369</v>
      </c>
      <c r="H21" s="93">
        <f t="shared" ref="H21:H22" si="0">+G21*F21*E21</f>
        <v>14070.78</v>
      </c>
    </row>
    <row r="22" spans="1:8">
      <c r="A22" s="89">
        <v>7</v>
      </c>
      <c r="B22" s="21" t="str">
        <f>abstract!B13</f>
        <v>marble flooring polish</v>
      </c>
      <c r="C22" s="90">
        <v>995472</v>
      </c>
      <c r="D22" s="21" t="str">
        <f>abstract!C13</f>
        <v>sqmt</v>
      </c>
      <c r="E22" s="21">
        <f>abstract!H13</f>
        <v>489.77758880130881</v>
      </c>
      <c r="F22" s="91">
        <v>1</v>
      </c>
      <c r="G22" s="92">
        <v>1143.25</v>
      </c>
      <c r="H22" s="93">
        <f t="shared" si="0"/>
        <v>559938.22839709627</v>
      </c>
    </row>
    <row r="23" spans="1:8">
      <c r="A23" s="89">
        <v>8</v>
      </c>
      <c r="B23" s="21" t="str">
        <f>abstract!B14</f>
        <v>marble skirting polish</v>
      </c>
      <c r="C23" s="90">
        <v>995472</v>
      </c>
      <c r="D23" s="21" t="str">
        <f>abstract!C14</f>
        <v>rmt</v>
      </c>
      <c r="E23" s="21">
        <f>abstract!H14</f>
        <v>352.96402439024394</v>
      </c>
      <c r="F23" s="91">
        <v>1</v>
      </c>
      <c r="G23" s="92">
        <v>143.5</v>
      </c>
      <c r="H23" s="93">
        <f>G23*F23*E23</f>
        <v>50650.337500000001</v>
      </c>
    </row>
    <row r="24" spans="1:8">
      <c r="A24" s="89">
        <v>9</v>
      </c>
      <c r="B24" s="21" t="str">
        <f>abstract!B15</f>
        <v>Floor tile</v>
      </c>
      <c r="C24" s="90">
        <v>995472</v>
      </c>
      <c r="D24" s="21" t="str">
        <f>abstract!C15</f>
        <v>sqmt</v>
      </c>
      <c r="E24" s="21">
        <f>abstract!H15</f>
        <v>132.98691151100536</v>
      </c>
      <c r="F24" s="91">
        <v>1</v>
      </c>
      <c r="G24" s="92">
        <v>1210.5</v>
      </c>
      <c r="H24" s="93">
        <f>G24*F24*E24</f>
        <v>160980.65638407198</v>
      </c>
    </row>
    <row r="25" spans="1:8">
      <c r="A25" s="89">
        <v>10</v>
      </c>
      <c r="B25" s="21" t="str">
        <f>abstract!B16</f>
        <v>Tile skirting</v>
      </c>
      <c r="C25" s="90">
        <v>995472</v>
      </c>
      <c r="D25" s="21" t="str">
        <f>abstract!C16</f>
        <v>rmt</v>
      </c>
      <c r="E25" s="21">
        <f>abstract!H16</f>
        <v>81.563780487804891</v>
      </c>
      <c r="F25" s="91">
        <v>1</v>
      </c>
      <c r="G25" s="92">
        <v>143.5</v>
      </c>
      <c r="H25" s="93">
        <f>G25*F25*E25</f>
        <v>11704.402500000002</v>
      </c>
    </row>
    <row r="26" spans="1:8">
      <c r="A26" s="89">
        <v>11</v>
      </c>
      <c r="B26" s="21" t="str">
        <f>abstract!B17</f>
        <v xml:space="preserve">wall tile </v>
      </c>
      <c r="C26" s="90">
        <v>995472</v>
      </c>
      <c r="D26" s="21" t="str">
        <f>abstract!C17</f>
        <v>sqmt</v>
      </c>
      <c r="E26" s="21">
        <f>abstract!H17</f>
        <v>389.71270091493159</v>
      </c>
      <c r="F26" s="91">
        <v>1</v>
      </c>
      <c r="G26" s="92">
        <v>1479.5</v>
      </c>
      <c r="H26" s="93">
        <f>G26*E26 *F26</f>
        <v>576579.94100364123</v>
      </c>
    </row>
    <row r="27" spans="1:8">
      <c r="A27" s="141">
        <v>12</v>
      </c>
      <c r="B27" s="142" t="str">
        <f>abstract!B18</f>
        <v>pattern tile on gypsum board</v>
      </c>
      <c r="C27" s="143">
        <v>995472</v>
      </c>
      <c r="D27" s="142" t="str">
        <f>abstract!C18</f>
        <v>sqmt</v>
      </c>
      <c r="E27" s="142">
        <f>abstract!H18</f>
        <v>5.7227000000000006</v>
      </c>
      <c r="F27" s="144">
        <v>1</v>
      </c>
      <c r="G27" s="145"/>
      <c r="H27" s="147">
        <f>G27*E27 *F27</f>
        <v>0</v>
      </c>
    </row>
    <row r="28" spans="1:8">
      <c r="A28" s="89">
        <v>13</v>
      </c>
      <c r="B28" s="21" t="str">
        <f>abstract!B19</f>
        <v>waterproofing</v>
      </c>
      <c r="C28" s="90">
        <v>995472</v>
      </c>
      <c r="D28" s="21" t="str">
        <f>abstract!C19</f>
        <v>sqmt</v>
      </c>
      <c r="E28" s="21">
        <f>abstract!H19</f>
        <v>327.54287247174301</v>
      </c>
      <c r="F28" s="91">
        <v>1</v>
      </c>
      <c r="G28" s="92">
        <v>1210.5</v>
      </c>
      <c r="H28" s="93">
        <f>G28*F28*E28</f>
        <v>396490.64712704491</v>
      </c>
    </row>
    <row r="29" spans="1:8">
      <c r="A29" s="89">
        <v>14</v>
      </c>
      <c r="B29" s="21" t="str">
        <f>abstract!B20</f>
        <v>IPS</v>
      </c>
      <c r="C29" s="90">
        <v>995472</v>
      </c>
      <c r="D29" s="21" t="str">
        <f>abstract!C20</f>
        <v>sqmt</v>
      </c>
      <c r="E29" s="21">
        <f>abstract!H20</f>
        <v>77.687252528256991</v>
      </c>
      <c r="F29" s="91">
        <v>1</v>
      </c>
      <c r="G29" s="92">
        <v>470.75</v>
      </c>
      <c r="H29" s="93">
        <f>G29*F29*E29</f>
        <v>36571.274127676981</v>
      </c>
    </row>
    <row r="30" spans="1:8">
      <c r="A30" s="141">
        <v>15</v>
      </c>
      <c r="B30" s="142" t="str">
        <f>abstract!B21</f>
        <v>Brick bed coba</v>
      </c>
      <c r="C30" s="143">
        <v>995472</v>
      </c>
      <c r="D30" s="142" t="str">
        <f>abstract!C21</f>
        <v>sqmt</v>
      </c>
      <c r="E30" s="142">
        <f>abstract!H21</f>
        <v>39.749621600237951</v>
      </c>
      <c r="F30" s="144">
        <v>1</v>
      </c>
      <c r="G30" s="145"/>
      <c r="H30" s="147">
        <f>G30*F30*E30</f>
        <v>0</v>
      </c>
    </row>
    <row r="31" spans="1:8">
      <c r="A31" s="141">
        <v>16</v>
      </c>
      <c r="B31" s="142" t="str">
        <f>abstract!B22</f>
        <v>brick work</v>
      </c>
      <c r="C31" s="143">
        <v>995472</v>
      </c>
      <c r="D31" s="142" t="str">
        <f>abstract!C22</f>
        <v>sqmt</v>
      </c>
      <c r="E31" s="142">
        <f>abstract!H22</f>
        <v>6.9001896192742418</v>
      </c>
      <c r="F31" s="144">
        <v>1</v>
      </c>
      <c r="G31" s="145"/>
      <c r="H31" s="147">
        <f>+G31*F31*E31</f>
        <v>0</v>
      </c>
    </row>
    <row r="32" spans="1:8">
      <c r="A32" s="89">
        <v>17</v>
      </c>
      <c r="B32" s="21" t="str">
        <f>abstract!B23</f>
        <v xml:space="preserve">PCC 4" </v>
      </c>
      <c r="C32" s="90">
        <v>995472</v>
      </c>
      <c r="D32" s="21" t="str">
        <f>abstract!C23</f>
        <v>sqmt</v>
      </c>
      <c r="E32" s="21">
        <f>abstract!H23</f>
        <v>87.602979190957768</v>
      </c>
      <c r="F32" s="91">
        <v>1</v>
      </c>
      <c r="G32" s="92">
        <v>1143.25</v>
      </c>
      <c r="H32" s="93">
        <f>G32*F32*E32</f>
        <v>100152.10596006247</v>
      </c>
    </row>
    <row r="33" spans="1:8">
      <c r="A33" s="141">
        <v>18</v>
      </c>
      <c r="B33" s="142" t="str">
        <f>abstract!B24</f>
        <v>Tile Lkani</v>
      </c>
      <c r="C33" s="143">
        <v>995472</v>
      </c>
      <c r="D33" s="142" t="str">
        <f>abstract!C24</f>
        <v>rmt</v>
      </c>
      <c r="E33" s="142">
        <f>abstract!H24</f>
        <v>88.418702439024401</v>
      </c>
      <c r="F33" s="144">
        <v>1</v>
      </c>
      <c r="G33" s="145"/>
      <c r="H33" s="147">
        <f t="shared" ref="H33:H34" si="1">+G33*F33*E33</f>
        <v>0</v>
      </c>
    </row>
    <row r="34" spans="1:8">
      <c r="A34" s="141">
        <v>19</v>
      </c>
      <c r="B34" s="142" t="str">
        <f>abstract!B25</f>
        <v>Wall tile cutting</v>
      </c>
      <c r="C34" s="143">
        <v>995472</v>
      </c>
      <c r="D34" s="142" t="str">
        <f>abstract!C25</f>
        <v>rmt</v>
      </c>
      <c r="E34" s="142">
        <f>abstract!H25</f>
        <v>42.52</v>
      </c>
      <c r="F34" s="144">
        <v>1</v>
      </c>
      <c r="G34" s="145"/>
      <c r="H34" s="147">
        <f t="shared" si="1"/>
        <v>0</v>
      </c>
    </row>
    <row r="35" spans="1:8">
      <c r="A35" s="141">
        <v>20</v>
      </c>
      <c r="B35" s="142" t="str">
        <f>abstract!B26</f>
        <v>Floor tile cutting</v>
      </c>
      <c r="C35" s="143">
        <v>995472</v>
      </c>
      <c r="D35" s="142" t="str">
        <f>abstract!C26</f>
        <v>rmt</v>
      </c>
      <c r="E35" s="142">
        <f>abstract!H26</f>
        <v>22.758399999999998</v>
      </c>
      <c r="F35" s="144">
        <v>1</v>
      </c>
      <c r="G35" s="145"/>
      <c r="H35" s="147">
        <f>G35*F35*E35</f>
        <v>0</v>
      </c>
    </row>
    <row r="36" spans="1:8">
      <c r="A36" s="89">
        <v>21</v>
      </c>
      <c r="B36" s="21" t="str">
        <f>abstract!B27</f>
        <v>counter</v>
      </c>
      <c r="C36" s="90">
        <v>995472</v>
      </c>
      <c r="D36" s="21" t="str">
        <f>abstract!C27</f>
        <v>rmt</v>
      </c>
      <c r="E36" s="21">
        <f>abstract!H27</f>
        <v>13.481095121951221</v>
      </c>
      <c r="F36" s="91">
        <v>1</v>
      </c>
      <c r="G36" s="92">
        <v>3280</v>
      </c>
      <c r="H36" s="93">
        <f>G36*F36*E36</f>
        <v>44217.992000000006</v>
      </c>
    </row>
    <row r="37" spans="1:8">
      <c r="A37" s="141">
        <v>22</v>
      </c>
      <c r="B37" s="142" t="str">
        <f>abstract!B28</f>
        <v>bathroom wall Nish tile finishing</v>
      </c>
      <c r="C37" s="143">
        <v>995472</v>
      </c>
      <c r="D37" s="142" t="str">
        <f>abstract!C28</f>
        <v>Nos</v>
      </c>
      <c r="E37" s="142">
        <f>abstract!H28</f>
        <v>3</v>
      </c>
      <c r="F37" s="144">
        <v>1</v>
      </c>
      <c r="G37" s="145"/>
      <c r="H37" s="147">
        <f>G37*F37*E37</f>
        <v>0</v>
      </c>
    </row>
    <row r="38" spans="1:8">
      <c r="A38" s="89">
        <v>23</v>
      </c>
      <c r="B38" s="21" t="str">
        <f>abstract!B29</f>
        <v>Door frame Granite fixing</v>
      </c>
      <c r="C38" s="90">
        <v>995472</v>
      </c>
      <c r="D38" s="21" t="str">
        <f>abstract!C29</f>
        <v>rmt</v>
      </c>
      <c r="E38" s="21">
        <f>abstract!H29</f>
        <v>38.348034146341462</v>
      </c>
      <c r="F38" s="91">
        <v>1</v>
      </c>
      <c r="G38" s="92">
        <v>430.5</v>
      </c>
      <c r="H38" s="93">
        <f>G38*E38 *F38</f>
        <v>16508.828699999998</v>
      </c>
    </row>
    <row r="39" spans="1:8">
      <c r="A39" s="89">
        <v>24</v>
      </c>
      <c r="B39" s="21" t="str">
        <f>abstract!B30</f>
        <v>Door frame Champering</v>
      </c>
      <c r="C39" s="90">
        <v>995472</v>
      </c>
      <c r="D39" s="21" t="str">
        <f>abstract!C30</f>
        <v>rmt</v>
      </c>
      <c r="E39" s="21">
        <f>abstract!H30</f>
        <v>7.4160829268292678</v>
      </c>
      <c r="F39" s="91">
        <v>1</v>
      </c>
      <c r="G39" s="92">
        <v>184.5</v>
      </c>
      <c r="H39" s="93">
        <f>G39*F39*E39</f>
        <v>1368.2673</v>
      </c>
    </row>
    <row r="40" spans="1:8">
      <c r="A40" s="89">
        <v>25</v>
      </c>
      <c r="B40" s="21" t="str">
        <f>abstract!B31</f>
        <v>Door fram dhar polish</v>
      </c>
      <c r="C40" s="90">
        <v>995472</v>
      </c>
      <c r="D40" s="21" t="str">
        <f>abstract!C31</f>
        <v>rmt</v>
      </c>
      <c r="E40" s="21">
        <f>abstract!H31</f>
        <v>11.172180487804876</v>
      </c>
      <c r="F40" s="91">
        <v>1</v>
      </c>
      <c r="G40" s="92">
        <v>143.5</v>
      </c>
      <c r="H40" s="93">
        <f>G40*F40*E40</f>
        <v>1603.2078999999999</v>
      </c>
    </row>
    <row r="41" spans="1:8">
      <c r="A41" s="141">
        <v>26</v>
      </c>
      <c r="B41" s="142" t="str">
        <f>abstract!B32</f>
        <v>sitting marble</v>
      </c>
      <c r="C41" s="143">
        <v>995472</v>
      </c>
      <c r="D41" s="142" t="str">
        <f>abstract!C32</f>
        <v>rmt</v>
      </c>
      <c r="E41" s="142">
        <f>abstract!H32</f>
        <v>10.516921951219512</v>
      </c>
      <c r="F41" s="144">
        <v>1</v>
      </c>
      <c r="G41" s="145"/>
      <c r="H41" s="147">
        <f>+G41*F41*E41</f>
        <v>0</v>
      </c>
    </row>
    <row r="42" spans="1:8">
      <c r="A42" s="89">
        <v>27</v>
      </c>
      <c r="B42" s="21" t="str">
        <f>abstract!B33</f>
        <v>wall marble</v>
      </c>
      <c r="C42" s="90">
        <v>995472</v>
      </c>
      <c r="D42" s="21" t="str">
        <f>abstract!C33</f>
        <v>sqmt</v>
      </c>
      <c r="E42" s="21">
        <f>abstract!H33</f>
        <v>7.8001645275193336</v>
      </c>
      <c r="F42" s="91">
        <v>1</v>
      </c>
      <c r="G42" s="92">
        <v>2824.5</v>
      </c>
      <c r="H42" s="93">
        <f>G42*F42*E42</f>
        <v>22031.564707978359</v>
      </c>
    </row>
    <row r="43" spans="1:8">
      <c r="A43" s="89">
        <v>28</v>
      </c>
      <c r="B43" s="21" t="str">
        <f>abstract!B34</f>
        <v>wall granite</v>
      </c>
      <c r="C43" s="90">
        <v>995472</v>
      </c>
      <c r="D43" s="21" t="str">
        <f>abstract!C34</f>
        <v>sqmt</v>
      </c>
      <c r="E43" s="21">
        <f>abstract!H34</f>
        <v>1.378810975609756</v>
      </c>
      <c r="F43" s="91">
        <v>1</v>
      </c>
      <c r="G43" s="92">
        <f>281.25*10.76</f>
        <v>3026.25</v>
      </c>
      <c r="H43" s="94">
        <f>G43*F43*E43</f>
        <v>4172.6267149390242</v>
      </c>
    </row>
    <row r="44" spans="1:8">
      <c r="A44" s="89">
        <v>29</v>
      </c>
      <c r="B44" s="21" t="str">
        <f>abstract!B35</f>
        <v>granite skirting</v>
      </c>
      <c r="C44" s="90">
        <v>995472</v>
      </c>
      <c r="D44" s="21" t="str">
        <f>abstract!C35</f>
        <v>rmt</v>
      </c>
      <c r="E44" s="21">
        <f>abstract!H35</f>
        <v>44.09817073170732</v>
      </c>
      <c r="F44" s="91">
        <v>1</v>
      </c>
      <c r="G44" s="92">
        <f>112.5*3.28</f>
        <v>369</v>
      </c>
      <c r="H44" s="94">
        <f>G44*F44*E44</f>
        <v>16272.225</v>
      </c>
    </row>
    <row r="45" spans="1:8">
      <c r="A45" s="89">
        <v>30</v>
      </c>
      <c r="B45" s="21" t="str">
        <f>abstract!B36</f>
        <v>plaster</v>
      </c>
      <c r="C45" s="90">
        <v>995472</v>
      </c>
      <c r="D45" s="21" t="str">
        <f>abstract!C36</f>
        <v>sqmt</v>
      </c>
      <c r="E45" s="21">
        <f>abstract!H36</f>
        <v>15.809857046400952</v>
      </c>
      <c r="F45" s="91">
        <v>1</v>
      </c>
      <c r="G45" s="92">
        <f>81.25*10.76</f>
        <v>874.25</v>
      </c>
      <c r="H45" s="94">
        <f>G45*F45*E45</f>
        <v>13821.767522816031</v>
      </c>
    </row>
    <row r="46" spans="1:8">
      <c r="A46" s="89">
        <v>31</v>
      </c>
      <c r="B46" s="21" t="str">
        <f>abstract!B37</f>
        <v>plaster</v>
      </c>
      <c r="C46" s="90">
        <v>995472</v>
      </c>
      <c r="D46" s="21" t="str">
        <f>abstract!C37</f>
        <v>rmt</v>
      </c>
      <c r="E46" s="21">
        <f>abstract!H37</f>
        <v>48.250669244497324</v>
      </c>
      <c r="F46" s="91">
        <v>1</v>
      </c>
      <c r="G46" s="92">
        <f>81.25*3.28</f>
        <v>266.5</v>
      </c>
      <c r="H46" s="95">
        <f t="shared" ref="H46:H76" si="2">G46*F46*E46</f>
        <v>12858.803353658537</v>
      </c>
    </row>
    <row r="47" spans="1:8">
      <c r="A47" s="89">
        <v>32</v>
      </c>
      <c r="B47" s="21" t="str">
        <f>abstract!B38</f>
        <v>window sill fixing</v>
      </c>
      <c r="C47" s="90">
        <v>995472</v>
      </c>
      <c r="D47" s="21" t="str">
        <f>abstract!C38</f>
        <v>rmt</v>
      </c>
      <c r="E47" s="21">
        <f>abstract!H38</f>
        <v>300.74310243902437</v>
      </c>
      <c r="F47" s="91">
        <v>1</v>
      </c>
      <c r="G47" s="92">
        <v>430.5</v>
      </c>
      <c r="H47" s="95">
        <f t="shared" si="2"/>
        <v>129469.9056</v>
      </c>
    </row>
    <row r="48" spans="1:8">
      <c r="A48" s="89">
        <v>33</v>
      </c>
      <c r="B48" s="21" t="str">
        <f>abstract!B39</f>
        <v xml:space="preserve"> window granite dhar polish</v>
      </c>
      <c r="C48" s="90">
        <v>995472</v>
      </c>
      <c r="D48" s="21" t="str">
        <f>abstract!C39</f>
        <v>rmt</v>
      </c>
      <c r="E48" s="21">
        <f>abstract!H39</f>
        <v>411.76170731707316</v>
      </c>
      <c r="F48" s="91">
        <v>1</v>
      </c>
      <c r="G48" s="92">
        <v>143.5</v>
      </c>
      <c r="H48" s="95">
        <f t="shared" si="2"/>
        <v>59087.805</v>
      </c>
    </row>
    <row r="49" spans="1:8">
      <c r="A49" s="89">
        <v>34</v>
      </c>
      <c r="B49" s="21" t="str">
        <f>abstract!B40</f>
        <v xml:space="preserve"> window Champering(patta)</v>
      </c>
      <c r="C49" s="90">
        <v>995472</v>
      </c>
      <c r="D49" s="21" t="str">
        <f>abstract!C40</f>
        <v>rmt</v>
      </c>
      <c r="E49" s="21">
        <f>abstract!H40</f>
        <v>379.24170731707312</v>
      </c>
      <c r="F49" s="91">
        <v>1</v>
      </c>
      <c r="G49" s="92">
        <v>184.5</v>
      </c>
      <c r="H49" s="94">
        <f t="shared" si="2"/>
        <v>69970.094999999987</v>
      </c>
    </row>
    <row r="50" spans="1:8">
      <c r="A50" s="89">
        <v>35</v>
      </c>
      <c r="B50" s="21" t="str">
        <f>abstract!B41</f>
        <v xml:space="preserve"> V groove</v>
      </c>
      <c r="C50" s="90">
        <v>995472</v>
      </c>
      <c r="D50" s="21" t="str">
        <f>abstract!C41</f>
        <v>rmt</v>
      </c>
      <c r="E50" s="21">
        <f>abstract!H41</f>
        <v>124.22236097560975</v>
      </c>
      <c r="F50" s="91">
        <v>1</v>
      </c>
      <c r="G50" s="92">
        <v>184.5</v>
      </c>
      <c r="H50" s="94">
        <f t="shared" si="2"/>
        <v>22919.025599999997</v>
      </c>
    </row>
    <row r="51" spans="1:8">
      <c r="A51" s="89">
        <v>36</v>
      </c>
      <c r="B51" s="21" t="str">
        <f>abstract!B42</f>
        <v>Bathroom Wall Cutout</v>
      </c>
      <c r="C51" s="90">
        <v>995472</v>
      </c>
      <c r="D51" s="21" t="str">
        <f>abstract!C42</f>
        <v>rmt</v>
      </c>
      <c r="E51" s="21">
        <f>abstract!H42</f>
        <v>209.83170731707315</v>
      </c>
      <c r="F51" s="91">
        <v>1</v>
      </c>
      <c r="G51" s="92">
        <v>180.4</v>
      </c>
      <c r="H51" s="94">
        <f t="shared" si="2"/>
        <v>37853.64</v>
      </c>
    </row>
    <row r="52" spans="1:8">
      <c r="A52" s="89">
        <v>37</v>
      </c>
      <c r="B52" s="21" t="str">
        <f>abstract!B43</f>
        <v>Bedroom, Hall, Kitchen Electrical WallCutout</v>
      </c>
      <c r="C52" s="90">
        <v>995472</v>
      </c>
      <c r="D52" s="21" t="str">
        <f>abstract!C43</f>
        <v>rmt</v>
      </c>
      <c r="E52" s="21">
        <f>abstract!H43</f>
        <v>411.8407317073171</v>
      </c>
      <c r="F52" s="91">
        <v>1</v>
      </c>
      <c r="G52" s="92">
        <v>246</v>
      </c>
      <c r="H52" s="94">
        <f t="shared" si="2"/>
        <v>101312.82</v>
      </c>
    </row>
    <row r="53" spans="1:8">
      <c r="A53" s="89">
        <v>38</v>
      </c>
      <c r="B53" s="21" t="str">
        <f>abstract!B44</f>
        <v>HVAC Wall Cutout</v>
      </c>
      <c r="C53" s="90">
        <v>995472</v>
      </c>
      <c r="D53" s="21" t="str">
        <f>abstract!C44</f>
        <v>rmt</v>
      </c>
      <c r="E53" s="21">
        <f>abstract!H44</f>
        <v>127.9451554</v>
      </c>
      <c r="F53" s="91">
        <v>1</v>
      </c>
      <c r="G53" s="92">
        <v>328</v>
      </c>
      <c r="H53" s="94">
        <f t="shared" si="2"/>
        <v>41966.010971200005</v>
      </c>
    </row>
    <row r="54" spans="1:8">
      <c r="A54" s="141">
        <v>39</v>
      </c>
      <c r="B54" s="142" t="str">
        <f>abstract!B45</f>
        <v xml:space="preserve">wall side vata filling </v>
      </c>
      <c r="C54" s="143">
        <v>995472</v>
      </c>
      <c r="D54" s="142" t="str">
        <f>abstract!C45</f>
        <v>rmt</v>
      </c>
      <c r="E54" s="142">
        <f>abstract!H45</f>
        <v>8.5823170731707314</v>
      </c>
      <c r="F54" s="144">
        <v>1</v>
      </c>
      <c r="G54" s="145"/>
      <c r="H54" s="146">
        <f t="shared" si="2"/>
        <v>0</v>
      </c>
    </row>
    <row r="55" spans="1:8">
      <c r="A55" s="89">
        <v>40</v>
      </c>
      <c r="B55" s="21" t="str">
        <f>abstract!B46</f>
        <v>counter facia patti</v>
      </c>
      <c r="C55" s="90">
        <v>995472</v>
      </c>
      <c r="D55" s="21" t="str">
        <f>abstract!C46</f>
        <v>rmt</v>
      </c>
      <c r="E55" s="21">
        <f>abstract!H46</f>
        <v>9.8762195121951226</v>
      </c>
      <c r="F55" s="91">
        <v>1</v>
      </c>
      <c r="G55" s="92">
        <v>430.5</v>
      </c>
      <c r="H55" s="94">
        <f t="shared" si="2"/>
        <v>4251.7125000000005</v>
      </c>
    </row>
    <row r="56" spans="1:8">
      <c r="A56" s="89">
        <v>41</v>
      </c>
      <c r="B56" s="21" t="str">
        <f>abstract!B47</f>
        <v>grouting</v>
      </c>
      <c r="C56" s="90">
        <v>995472</v>
      </c>
      <c r="D56" s="21" t="str">
        <f>abstract!C47</f>
        <v>rmt</v>
      </c>
      <c r="E56" s="21">
        <f>abstract!H47</f>
        <v>948.02882926829272</v>
      </c>
      <c r="F56" s="91">
        <v>1</v>
      </c>
      <c r="G56" s="92">
        <f>56.25*3.28</f>
        <v>184.5</v>
      </c>
      <c r="H56" s="94">
        <f t="shared" si="2"/>
        <v>174911.31900000002</v>
      </c>
    </row>
    <row r="57" spans="1:8">
      <c r="A57" s="89">
        <v>42</v>
      </c>
      <c r="B57" s="21" t="str">
        <f>abstract!B48</f>
        <v>marble wall polish</v>
      </c>
      <c r="C57" s="90">
        <v>995472</v>
      </c>
      <c r="D57" s="21" t="str">
        <f>abstract!C48</f>
        <v>rmt</v>
      </c>
      <c r="E57" s="21">
        <f>abstract!H48</f>
        <v>4.3932926829268295</v>
      </c>
      <c r="F57" s="91">
        <v>1</v>
      </c>
      <c r="G57" s="92">
        <v>143.5</v>
      </c>
      <c r="H57" s="94">
        <f t="shared" si="2"/>
        <v>630.4375</v>
      </c>
    </row>
    <row r="58" spans="1:8">
      <c r="A58" s="89">
        <v>43</v>
      </c>
      <c r="B58" s="21" t="str">
        <f>abstract!B49</f>
        <v>umbra patti breaking</v>
      </c>
      <c r="C58" s="90">
        <v>995472</v>
      </c>
      <c r="D58" s="21" t="str">
        <f>abstract!C49</f>
        <v>rmt</v>
      </c>
      <c r="E58" s="21">
        <f>abstract!H49</f>
        <v>6.9810743677988931</v>
      </c>
      <c r="F58" s="91">
        <v>1</v>
      </c>
      <c r="G58" s="92">
        <f>37.5*3.28</f>
        <v>122.99999999999999</v>
      </c>
      <c r="H58" s="94">
        <f t="shared" si="2"/>
        <v>858.67214723926372</v>
      </c>
    </row>
    <row r="59" spans="1:8">
      <c r="A59" s="89">
        <v>44</v>
      </c>
      <c r="B59" s="21" t="str">
        <f>abstract!B50</f>
        <v>Umbra patti fixing</v>
      </c>
      <c r="C59" s="90">
        <v>995472</v>
      </c>
      <c r="D59" s="21" t="str">
        <f>abstract!C50</f>
        <v>rmt</v>
      </c>
      <c r="E59" s="21">
        <f>abstract!H50</f>
        <v>26.953025587311092</v>
      </c>
      <c r="F59" s="91">
        <v>1</v>
      </c>
      <c r="G59" s="92">
        <v>430.5</v>
      </c>
      <c r="H59" s="94">
        <f t="shared" si="2"/>
        <v>11603.277515337426</v>
      </c>
    </row>
    <row r="60" spans="1:8">
      <c r="A60" s="89">
        <v>45</v>
      </c>
      <c r="B60" s="21" t="str">
        <f>abstract!B51</f>
        <v>Edge dhar polish</v>
      </c>
      <c r="C60" s="90">
        <v>995472</v>
      </c>
      <c r="D60" s="21" t="str">
        <f>abstract!C51</f>
        <v>rmt</v>
      </c>
      <c r="E60" s="21">
        <f>abstract!H51</f>
        <v>162.75687804878049</v>
      </c>
      <c r="F60" s="91">
        <v>1</v>
      </c>
      <c r="G60" s="92">
        <v>143.5</v>
      </c>
      <c r="H60" s="94">
        <f t="shared" si="2"/>
        <v>23355.612000000001</v>
      </c>
    </row>
    <row r="61" spans="1:8">
      <c r="A61" s="89">
        <v>46</v>
      </c>
      <c r="B61" s="21" t="str">
        <f>abstract!B52</f>
        <v>granite umbra patti champering(patta)</v>
      </c>
      <c r="C61" s="90">
        <v>995472</v>
      </c>
      <c r="D61" s="21" t="str">
        <f>abstract!C52</f>
        <v>rmt</v>
      </c>
      <c r="E61" s="21">
        <f>abstract!H52</f>
        <v>146.12121951219513</v>
      </c>
      <c r="F61" s="91">
        <v>1</v>
      </c>
      <c r="G61" s="92">
        <v>184.5</v>
      </c>
      <c r="H61" s="94">
        <f t="shared" si="2"/>
        <v>26959.365000000002</v>
      </c>
    </row>
    <row r="62" spans="1:8">
      <c r="A62" s="89">
        <v>47</v>
      </c>
      <c r="B62" s="21" t="str">
        <f>abstract!B53</f>
        <v>Raiser and tappa polish</v>
      </c>
      <c r="C62" s="90">
        <v>995472</v>
      </c>
      <c r="D62" s="21" t="str">
        <f>abstract!C53</f>
        <v>rmt</v>
      </c>
      <c r="E62" s="21">
        <f>abstract!H53</f>
        <v>84.149268292682933</v>
      </c>
      <c r="F62" s="91">
        <v>1</v>
      </c>
      <c r="G62" s="92">
        <v>143.5</v>
      </c>
      <c r="H62" s="94">
        <f t="shared" si="2"/>
        <v>12075.42</v>
      </c>
    </row>
    <row r="63" spans="1:8">
      <c r="A63" s="89">
        <v>48</v>
      </c>
      <c r="B63" s="21" t="str">
        <f>abstract!B54</f>
        <v>Kitchen platform</v>
      </c>
      <c r="C63" s="90">
        <v>995472</v>
      </c>
      <c r="D63" s="21" t="str">
        <f>abstract!C54</f>
        <v>rmt</v>
      </c>
      <c r="E63" s="21">
        <f>abstract!H54</f>
        <v>15.816463414634146</v>
      </c>
      <c r="F63" s="91">
        <v>1</v>
      </c>
      <c r="G63" s="92">
        <f>1875*3.28</f>
        <v>6150</v>
      </c>
      <c r="H63" s="94">
        <f t="shared" si="2"/>
        <v>97271.25</v>
      </c>
    </row>
    <row r="64" spans="1:8">
      <c r="A64" s="141">
        <v>49</v>
      </c>
      <c r="B64" s="142" t="str">
        <f>abstract!B55</f>
        <v xml:space="preserve"> 45 degree both side cutting &amp;polishing</v>
      </c>
      <c r="C64" s="143">
        <v>995472</v>
      </c>
      <c r="D64" s="142" t="str">
        <f>abstract!C55</f>
        <v>rmt</v>
      </c>
      <c r="E64" s="142">
        <f>abstract!H55</f>
        <v>31.07231707317073</v>
      </c>
      <c r="F64" s="144">
        <v>1</v>
      </c>
      <c r="G64" s="145"/>
      <c r="H64" s="146">
        <f t="shared" si="2"/>
        <v>0</v>
      </c>
    </row>
    <row r="65" spans="1:8">
      <c r="A65" s="89">
        <v>50</v>
      </c>
      <c r="B65" s="21" t="str">
        <f>abstract!B56</f>
        <v>granite top(parapet top)</v>
      </c>
      <c r="C65" s="90">
        <v>995472</v>
      </c>
      <c r="D65" s="21" t="str">
        <f>abstract!C56</f>
        <v>rmt</v>
      </c>
      <c r="E65" s="21">
        <f>abstract!H56</f>
        <v>13.690609756097562</v>
      </c>
      <c r="F65" s="91">
        <v>1</v>
      </c>
      <c r="G65" s="92">
        <f>37.5*10.76</f>
        <v>403.5</v>
      </c>
      <c r="H65" s="94">
        <f t="shared" si="2"/>
        <v>5524.1610365853658</v>
      </c>
    </row>
    <row r="66" spans="1:8">
      <c r="A66" s="89">
        <v>51</v>
      </c>
      <c r="B66" s="21" t="str">
        <f>abstract!B57</f>
        <v>cupboard table kainga stone fixing</v>
      </c>
      <c r="C66" s="90">
        <v>995472</v>
      </c>
      <c r="D66" s="21" t="str">
        <f>abstract!C57</f>
        <v>rmt</v>
      </c>
      <c r="E66" s="21">
        <f>abstract!H57</f>
        <v>2.9299999999999997</v>
      </c>
      <c r="F66" s="91">
        <v>1</v>
      </c>
      <c r="G66" s="92">
        <f>37.5*10.76</f>
        <v>403.5</v>
      </c>
      <c r="H66" s="94">
        <f t="shared" si="2"/>
        <v>1182.2549999999999</v>
      </c>
    </row>
    <row r="67" spans="1:8">
      <c r="A67" s="89">
        <v>52</v>
      </c>
      <c r="B67" s="21" t="str">
        <f>abstract!B58</f>
        <v>Cupboard kalinga stone fixing</v>
      </c>
      <c r="C67" s="90">
        <v>995472</v>
      </c>
      <c r="D67" s="21" t="str">
        <f>abstract!C58</f>
        <v>rmt</v>
      </c>
      <c r="E67" s="21">
        <f>abstract!H58</f>
        <v>1.3300327781082688</v>
      </c>
      <c r="F67" s="91">
        <v>1</v>
      </c>
      <c r="G67" s="92">
        <f>37.5*10.76</f>
        <v>403.5</v>
      </c>
      <c r="H67" s="94">
        <f t="shared" si="2"/>
        <v>536.66822596668646</v>
      </c>
    </row>
    <row r="68" spans="1:8">
      <c r="A68" s="89">
        <v>53</v>
      </c>
      <c r="B68" s="21" t="str">
        <f>abstract!B59</f>
        <v>moulding</v>
      </c>
      <c r="C68" s="90">
        <v>995472</v>
      </c>
      <c r="D68" s="21" t="str">
        <f>abstract!C59</f>
        <v>rmt</v>
      </c>
      <c r="E68" s="21">
        <f>abstract!H59</f>
        <v>9.2713414634146343</v>
      </c>
      <c r="F68" s="91">
        <v>1</v>
      </c>
      <c r="G68" s="92">
        <f>118.75*3.28</f>
        <v>389.5</v>
      </c>
      <c r="H68" s="94">
        <f t="shared" si="2"/>
        <v>3611.1875</v>
      </c>
    </row>
    <row r="69" spans="1:8">
      <c r="A69" s="89">
        <v>54</v>
      </c>
      <c r="B69" s="21" t="str">
        <f>abstract!B60</f>
        <v>marble flooring breaking</v>
      </c>
      <c r="C69" s="90">
        <v>995472</v>
      </c>
      <c r="D69" s="21" t="str">
        <f>abstract!C60</f>
        <v>smt</v>
      </c>
      <c r="E69" s="21">
        <f>abstract!H60</f>
        <v>2.5380168054729331</v>
      </c>
      <c r="F69" s="91">
        <v>1</v>
      </c>
      <c r="G69" s="92">
        <f>37.5*10.76</f>
        <v>403.5</v>
      </c>
      <c r="H69" s="94">
        <f t="shared" si="2"/>
        <v>1024.0897810083286</v>
      </c>
    </row>
    <row r="70" spans="1:8">
      <c r="A70" s="89">
        <v>55</v>
      </c>
      <c r="B70" s="21" t="str">
        <f>abstract!B61</f>
        <v>marble patti</v>
      </c>
      <c r="C70" s="90">
        <v>995472</v>
      </c>
      <c r="D70" s="21" t="str">
        <f>abstract!C61</f>
        <v>rmt</v>
      </c>
      <c r="E70" s="21">
        <f>abstract!H61</f>
        <v>8.824512195121951</v>
      </c>
      <c r="F70" s="91">
        <v>1</v>
      </c>
      <c r="G70" s="92">
        <f>131.25*3.28</f>
        <v>430.5</v>
      </c>
      <c r="H70" s="94">
        <f t="shared" si="2"/>
        <v>3798.9524999999999</v>
      </c>
    </row>
    <row r="71" spans="1:8">
      <c r="A71" s="89">
        <v>56</v>
      </c>
      <c r="B71" s="21" t="str">
        <f>abstract!B62</f>
        <v xml:space="preserve"> granite patti fixing </v>
      </c>
      <c r="C71" s="90">
        <v>995472</v>
      </c>
      <c r="D71" s="21" t="str">
        <f>abstract!C62</f>
        <v>rmt</v>
      </c>
      <c r="E71" s="21">
        <f>abstract!H62</f>
        <v>44.265243902439025</v>
      </c>
      <c r="F71" s="91">
        <v>1</v>
      </c>
      <c r="G71" s="92">
        <f>131.25*3.28</f>
        <v>430.5</v>
      </c>
      <c r="H71" s="94">
        <f t="shared" si="2"/>
        <v>19056.1875</v>
      </c>
    </row>
    <row r="72" spans="1:8">
      <c r="A72" s="89">
        <v>57</v>
      </c>
      <c r="B72" s="21" t="str">
        <f>abstract!B63</f>
        <v>ramp tile flooring</v>
      </c>
      <c r="C72" s="90">
        <v>995472</v>
      </c>
      <c r="D72" s="21" t="str">
        <f>abstract!C63</f>
        <v>rmt</v>
      </c>
      <c r="E72" s="21">
        <f>abstract!H63</f>
        <v>11.890243902439025</v>
      </c>
      <c r="F72" s="91">
        <v>1</v>
      </c>
      <c r="G72" s="92">
        <f>112.5*3.28</f>
        <v>369</v>
      </c>
      <c r="H72" s="94">
        <f t="shared" si="2"/>
        <v>4387.5</v>
      </c>
    </row>
    <row r="73" spans="1:8">
      <c r="A73" s="141">
        <v>58</v>
      </c>
      <c r="B73" s="142" t="str">
        <f>abstract!B64</f>
        <v>door frame breaking</v>
      </c>
      <c r="C73" s="143">
        <v>995472</v>
      </c>
      <c r="D73" s="142" t="str">
        <f>abstract!C64</f>
        <v>rmt</v>
      </c>
      <c r="E73" s="142">
        <f>abstract!H64</f>
        <v>5.2317073170731714</v>
      </c>
      <c r="F73" s="144">
        <v>1</v>
      </c>
      <c r="G73" s="145"/>
      <c r="H73" s="146">
        <f t="shared" si="2"/>
        <v>0</v>
      </c>
    </row>
    <row r="74" spans="1:8">
      <c r="A74" s="141">
        <v>59</v>
      </c>
      <c r="B74" s="142" t="str">
        <f>abstract!B65</f>
        <v>floor marble otla breaking</v>
      </c>
      <c r="C74" s="143">
        <v>995472</v>
      </c>
      <c r="D74" s="142" t="str">
        <f>abstract!C65</f>
        <v>smt</v>
      </c>
      <c r="E74" s="142">
        <f>abstract!H65</f>
        <v>4.5371058893515768</v>
      </c>
      <c r="F74" s="144">
        <v>1</v>
      </c>
      <c r="G74" s="145"/>
      <c r="H74" s="146">
        <f t="shared" si="2"/>
        <v>0</v>
      </c>
    </row>
    <row r="75" spans="1:8">
      <c r="A75" s="89">
        <v>60</v>
      </c>
      <c r="B75" s="21" t="str">
        <f>abstract!B66</f>
        <v>kaleji  polish</v>
      </c>
      <c r="C75" s="90">
        <v>995472</v>
      </c>
      <c r="D75" s="21" t="str">
        <f>abstract!C66</f>
        <v>rmt</v>
      </c>
      <c r="E75" s="21">
        <f>abstract!H66</f>
        <v>35.132926829268293</v>
      </c>
      <c r="F75" s="91">
        <v>1</v>
      </c>
      <c r="G75" s="92">
        <v>143.5</v>
      </c>
      <c r="H75" s="94">
        <f t="shared" si="2"/>
        <v>5041.5749999999998</v>
      </c>
    </row>
    <row r="76" spans="1:8">
      <c r="A76" s="89">
        <v>61</v>
      </c>
      <c r="B76" s="21" t="str">
        <f>abstract!B67</f>
        <v>kaleji  polish</v>
      </c>
      <c r="C76" s="90">
        <v>995472</v>
      </c>
      <c r="D76" s="21" t="str">
        <f>abstract!C67</f>
        <v>smt</v>
      </c>
      <c r="E76" s="21">
        <f>abstract!H67</f>
        <v>0.70289999999999997</v>
      </c>
      <c r="F76" s="91">
        <v>1</v>
      </c>
      <c r="G76" s="92">
        <v>1143.25</v>
      </c>
      <c r="H76" s="94">
        <f t="shared" si="2"/>
        <v>803.59042499999998</v>
      </c>
    </row>
    <row r="77" spans="1:8" ht="15">
      <c r="A77" s="96"/>
      <c r="B77" s="97"/>
      <c r="C77" s="90" t="s">
        <v>36</v>
      </c>
      <c r="D77" s="21"/>
      <c r="E77" s="97"/>
      <c r="F77" s="97"/>
      <c r="G77" s="98" t="s">
        <v>353</v>
      </c>
      <c r="H77" s="99">
        <f>SUM(H16:H76)</f>
        <v>3000728.4275341136</v>
      </c>
    </row>
    <row r="78" spans="1:8" ht="15" customHeight="1">
      <c r="A78" s="190" t="s">
        <v>354</v>
      </c>
      <c r="B78" s="191"/>
      <c r="C78" s="196" t="s">
        <v>355</v>
      </c>
      <c r="D78" s="197"/>
      <c r="E78" s="197"/>
      <c r="F78" s="197"/>
      <c r="G78" s="198"/>
      <c r="H78" s="99">
        <v>1797570.81</v>
      </c>
    </row>
    <row r="79" spans="1:8" ht="14.4" customHeight="1">
      <c r="A79" s="192"/>
      <c r="B79" s="193"/>
      <c r="C79" s="199" t="s">
        <v>356</v>
      </c>
      <c r="D79" s="200"/>
      <c r="E79" s="200"/>
      <c r="F79" s="200"/>
      <c r="G79" s="201"/>
      <c r="H79" s="100">
        <f>H77-H78</f>
        <v>1203157.6175341136</v>
      </c>
    </row>
    <row r="80" spans="1:8">
      <c r="A80" s="192"/>
      <c r="B80" s="193"/>
      <c r="C80" s="202" t="s">
        <v>357</v>
      </c>
      <c r="D80" s="203"/>
      <c r="E80" s="203"/>
      <c r="F80" s="203"/>
      <c r="G80" s="204"/>
      <c r="H80" s="101" t="s">
        <v>358</v>
      </c>
    </row>
    <row r="81" spans="1:8">
      <c r="A81" s="192"/>
      <c r="B81" s="193"/>
      <c r="C81" s="202" t="s">
        <v>359</v>
      </c>
      <c r="D81" s="203"/>
      <c r="E81" s="203"/>
      <c r="F81" s="203"/>
      <c r="G81" s="204"/>
      <c r="H81" s="101" t="s">
        <v>358</v>
      </c>
    </row>
    <row r="82" spans="1:8">
      <c r="A82" s="192"/>
      <c r="B82" s="193"/>
      <c r="C82" s="202" t="s">
        <v>360</v>
      </c>
      <c r="D82" s="203"/>
      <c r="E82" s="203"/>
      <c r="F82" s="203"/>
      <c r="G82" s="204"/>
      <c r="H82" s="101">
        <f>H79/100*18</f>
        <v>216568.37115614043</v>
      </c>
    </row>
    <row r="83" spans="1:8" ht="22.8" customHeight="1" thickBot="1">
      <c r="A83" s="194"/>
      <c r="B83" s="195"/>
      <c r="C83" s="205" t="s">
        <v>361</v>
      </c>
      <c r="D83" s="206"/>
      <c r="E83" s="206"/>
      <c r="F83" s="206"/>
      <c r="G83" s="207"/>
      <c r="H83" s="102">
        <f>H82+H79</f>
        <v>1419725.988690254</v>
      </c>
    </row>
    <row r="84" spans="1:8" ht="15">
      <c r="A84" s="103"/>
      <c r="B84" s="104"/>
      <c r="C84" s="167" t="s">
        <v>36</v>
      </c>
      <c r="D84" s="167"/>
      <c r="E84" s="167"/>
      <c r="F84" s="167"/>
      <c r="G84" s="167"/>
      <c r="H84" s="168"/>
    </row>
    <row r="85" spans="1:8">
      <c r="A85" s="105"/>
      <c r="B85" s="106"/>
      <c r="C85" s="107"/>
      <c r="D85" s="107"/>
      <c r="E85" s="107"/>
      <c r="F85" s="107"/>
      <c r="G85" s="107"/>
      <c r="H85" s="108"/>
    </row>
    <row r="86" spans="1:8">
      <c r="A86" s="105"/>
      <c r="B86" s="106"/>
      <c r="C86" s="107"/>
      <c r="D86" s="107"/>
      <c r="E86" s="107"/>
      <c r="F86" s="107"/>
      <c r="G86" s="107"/>
      <c r="H86" s="108"/>
    </row>
    <row r="87" spans="1:8">
      <c r="A87" s="105"/>
      <c r="B87" s="106"/>
      <c r="C87" s="107"/>
      <c r="D87" s="107"/>
      <c r="E87" s="107"/>
      <c r="F87" s="107"/>
      <c r="G87" s="107"/>
      <c r="H87" s="108"/>
    </row>
    <row r="88" spans="1:8" ht="15.6" thickBot="1">
      <c r="A88" s="105"/>
      <c r="B88" s="106"/>
      <c r="C88" s="169" t="s">
        <v>362</v>
      </c>
      <c r="D88" s="169"/>
      <c r="E88" s="169"/>
      <c r="F88" s="169"/>
      <c r="G88" s="169"/>
      <c r="H88" s="170"/>
    </row>
    <row r="89" spans="1:8" ht="15.6" thickBot="1">
      <c r="A89" s="171" t="s">
        <v>363</v>
      </c>
      <c r="B89" s="172"/>
      <c r="C89" s="172"/>
      <c r="D89" s="172"/>
      <c r="E89" s="172"/>
      <c r="F89" s="172"/>
      <c r="G89" s="172"/>
      <c r="H89" s="173"/>
    </row>
  </sheetData>
  <mergeCells count="22">
    <mergeCell ref="C84:H84"/>
    <mergeCell ref="C88:H88"/>
    <mergeCell ref="A89:H89"/>
    <mergeCell ref="A3:H3"/>
    <mergeCell ref="A4:H4"/>
    <mergeCell ref="A5:H5"/>
    <mergeCell ref="A6:H6"/>
    <mergeCell ref="C7:H7"/>
    <mergeCell ref="A14:H14"/>
    <mergeCell ref="A78:B83"/>
    <mergeCell ref="C78:G78"/>
    <mergeCell ref="C79:G79"/>
    <mergeCell ref="C80:G80"/>
    <mergeCell ref="C81:G81"/>
    <mergeCell ref="C82:G82"/>
    <mergeCell ref="C83:G83"/>
    <mergeCell ref="D8:H8"/>
    <mergeCell ref="D12:H12"/>
    <mergeCell ref="D13:F13"/>
    <mergeCell ref="G13:H13"/>
    <mergeCell ref="A1:H1"/>
    <mergeCell ref="A2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D257-79D6-4CAD-8231-895D80C94EE0}">
  <dimension ref="A1:N357"/>
  <sheetViews>
    <sheetView zoomScale="107" workbookViewId="0">
      <selection activeCell="C273" sqref="C273"/>
    </sheetView>
  </sheetViews>
  <sheetFormatPr defaultRowHeight="14.4"/>
  <cols>
    <col min="1" max="1" width="6.77734375" customWidth="1"/>
    <col min="2" max="2" width="26.33203125" style="16" customWidth="1"/>
    <col min="3" max="3" width="6.44140625" customWidth="1"/>
    <col min="4" max="4" width="0" hidden="1" customWidth="1"/>
    <col min="5" max="5" width="8.6640625" customWidth="1"/>
    <col min="6" max="6" width="8.88671875" hidden="1" customWidth="1"/>
    <col min="7" max="7" width="8.5546875" customWidth="1"/>
    <col min="8" max="8" width="7" customWidth="1"/>
  </cols>
  <sheetData>
    <row r="1" spans="1:14" ht="37.799999999999997" customHeight="1">
      <c r="A1" s="211" t="s">
        <v>9</v>
      </c>
      <c r="B1" s="211"/>
      <c r="C1" s="211"/>
      <c r="D1" s="211"/>
      <c r="E1" s="211"/>
      <c r="F1" s="211"/>
      <c r="G1" s="211"/>
      <c r="H1" s="211"/>
      <c r="I1" s="211"/>
    </row>
    <row r="2" spans="1:14" ht="28.8" customHeight="1">
      <c r="A2" s="209" t="s">
        <v>10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N2" s="9"/>
    </row>
    <row r="3" spans="1:14" ht="28.8" customHeight="1">
      <c r="A3" s="224" t="s">
        <v>172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N3" s="9"/>
    </row>
    <row r="4" spans="1:14" ht="28.8" customHeight="1">
      <c r="A4" s="213" t="s">
        <v>46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</row>
    <row r="5" spans="1:14" ht="35.4" customHeight="1">
      <c r="F5" s="17"/>
      <c r="G5" s="17"/>
      <c r="K5" s="9"/>
    </row>
    <row r="6" spans="1:14" s="9" customFormat="1">
      <c r="A6" s="5" t="s">
        <v>83</v>
      </c>
      <c r="B6" s="18" t="s">
        <v>1</v>
      </c>
      <c r="C6" s="5" t="s">
        <v>5</v>
      </c>
      <c r="D6" s="5" t="s">
        <v>84</v>
      </c>
      <c r="E6" s="5" t="s">
        <v>85</v>
      </c>
      <c r="F6" s="5" t="s">
        <v>86</v>
      </c>
      <c r="G6" s="19" t="s">
        <v>87</v>
      </c>
      <c r="H6" s="5" t="s">
        <v>88</v>
      </c>
      <c r="I6" s="5" t="s">
        <v>6</v>
      </c>
      <c r="J6" s="5" t="s">
        <v>7</v>
      </c>
      <c r="K6" s="5" t="s">
        <v>89</v>
      </c>
    </row>
    <row r="7" spans="1:14">
      <c r="A7" s="4"/>
      <c r="B7" s="7"/>
      <c r="C7" s="4"/>
      <c r="D7" s="4"/>
      <c r="E7" s="4"/>
      <c r="F7" s="4"/>
      <c r="G7" s="4"/>
      <c r="H7" s="4"/>
      <c r="I7" s="4"/>
      <c r="J7" s="4"/>
      <c r="K7" s="4"/>
    </row>
    <row r="8" spans="1:14">
      <c r="A8" s="4">
        <v>1</v>
      </c>
      <c r="B8" s="20" t="s">
        <v>90</v>
      </c>
      <c r="C8" s="4"/>
      <c r="D8" s="4"/>
      <c r="E8" s="4"/>
      <c r="F8" s="4"/>
      <c r="G8" s="4"/>
      <c r="H8" s="4"/>
      <c r="I8" s="4"/>
      <c r="J8" s="4"/>
      <c r="K8" s="4"/>
    </row>
    <row r="9" spans="1:14">
      <c r="A9" s="4">
        <v>1.1000000000000001</v>
      </c>
      <c r="B9" s="7" t="s">
        <v>63</v>
      </c>
      <c r="C9" s="4">
        <v>1</v>
      </c>
      <c r="D9" s="4">
        <v>21</v>
      </c>
      <c r="E9" s="21">
        <f>+D9/3.28</f>
        <v>6.4024390243902447</v>
      </c>
      <c r="F9" s="4">
        <v>13.33</v>
      </c>
      <c r="G9" s="21">
        <f>+F9/3.28</f>
        <v>4.0640243902439028</v>
      </c>
      <c r="H9" s="4">
        <v>1</v>
      </c>
      <c r="I9" s="22">
        <f>+H9*G9*E9*C9</f>
        <v>26.019668352171333</v>
      </c>
      <c r="J9" s="23">
        <v>1</v>
      </c>
      <c r="K9" s="24" t="s">
        <v>91</v>
      </c>
    </row>
    <row r="10" spans="1:14">
      <c r="A10" s="4">
        <v>1.2</v>
      </c>
      <c r="B10" s="7" t="s">
        <v>92</v>
      </c>
      <c r="C10" s="4">
        <v>1</v>
      </c>
      <c r="D10" s="4">
        <v>53</v>
      </c>
      <c r="E10" s="21">
        <f>+D10/3.28</f>
        <v>16.158536585365855</v>
      </c>
      <c r="F10" s="4">
        <v>1</v>
      </c>
      <c r="G10" s="4">
        <v>1</v>
      </c>
      <c r="H10" s="4">
        <v>1</v>
      </c>
      <c r="I10" s="22">
        <f>+H10*G10*E10*C10</f>
        <v>16.158536585365855</v>
      </c>
      <c r="J10" s="23">
        <v>1</v>
      </c>
      <c r="K10" s="24" t="s">
        <v>14</v>
      </c>
    </row>
    <row r="11" spans="1:14">
      <c r="A11" s="4"/>
      <c r="B11" s="18"/>
      <c r="C11" s="4"/>
      <c r="D11" s="4"/>
      <c r="E11" s="21" t="s">
        <v>36</v>
      </c>
      <c r="F11" s="4" t="s">
        <v>36</v>
      </c>
      <c r="G11" s="4" t="s">
        <v>36</v>
      </c>
      <c r="H11" s="4" t="s">
        <v>36</v>
      </c>
      <c r="I11" s="21" t="s">
        <v>36</v>
      </c>
      <c r="J11" s="6" t="s">
        <v>36</v>
      </c>
      <c r="K11" s="4"/>
    </row>
    <row r="12" spans="1:14">
      <c r="A12" s="4">
        <v>1.5</v>
      </c>
      <c r="B12" s="18" t="s">
        <v>97</v>
      </c>
      <c r="C12" s="4"/>
      <c r="D12" s="4"/>
      <c r="E12" s="21" t="s">
        <v>36</v>
      </c>
      <c r="F12" s="4" t="s">
        <v>36</v>
      </c>
      <c r="G12" s="21" t="s">
        <v>36</v>
      </c>
      <c r="H12" s="4"/>
      <c r="I12" s="21" t="s">
        <v>36</v>
      </c>
      <c r="J12" s="6" t="s">
        <v>36</v>
      </c>
      <c r="K12" s="4"/>
    </row>
    <row r="13" spans="1:14">
      <c r="A13" s="4"/>
      <c r="B13" s="7" t="s">
        <v>98</v>
      </c>
      <c r="C13" s="4">
        <v>1</v>
      </c>
      <c r="D13" s="4">
        <v>5</v>
      </c>
      <c r="E13" s="33">
        <v>1.49</v>
      </c>
      <c r="F13" s="15">
        <v>2</v>
      </c>
      <c r="G13" s="33">
        <v>0.6</v>
      </c>
      <c r="H13" s="4">
        <v>1</v>
      </c>
      <c r="I13" s="22">
        <f>+H13*E13*C13</f>
        <v>1.49</v>
      </c>
      <c r="J13" s="23">
        <v>1</v>
      </c>
      <c r="K13" s="24" t="s">
        <v>14</v>
      </c>
    </row>
    <row r="14" spans="1:14">
      <c r="A14" s="4"/>
      <c r="B14" s="34" t="s">
        <v>168</v>
      </c>
      <c r="C14" s="15">
        <v>-1</v>
      </c>
      <c r="D14" s="4"/>
      <c r="E14" s="33">
        <v>0.35</v>
      </c>
      <c r="F14" s="15"/>
      <c r="G14" s="33">
        <v>0.57999999999999996</v>
      </c>
      <c r="H14" s="4">
        <v>1</v>
      </c>
      <c r="I14" s="22">
        <f>+H14*G14*E14*C14</f>
        <v>-0.20299999999999999</v>
      </c>
      <c r="J14" s="23">
        <v>1</v>
      </c>
      <c r="K14" s="24" t="s">
        <v>91</v>
      </c>
    </row>
    <row r="15" spans="1:14">
      <c r="A15" s="4"/>
      <c r="B15" s="34"/>
      <c r="C15" s="15"/>
      <c r="D15" s="4"/>
      <c r="E15" s="33"/>
      <c r="F15" s="15"/>
      <c r="G15" s="33"/>
      <c r="H15" s="4"/>
      <c r="I15" s="22">
        <f>SUM(I13:I14)</f>
        <v>1.2869999999999999</v>
      </c>
      <c r="J15" s="23">
        <v>1</v>
      </c>
      <c r="K15" s="24" t="s">
        <v>91</v>
      </c>
    </row>
    <row r="16" spans="1:14">
      <c r="A16" s="4"/>
      <c r="B16" s="7" t="s">
        <v>99</v>
      </c>
      <c r="C16" s="4">
        <v>3</v>
      </c>
      <c r="D16" s="4">
        <v>2.08</v>
      </c>
      <c r="E16" s="21">
        <f>+D16/3.28</f>
        <v>0.63414634146341464</v>
      </c>
      <c r="F16" s="4">
        <v>2</v>
      </c>
      <c r="G16" s="33">
        <v>0.6</v>
      </c>
      <c r="H16" s="4">
        <v>1</v>
      </c>
      <c r="I16" s="22">
        <f>+H16*G16*E16*C16</f>
        <v>1.1414634146341465</v>
      </c>
      <c r="J16" s="23">
        <v>1</v>
      </c>
      <c r="K16" s="24" t="s">
        <v>91</v>
      </c>
    </row>
    <row r="17" spans="1:11">
      <c r="A17" s="4"/>
      <c r="B17" s="7" t="s">
        <v>100</v>
      </c>
      <c r="C17" s="4">
        <v>1</v>
      </c>
      <c r="D17" s="4">
        <v>7.66</v>
      </c>
      <c r="E17" s="21">
        <f>+D17/3.28</f>
        <v>2.3353658536585367</v>
      </c>
      <c r="F17" s="4">
        <v>1</v>
      </c>
      <c r="G17" s="4">
        <v>1</v>
      </c>
      <c r="H17" s="4">
        <v>1</v>
      </c>
      <c r="I17" s="22">
        <f>+H17*G17*E17*C17</f>
        <v>2.3353658536585367</v>
      </c>
      <c r="J17" s="23">
        <v>1</v>
      </c>
      <c r="K17" s="24" t="s">
        <v>14</v>
      </c>
    </row>
    <row r="18" spans="1:11">
      <c r="A18" s="4"/>
      <c r="B18" s="7"/>
      <c r="C18" s="4">
        <v>1</v>
      </c>
      <c r="D18" s="4">
        <v>17.329999999999998</v>
      </c>
      <c r="E18" s="33">
        <v>2.75</v>
      </c>
      <c r="F18" s="4">
        <v>1</v>
      </c>
      <c r="G18" s="4">
        <v>1</v>
      </c>
      <c r="H18" s="4">
        <v>1</v>
      </c>
      <c r="I18" s="22">
        <f>+H18*G18*E18*C18</f>
        <v>2.75</v>
      </c>
      <c r="J18" s="23">
        <v>1</v>
      </c>
      <c r="K18" s="24" t="s">
        <v>14</v>
      </c>
    </row>
    <row r="19" spans="1:11">
      <c r="A19" s="4"/>
      <c r="B19" s="7"/>
      <c r="C19" s="4"/>
      <c r="D19" s="4"/>
      <c r="E19" s="33"/>
      <c r="F19" s="4"/>
      <c r="G19" s="4"/>
      <c r="H19" s="4"/>
      <c r="I19" s="22">
        <f>SUM(I17:I18)</f>
        <v>5.0853658536585371</v>
      </c>
      <c r="J19" s="23">
        <v>1</v>
      </c>
      <c r="K19" s="24" t="s">
        <v>14</v>
      </c>
    </row>
    <row r="20" spans="1:11">
      <c r="A20" s="4">
        <v>1.6</v>
      </c>
      <c r="B20" s="20" t="s">
        <v>101</v>
      </c>
      <c r="C20" s="4"/>
      <c r="D20" s="4" t="s">
        <v>36</v>
      </c>
      <c r="E20" s="21" t="s">
        <v>36</v>
      </c>
      <c r="F20" s="4" t="s">
        <v>36</v>
      </c>
      <c r="G20" s="4" t="s">
        <v>36</v>
      </c>
      <c r="H20" s="4"/>
      <c r="I20" s="21" t="s">
        <v>36</v>
      </c>
      <c r="J20" s="6" t="s">
        <v>36</v>
      </c>
      <c r="K20" s="4"/>
    </row>
    <row r="21" spans="1:11">
      <c r="A21" s="4"/>
      <c r="B21" s="7" t="s">
        <v>98</v>
      </c>
      <c r="C21" s="4">
        <v>1</v>
      </c>
      <c r="D21" s="4">
        <v>1.25</v>
      </c>
      <c r="E21" s="21">
        <f>+D21/3.28</f>
        <v>0.38109756097560976</v>
      </c>
      <c r="F21" s="4">
        <v>3.25</v>
      </c>
      <c r="G21" s="21">
        <f>+F21/3.28</f>
        <v>0.99085365853658547</v>
      </c>
      <c r="H21" s="4">
        <v>1</v>
      </c>
      <c r="I21" s="22">
        <f>+H21*G21*C21</f>
        <v>0.99085365853658547</v>
      </c>
      <c r="J21" s="23">
        <v>1</v>
      </c>
      <c r="K21" s="24" t="s">
        <v>14</v>
      </c>
    </row>
    <row r="22" spans="1:11">
      <c r="A22" s="4"/>
      <c r="B22" s="7" t="s">
        <v>100</v>
      </c>
      <c r="C22" s="4">
        <v>1</v>
      </c>
      <c r="D22" s="4">
        <v>3.25</v>
      </c>
      <c r="E22" s="21">
        <f>+D22/3.28</f>
        <v>0.99085365853658547</v>
      </c>
      <c r="F22" s="4">
        <v>1</v>
      </c>
      <c r="G22" s="4">
        <v>1</v>
      </c>
      <c r="H22" s="4">
        <v>1</v>
      </c>
      <c r="I22" s="22">
        <f>+H22*G22*E22*C22</f>
        <v>0.99085365853658547</v>
      </c>
      <c r="J22" s="23">
        <v>1</v>
      </c>
      <c r="K22" s="24" t="s">
        <v>14</v>
      </c>
    </row>
    <row r="23" spans="1:11">
      <c r="A23" s="4"/>
      <c r="B23" s="7" t="s">
        <v>95</v>
      </c>
      <c r="C23" s="4">
        <v>1</v>
      </c>
      <c r="D23" s="4">
        <v>3.25</v>
      </c>
      <c r="E23" s="21">
        <f>+D23/3.28</f>
        <v>0.99085365853658547</v>
      </c>
      <c r="F23" s="4">
        <v>1</v>
      </c>
      <c r="G23" s="4">
        <v>1</v>
      </c>
      <c r="H23" s="4">
        <v>1</v>
      </c>
      <c r="I23" s="22">
        <f>+H23*G23*E23*C23</f>
        <v>0.99085365853658547</v>
      </c>
      <c r="J23" s="23">
        <v>1</v>
      </c>
      <c r="K23" s="24" t="s">
        <v>14</v>
      </c>
    </row>
    <row r="24" spans="1:11">
      <c r="A24" s="4"/>
      <c r="B24" s="7" t="s">
        <v>94</v>
      </c>
      <c r="C24" s="4">
        <v>1</v>
      </c>
      <c r="D24" s="4">
        <v>3.25</v>
      </c>
      <c r="E24" s="21">
        <f>+D24/3.28</f>
        <v>0.99085365853658547</v>
      </c>
      <c r="F24" s="4">
        <v>1</v>
      </c>
      <c r="G24" s="4">
        <v>1</v>
      </c>
      <c r="H24" s="4">
        <v>1</v>
      </c>
      <c r="I24" s="22">
        <f>+H24*G24*E24*C24</f>
        <v>0.99085365853658547</v>
      </c>
      <c r="J24" s="23">
        <v>1</v>
      </c>
      <c r="K24" s="24" t="s">
        <v>14</v>
      </c>
    </row>
    <row r="25" spans="1:11">
      <c r="A25" s="4"/>
      <c r="B25" s="7"/>
      <c r="C25" s="4"/>
      <c r="D25" s="4" t="s">
        <v>36</v>
      </c>
      <c r="E25" s="21" t="s">
        <v>36</v>
      </c>
      <c r="F25" s="4" t="s">
        <v>36</v>
      </c>
      <c r="G25" s="4" t="s">
        <v>36</v>
      </c>
      <c r="H25" s="4"/>
      <c r="I25" s="21" t="s">
        <v>36</v>
      </c>
      <c r="J25" s="6" t="s">
        <v>36</v>
      </c>
      <c r="K25" s="4"/>
    </row>
    <row r="26" spans="1:11">
      <c r="A26" s="4">
        <v>2</v>
      </c>
      <c r="B26" s="20" t="s">
        <v>66</v>
      </c>
      <c r="C26" s="4"/>
      <c r="D26" s="4"/>
      <c r="E26" s="21" t="s">
        <v>36</v>
      </c>
      <c r="F26" s="4" t="s">
        <v>36</v>
      </c>
      <c r="G26" s="4" t="s">
        <v>36</v>
      </c>
      <c r="H26" s="4"/>
      <c r="I26" s="21" t="s">
        <v>36</v>
      </c>
      <c r="J26" s="6" t="s">
        <v>36</v>
      </c>
      <c r="K26" s="4"/>
    </row>
    <row r="27" spans="1:11">
      <c r="A27" s="4">
        <v>2.1</v>
      </c>
      <c r="B27" s="7" t="s">
        <v>63</v>
      </c>
      <c r="C27" s="4">
        <v>1</v>
      </c>
      <c r="D27" s="4">
        <v>6.25</v>
      </c>
      <c r="E27" s="33">
        <v>1.83</v>
      </c>
      <c r="F27" s="4">
        <v>8.25</v>
      </c>
      <c r="G27" s="21">
        <f>+F27/3.28</f>
        <v>2.5152439024390247</v>
      </c>
      <c r="H27" s="4">
        <v>1</v>
      </c>
      <c r="I27" s="22">
        <f>+H27*G27*E27*C27</f>
        <v>4.6028963414634152</v>
      </c>
      <c r="J27" s="23">
        <v>1</v>
      </c>
      <c r="K27" s="24" t="s">
        <v>91</v>
      </c>
    </row>
    <row r="28" spans="1:11">
      <c r="A28" s="4">
        <v>2.2000000000000002</v>
      </c>
      <c r="B28" s="7" t="s">
        <v>13</v>
      </c>
      <c r="C28" s="4">
        <v>1</v>
      </c>
      <c r="D28" s="4">
        <v>29</v>
      </c>
      <c r="E28" s="21">
        <f>D28/3.28</f>
        <v>8.8414634146341466</v>
      </c>
      <c r="F28" s="4">
        <v>1</v>
      </c>
      <c r="G28" s="4">
        <v>1</v>
      </c>
      <c r="H28" s="4">
        <v>1</v>
      </c>
      <c r="I28" s="22">
        <f>+H28*G28*E28*C28</f>
        <v>8.8414634146341466</v>
      </c>
      <c r="J28" s="23">
        <v>1</v>
      </c>
      <c r="K28" s="24" t="s">
        <v>14</v>
      </c>
    </row>
    <row r="29" spans="1:11">
      <c r="A29" s="4"/>
      <c r="B29" s="7"/>
      <c r="C29" s="4"/>
      <c r="D29" s="4"/>
      <c r="E29" s="21"/>
      <c r="F29" s="4"/>
      <c r="G29" s="4"/>
      <c r="H29" s="4"/>
      <c r="I29" s="21"/>
      <c r="J29" s="6"/>
      <c r="K29" s="4"/>
    </row>
    <row r="30" spans="1:11">
      <c r="A30" s="4"/>
      <c r="B30" s="7"/>
      <c r="C30" s="4"/>
      <c r="D30" s="4"/>
      <c r="E30" s="21"/>
      <c r="F30" s="4"/>
      <c r="G30" s="4"/>
      <c r="H30" s="4"/>
      <c r="I30" s="21"/>
      <c r="J30" s="4"/>
      <c r="K30" s="4"/>
    </row>
    <row r="31" spans="1:11">
      <c r="A31" s="4">
        <v>3</v>
      </c>
      <c r="B31" s="20" t="s">
        <v>102</v>
      </c>
      <c r="C31" s="4"/>
      <c r="D31" s="4"/>
      <c r="E31" s="21"/>
      <c r="F31" s="4"/>
      <c r="G31" s="4"/>
      <c r="H31" s="4"/>
      <c r="I31" s="21"/>
      <c r="J31" s="4"/>
      <c r="K31" s="4"/>
    </row>
    <row r="32" spans="1:11">
      <c r="A32" s="4">
        <v>3.1</v>
      </c>
      <c r="B32" s="7" t="s">
        <v>103</v>
      </c>
      <c r="C32" s="4">
        <v>1</v>
      </c>
      <c r="D32" s="4"/>
      <c r="E32" s="33">
        <v>3.83</v>
      </c>
      <c r="F32" s="15"/>
      <c r="G32" s="33">
        <v>3.94</v>
      </c>
      <c r="H32" s="4">
        <v>1</v>
      </c>
      <c r="I32" s="22">
        <f>+H32*G32*E32*C32</f>
        <v>15.090199999999999</v>
      </c>
      <c r="J32" s="23">
        <v>1</v>
      </c>
      <c r="K32" s="24" t="s">
        <v>91</v>
      </c>
    </row>
    <row r="33" spans="1:11">
      <c r="A33" s="4">
        <v>3.2</v>
      </c>
      <c r="B33" s="7" t="s">
        <v>92</v>
      </c>
      <c r="C33" s="4">
        <v>1</v>
      </c>
      <c r="D33" s="4"/>
      <c r="E33" s="21">
        <f>37/3.28</f>
        <v>11.280487804878049</v>
      </c>
      <c r="F33" s="4"/>
      <c r="G33" s="4">
        <v>1</v>
      </c>
      <c r="H33" s="4">
        <v>1</v>
      </c>
      <c r="I33" s="22">
        <f>+H33*G33*E33*C33</f>
        <v>11.280487804878049</v>
      </c>
      <c r="J33" s="23">
        <v>1</v>
      </c>
      <c r="K33" s="24" t="s">
        <v>14</v>
      </c>
    </row>
    <row r="34" spans="1:11" ht="28.8">
      <c r="A34" s="4">
        <v>4</v>
      </c>
      <c r="B34" s="20" t="s">
        <v>104</v>
      </c>
      <c r="C34" s="4"/>
      <c r="D34" s="4"/>
      <c r="E34" s="21"/>
      <c r="F34" s="4"/>
      <c r="G34" s="4"/>
      <c r="H34" s="4"/>
      <c r="I34" s="21"/>
      <c r="J34" s="4"/>
      <c r="K34" s="4"/>
    </row>
    <row r="35" spans="1:11">
      <c r="A35" s="4">
        <v>4.0999999999999996</v>
      </c>
      <c r="B35" s="7" t="s">
        <v>105</v>
      </c>
      <c r="C35" s="4">
        <v>1</v>
      </c>
      <c r="D35" s="4"/>
      <c r="E35" s="33">
        <v>4.0999999999999996</v>
      </c>
      <c r="F35" s="4"/>
      <c r="G35" s="21">
        <f>7/3.28</f>
        <v>2.1341463414634148</v>
      </c>
      <c r="H35" s="4">
        <v>1</v>
      </c>
      <c r="I35" s="22">
        <f>+H35*G35*E35*C35</f>
        <v>8.75</v>
      </c>
      <c r="J35" s="23">
        <v>1</v>
      </c>
      <c r="K35" s="24" t="s">
        <v>91</v>
      </c>
    </row>
    <row r="36" spans="1:11">
      <c r="A36" s="4">
        <v>4.2</v>
      </c>
      <c r="B36" s="7" t="s">
        <v>92</v>
      </c>
      <c r="C36" s="4">
        <v>1</v>
      </c>
      <c r="D36" s="4"/>
      <c r="E36" s="21">
        <f>20/3.28</f>
        <v>6.0975609756097562</v>
      </c>
      <c r="F36" s="4"/>
      <c r="G36" s="4">
        <v>1</v>
      </c>
      <c r="H36" s="4">
        <v>1</v>
      </c>
      <c r="I36" s="22">
        <f>+H36*G36*E36*C36</f>
        <v>6.0975609756097562</v>
      </c>
      <c r="J36" s="23">
        <v>1</v>
      </c>
      <c r="K36" s="24" t="s">
        <v>14</v>
      </c>
    </row>
    <row r="37" spans="1:11">
      <c r="A37" s="4"/>
      <c r="B37" s="7"/>
      <c r="C37" s="4"/>
      <c r="D37" s="4"/>
      <c r="E37" s="21"/>
      <c r="F37" s="4"/>
      <c r="G37" s="4"/>
      <c r="H37" s="4"/>
      <c r="I37" s="21"/>
      <c r="J37" s="6"/>
      <c r="K37" s="4"/>
    </row>
    <row r="38" spans="1:11">
      <c r="A38" s="4">
        <v>4.3</v>
      </c>
      <c r="B38" s="7" t="s">
        <v>106</v>
      </c>
      <c r="C38" s="4">
        <v>2</v>
      </c>
      <c r="D38" s="4"/>
      <c r="E38" s="21">
        <f>1.58/3.28</f>
        <v>0.48170731707317077</v>
      </c>
      <c r="F38" s="4"/>
      <c r="G38" s="4">
        <v>1</v>
      </c>
      <c r="H38" s="4">
        <v>1</v>
      </c>
      <c r="I38" s="21">
        <f>+H38*G38*E38*C38</f>
        <v>0.96341463414634154</v>
      </c>
      <c r="J38" s="6">
        <v>1</v>
      </c>
      <c r="K38" s="4" t="s">
        <v>14</v>
      </c>
    </row>
    <row r="39" spans="1:11">
      <c r="A39" s="4"/>
      <c r="B39" s="7" t="s">
        <v>106</v>
      </c>
      <c r="C39" s="4">
        <v>2</v>
      </c>
      <c r="D39" s="4"/>
      <c r="E39" s="33">
        <v>0.66</v>
      </c>
      <c r="F39" s="4"/>
      <c r="G39" s="4">
        <v>1</v>
      </c>
      <c r="H39" s="4">
        <v>1</v>
      </c>
      <c r="I39" s="21">
        <f>+H39*G39*E39*C39</f>
        <v>1.32</v>
      </c>
      <c r="J39" s="6">
        <v>1</v>
      </c>
      <c r="K39" s="4" t="s">
        <v>14</v>
      </c>
    </row>
    <row r="40" spans="1:11">
      <c r="A40" s="4"/>
      <c r="B40" s="7"/>
      <c r="C40" s="4"/>
      <c r="D40" s="4"/>
      <c r="E40" s="21"/>
      <c r="F40" s="4"/>
      <c r="G40" s="4"/>
      <c r="H40" s="4"/>
      <c r="I40" s="22">
        <f>SUM(I38:I39)</f>
        <v>2.2834146341463417</v>
      </c>
      <c r="J40" s="23">
        <v>1</v>
      </c>
      <c r="K40" s="24" t="s">
        <v>14</v>
      </c>
    </row>
    <row r="41" spans="1:11">
      <c r="A41" s="4">
        <v>4.4000000000000004</v>
      </c>
      <c r="B41" s="7" t="s">
        <v>107</v>
      </c>
      <c r="C41" s="4">
        <v>1</v>
      </c>
      <c r="D41" s="4"/>
      <c r="E41" s="21">
        <f>1.58/3.28</f>
        <v>0.48170731707317077</v>
      </c>
      <c r="F41" s="4"/>
      <c r="G41" s="4">
        <v>1</v>
      </c>
      <c r="H41" s="4">
        <v>1</v>
      </c>
      <c r="I41" s="21">
        <f>+H41*G41*E41*C41</f>
        <v>0.48170731707317077</v>
      </c>
      <c r="J41" s="6">
        <v>1</v>
      </c>
      <c r="K41" s="4" t="s">
        <v>14</v>
      </c>
    </row>
    <row r="42" spans="1:11">
      <c r="A42" s="4"/>
      <c r="B42" s="7" t="s">
        <v>107</v>
      </c>
      <c r="C42" s="4">
        <v>1</v>
      </c>
      <c r="D42" s="4"/>
      <c r="E42" s="33">
        <v>0.66</v>
      </c>
      <c r="F42" s="4"/>
      <c r="G42" s="4">
        <v>1</v>
      </c>
      <c r="H42" s="4">
        <v>1</v>
      </c>
      <c r="I42" s="21">
        <f>+H42*G42*E42*C42</f>
        <v>0.66</v>
      </c>
      <c r="J42" s="6">
        <v>1</v>
      </c>
      <c r="K42" s="4" t="s">
        <v>14</v>
      </c>
    </row>
    <row r="43" spans="1:11">
      <c r="A43" s="4"/>
      <c r="B43" s="7"/>
      <c r="C43" s="4"/>
      <c r="D43" s="4"/>
      <c r="E43" s="21"/>
      <c r="F43" s="4"/>
      <c r="G43" s="4"/>
      <c r="H43" s="4"/>
      <c r="I43" s="22">
        <f>SUM(I41:I42)</f>
        <v>1.1417073170731709</v>
      </c>
      <c r="J43" s="23">
        <v>1</v>
      </c>
      <c r="K43" s="24" t="s">
        <v>14</v>
      </c>
    </row>
    <row r="44" spans="1:11">
      <c r="A44" s="4">
        <v>4.5</v>
      </c>
      <c r="B44" s="7" t="s">
        <v>108</v>
      </c>
      <c r="C44" s="4">
        <v>1</v>
      </c>
      <c r="D44" s="4"/>
      <c r="E44" s="21">
        <f>1.58/3.28</f>
        <v>0.48170731707317077</v>
      </c>
      <c r="F44" s="4"/>
      <c r="G44" s="4">
        <v>1</v>
      </c>
      <c r="H44" s="4">
        <v>1</v>
      </c>
      <c r="I44" s="21">
        <f>+H44*G44*E44*C44</f>
        <v>0.48170731707317077</v>
      </c>
      <c r="J44" s="6">
        <v>1</v>
      </c>
      <c r="K44" s="4" t="s">
        <v>14</v>
      </c>
    </row>
    <row r="45" spans="1:11">
      <c r="A45" s="4"/>
      <c r="B45" s="7" t="s">
        <v>108</v>
      </c>
      <c r="C45" s="4">
        <v>1</v>
      </c>
      <c r="D45" s="4"/>
      <c r="E45" s="33">
        <v>0.66</v>
      </c>
      <c r="F45" s="4"/>
      <c r="G45" s="4">
        <v>1</v>
      </c>
      <c r="H45" s="4">
        <v>1</v>
      </c>
      <c r="I45" s="21">
        <f>+H45*G45*E45*C45</f>
        <v>0.66</v>
      </c>
      <c r="J45" s="6">
        <v>1</v>
      </c>
      <c r="K45" s="4" t="s">
        <v>14</v>
      </c>
    </row>
    <row r="46" spans="1:11">
      <c r="A46" s="4"/>
      <c r="B46" s="7"/>
      <c r="C46" s="4"/>
      <c r="D46" s="4"/>
      <c r="E46" s="21"/>
      <c r="F46" s="4"/>
      <c r="G46" s="4"/>
      <c r="H46" s="4"/>
      <c r="I46" s="22">
        <f>SUM(I44:I45)</f>
        <v>1.1417073170731709</v>
      </c>
      <c r="J46" s="23">
        <v>1</v>
      </c>
      <c r="K46" s="24" t="s">
        <v>14</v>
      </c>
    </row>
    <row r="47" spans="1:11">
      <c r="A47" s="4">
        <v>5</v>
      </c>
      <c r="B47" s="20" t="s">
        <v>109</v>
      </c>
      <c r="C47" s="4"/>
      <c r="D47" s="4"/>
      <c r="E47" s="21"/>
      <c r="F47" s="4"/>
      <c r="G47" s="4"/>
      <c r="H47" s="4"/>
      <c r="I47" s="21" t="s">
        <v>36</v>
      </c>
      <c r="J47" s="4"/>
      <c r="K47" s="4"/>
    </row>
    <row r="48" spans="1:11">
      <c r="A48" s="4">
        <v>5.0999999999999996</v>
      </c>
      <c r="B48" s="7" t="s">
        <v>110</v>
      </c>
      <c r="C48" s="4">
        <v>1</v>
      </c>
      <c r="D48" s="4"/>
      <c r="E48" s="21">
        <f>7.66/3.28</f>
        <v>2.3353658536585367</v>
      </c>
      <c r="F48" s="4"/>
      <c r="G48" s="21">
        <f>5.08/3.28</f>
        <v>1.5487804878048781</v>
      </c>
      <c r="H48" s="4">
        <v>1</v>
      </c>
      <c r="I48" s="21">
        <f t="shared" ref="I48:I53" si="0">+H48*G48*E48*C48</f>
        <v>3.6169690660321239</v>
      </c>
      <c r="J48" s="6">
        <v>1</v>
      </c>
      <c r="K48" s="4" t="s">
        <v>91</v>
      </c>
    </row>
    <row r="49" spans="1:11">
      <c r="A49" s="4">
        <v>5.2</v>
      </c>
      <c r="B49" s="7" t="s">
        <v>111</v>
      </c>
      <c r="C49" s="4">
        <v>1</v>
      </c>
      <c r="D49" s="4"/>
      <c r="E49" s="21">
        <f>7/3.28</f>
        <v>2.1341463414634148</v>
      </c>
      <c r="F49" s="4"/>
      <c r="G49" s="21">
        <f>2.58/3.28</f>
        <v>0.78658536585365857</v>
      </c>
      <c r="H49" s="4">
        <v>1</v>
      </c>
      <c r="I49" s="21">
        <f t="shared" si="0"/>
        <v>1.678688280785247</v>
      </c>
      <c r="J49" s="6">
        <v>1</v>
      </c>
      <c r="K49" s="4" t="s">
        <v>91</v>
      </c>
    </row>
    <row r="50" spans="1:11">
      <c r="A50" s="4"/>
      <c r="B50" s="7" t="s">
        <v>111</v>
      </c>
      <c r="C50" s="4">
        <v>1</v>
      </c>
      <c r="D50" s="4"/>
      <c r="E50" s="21">
        <f>2.91/3.28</f>
        <v>0.88719512195121963</v>
      </c>
      <c r="F50" s="4"/>
      <c r="G50" s="21">
        <f>1.41/3.28</f>
        <v>0.4298780487804878</v>
      </c>
      <c r="H50" s="4">
        <v>1</v>
      </c>
      <c r="I50" s="21">
        <f t="shared" si="0"/>
        <v>0.38138570791195719</v>
      </c>
      <c r="J50" s="6">
        <v>1</v>
      </c>
      <c r="K50" s="4" t="s">
        <v>91</v>
      </c>
    </row>
    <row r="51" spans="1:11">
      <c r="A51" s="4"/>
      <c r="B51" s="7" t="s">
        <v>111</v>
      </c>
      <c r="C51" s="4">
        <v>1</v>
      </c>
      <c r="D51" s="4"/>
      <c r="E51" s="21">
        <f>3.75/3.28</f>
        <v>1.1432926829268293</v>
      </c>
      <c r="F51" s="4"/>
      <c r="G51" s="21">
        <f>1.41/3.28</f>
        <v>0.4298780487804878</v>
      </c>
      <c r="H51" s="4">
        <v>1</v>
      </c>
      <c r="I51" s="21">
        <f t="shared" si="0"/>
        <v>0.49147642772159428</v>
      </c>
      <c r="J51" s="6">
        <v>1</v>
      </c>
      <c r="K51" s="4" t="s">
        <v>91</v>
      </c>
    </row>
    <row r="52" spans="1:11">
      <c r="A52" s="4"/>
      <c r="B52" s="7" t="s">
        <v>111</v>
      </c>
      <c r="C52" s="4">
        <v>1</v>
      </c>
      <c r="D52" s="4"/>
      <c r="E52" s="21">
        <f>0.91/3.28</f>
        <v>0.27743902439024393</v>
      </c>
      <c r="F52" s="4"/>
      <c r="G52" s="21">
        <f>7.75/3.28</f>
        <v>2.3628048780487805</v>
      </c>
      <c r="H52" s="4">
        <v>1</v>
      </c>
      <c r="I52" s="21">
        <f t="shared" si="0"/>
        <v>0.65553428019036297</v>
      </c>
      <c r="J52" s="6">
        <v>1</v>
      </c>
      <c r="K52" s="4" t="s">
        <v>91</v>
      </c>
    </row>
    <row r="53" spans="1:11">
      <c r="A53" s="4"/>
      <c r="B53" s="7" t="s">
        <v>111</v>
      </c>
      <c r="C53" s="4">
        <v>1</v>
      </c>
      <c r="D53" s="4"/>
      <c r="E53" s="21">
        <f>5.58/3.28</f>
        <v>1.7012195121951221</v>
      </c>
      <c r="F53" s="4"/>
      <c r="G53" s="21">
        <f>1.75/3.28</f>
        <v>0.53353658536585369</v>
      </c>
      <c r="H53" s="4">
        <v>1</v>
      </c>
      <c r="I53" s="21">
        <f t="shared" si="0"/>
        <v>0.90766284949434872</v>
      </c>
      <c r="J53" s="6">
        <v>1</v>
      </c>
      <c r="K53" s="4" t="s">
        <v>91</v>
      </c>
    </row>
    <row r="54" spans="1:11">
      <c r="A54" s="4"/>
      <c r="B54" s="7"/>
      <c r="C54" s="4"/>
      <c r="D54" s="4"/>
      <c r="E54" s="21"/>
      <c r="F54" s="4"/>
      <c r="G54" s="4"/>
      <c r="H54" s="4"/>
      <c r="I54" s="22">
        <f>SUM(I48:I53)</f>
        <v>7.7317166121356342</v>
      </c>
      <c r="J54" s="23">
        <v>1</v>
      </c>
      <c r="K54" s="24" t="s">
        <v>91</v>
      </c>
    </row>
    <row r="55" spans="1:11">
      <c r="A55" s="4">
        <v>5.5</v>
      </c>
      <c r="B55" s="7" t="s">
        <v>111</v>
      </c>
      <c r="C55" s="4">
        <v>1</v>
      </c>
      <c r="D55" s="4"/>
      <c r="E55" s="21">
        <f>4/3.28</f>
        <v>1.2195121951219512</v>
      </c>
      <c r="F55" s="4"/>
      <c r="G55" s="4">
        <v>1</v>
      </c>
      <c r="H55" s="4">
        <v>1</v>
      </c>
      <c r="I55" s="21">
        <f>+H55*G55*E55*C55</f>
        <v>1.2195121951219512</v>
      </c>
      <c r="J55" s="6">
        <v>1</v>
      </c>
      <c r="K55" s="4" t="s">
        <v>14</v>
      </c>
    </row>
    <row r="56" spans="1:11">
      <c r="A56" s="4"/>
      <c r="B56" s="7" t="s">
        <v>111</v>
      </c>
      <c r="C56" s="4">
        <v>1</v>
      </c>
      <c r="D56" s="4"/>
      <c r="E56" s="21">
        <f>1.91/3.28</f>
        <v>0.58231707317073167</v>
      </c>
      <c r="F56" s="4"/>
      <c r="G56" s="4">
        <v>1</v>
      </c>
      <c r="H56" s="4">
        <v>1</v>
      </c>
      <c r="I56" s="21">
        <f>+H56*G56*E56*C56</f>
        <v>0.58231707317073167</v>
      </c>
      <c r="J56" s="6">
        <v>1</v>
      </c>
      <c r="K56" s="4" t="s">
        <v>14</v>
      </c>
    </row>
    <row r="57" spans="1:11">
      <c r="A57" s="4"/>
      <c r="B57" s="7" t="s">
        <v>111</v>
      </c>
      <c r="C57" s="4">
        <v>1</v>
      </c>
      <c r="D57" s="4"/>
      <c r="E57" s="21">
        <f>3/3.28</f>
        <v>0.91463414634146345</v>
      </c>
      <c r="F57" s="4"/>
      <c r="G57" s="4">
        <v>1</v>
      </c>
      <c r="H57" s="4">
        <v>1</v>
      </c>
      <c r="I57" s="21">
        <f>+H57*G57*E57*C57</f>
        <v>0.91463414634146345</v>
      </c>
      <c r="J57" s="6">
        <v>1</v>
      </c>
      <c r="K57" s="4" t="s">
        <v>14</v>
      </c>
    </row>
    <row r="58" spans="1:11">
      <c r="A58" s="4"/>
      <c r="B58" s="7" t="s">
        <v>111</v>
      </c>
      <c r="C58" s="4">
        <v>1</v>
      </c>
      <c r="D58" s="4"/>
      <c r="E58" s="21">
        <f>5.5/3.28</f>
        <v>1.6768292682926831</v>
      </c>
      <c r="F58" s="4"/>
      <c r="G58" s="4">
        <v>1</v>
      </c>
      <c r="H58" s="4">
        <v>1</v>
      </c>
      <c r="I58" s="21">
        <f>+H58*G58*E58*C58</f>
        <v>1.6768292682926831</v>
      </c>
      <c r="J58" s="6">
        <v>1</v>
      </c>
      <c r="K58" s="4" t="s">
        <v>14</v>
      </c>
    </row>
    <row r="59" spans="1:11">
      <c r="A59" s="4"/>
      <c r="B59" s="7"/>
      <c r="C59" s="4"/>
      <c r="D59" s="4"/>
      <c r="E59" s="21"/>
      <c r="F59" s="4"/>
      <c r="G59" s="4"/>
      <c r="H59" s="4"/>
      <c r="I59" s="22">
        <f>SUM(I55:I58)</f>
        <v>4.3932926829268295</v>
      </c>
      <c r="J59" s="23">
        <v>1</v>
      </c>
      <c r="K59" s="24" t="s">
        <v>14</v>
      </c>
    </row>
    <row r="60" spans="1:11">
      <c r="A60" s="4">
        <v>5.6</v>
      </c>
      <c r="B60" s="7" t="s">
        <v>63</v>
      </c>
      <c r="C60" s="4">
        <v>1</v>
      </c>
      <c r="D60" s="4"/>
      <c r="E60" s="33">
        <v>4.37</v>
      </c>
      <c r="F60" s="15"/>
      <c r="G60" s="15">
        <v>1.69</v>
      </c>
      <c r="H60" s="4">
        <v>1</v>
      </c>
      <c r="I60" s="21">
        <f>+H60*G60*E60*C60</f>
        <v>7.3853</v>
      </c>
      <c r="J60" s="6">
        <v>1</v>
      </c>
      <c r="K60" s="4" t="s">
        <v>91</v>
      </c>
    </row>
    <row r="61" spans="1:11">
      <c r="A61" s="4"/>
      <c r="B61" s="7" t="s">
        <v>112</v>
      </c>
      <c r="C61" s="4">
        <v>-1</v>
      </c>
      <c r="D61" s="4"/>
      <c r="E61" s="33">
        <v>0.6</v>
      </c>
      <c r="F61" s="4"/>
      <c r="G61" s="4">
        <v>0.91</v>
      </c>
      <c r="H61" s="4">
        <v>1</v>
      </c>
      <c r="I61" s="21">
        <f>+H61*G61*E61*C61</f>
        <v>-0.54600000000000004</v>
      </c>
      <c r="J61" s="6">
        <v>1</v>
      </c>
      <c r="K61" s="4" t="s">
        <v>91</v>
      </c>
    </row>
    <row r="62" spans="1:11">
      <c r="A62" s="4"/>
      <c r="B62" s="7"/>
      <c r="C62" s="4"/>
      <c r="D62" s="4"/>
      <c r="E62" s="21"/>
      <c r="F62" s="4"/>
      <c r="G62" s="4"/>
      <c r="H62" s="4"/>
      <c r="I62" s="22">
        <f>SUM(I60:I61)</f>
        <v>6.8392999999999997</v>
      </c>
      <c r="J62" s="23">
        <v>1</v>
      </c>
      <c r="K62" s="24" t="s">
        <v>91</v>
      </c>
    </row>
    <row r="63" spans="1:11">
      <c r="A63" s="4">
        <v>5.7</v>
      </c>
      <c r="B63" s="7" t="s">
        <v>113</v>
      </c>
      <c r="C63" s="4">
        <v>1</v>
      </c>
      <c r="D63" s="4"/>
      <c r="E63" s="33">
        <v>5.69</v>
      </c>
      <c r="F63" s="4"/>
      <c r="G63" s="4">
        <v>1</v>
      </c>
      <c r="H63" s="4">
        <v>1</v>
      </c>
      <c r="I63" s="22">
        <f>+H63*G63*E63*C63</f>
        <v>5.69</v>
      </c>
      <c r="J63" s="23">
        <v>1</v>
      </c>
      <c r="K63" s="24" t="s">
        <v>91</v>
      </c>
    </row>
    <row r="64" spans="1:11">
      <c r="A64" s="4"/>
      <c r="B64" s="7"/>
      <c r="C64" s="4"/>
      <c r="D64" s="4"/>
      <c r="E64" s="21"/>
      <c r="F64" s="4"/>
      <c r="G64" s="4"/>
      <c r="H64" s="4"/>
      <c r="I64" s="21" t="s">
        <v>36</v>
      </c>
      <c r="J64" s="4"/>
      <c r="K64" s="4"/>
    </row>
    <row r="65" spans="1:11">
      <c r="A65" s="4">
        <v>6</v>
      </c>
      <c r="B65" s="20" t="s">
        <v>114</v>
      </c>
      <c r="C65" s="4"/>
      <c r="D65" s="4"/>
      <c r="E65" s="21"/>
      <c r="F65" s="4"/>
      <c r="G65" s="4"/>
      <c r="H65" s="4"/>
      <c r="I65" s="21" t="s">
        <v>36</v>
      </c>
      <c r="J65" s="4"/>
      <c r="K65" s="4"/>
    </row>
    <row r="66" spans="1:11">
      <c r="A66" s="4">
        <v>6.1</v>
      </c>
      <c r="B66" s="7" t="s">
        <v>115</v>
      </c>
      <c r="C66" s="4">
        <v>1</v>
      </c>
      <c r="D66" s="4"/>
      <c r="E66" s="33">
        <v>1.35</v>
      </c>
      <c r="F66" s="15"/>
      <c r="G66" s="15">
        <v>0.52</v>
      </c>
      <c r="H66" s="4">
        <v>1</v>
      </c>
      <c r="I66" s="22">
        <f>+H66*G66*E66*C66</f>
        <v>0.70200000000000007</v>
      </c>
      <c r="J66" s="23">
        <v>1</v>
      </c>
      <c r="K66" s="24" t="s">
        <v>91</v>
      </c>
    </row>
    <row r="67" spans="1:11">
      <c r="A67" s="4">
        <v>7</v>
      </c>
      <c r="B67" s="20" t="s">
        <v>116</v>
      </c>
      <c r="C67" s="4"/>
      <c r="D67" s="4"/>
      <c r="E67" s="21"/>
      <c r="F67" s="4"/>
      <c r="G67" s="4"/>
      <c r="H67" s="4"/>
      <c r="I67" s="21" t="s">
        <v>36</v>
      </c>
      <c r="J67" s="4"/>
      <c r="K67" s="4"/>
    </row>
    <row r="68" spans="1:11">
      <c r="A68" s="4">
        <v>7.1</v>
      </c>
      <c r="B68" s="7" t="s">
        <v>374</v>
      </c>
      <c r="C68" s="4">
        <v>1</v>
      </c>
      <c r="D68" s="4"/>
      <c r="E68" s="33">
        <v>0.6</v>
      </c>
      <c r="F68" s="4"/>
      <c r="G68" s="4">
        <v>1</v>
      </c>
      <c r="H68" s="4">
        <v>1</v>
      </c>
      <c r="I68" s="22">
        <f t="shared" ref="I68:I75" si="1">+H68*G68*E68*C68</f>
        <v>0.6</v>
      </c>
      <c r="J68" s="23">
        <v>1</v>
      </c>
      <c r="K68" s="24" t="s">
        <v>14</v>
      </c>
    </row>
    <row r="69" spans="1:11" ht="28.8">
      <c r="A69" s="4">
        <v>7.2</v>
      </c>
      <c r="B69" s="7" t="s">
        <v>117</v>
      </c>
      <c r="C69" s="4">
        <v>1</v>
      </c>
      <c r="D69" s="4"/>
      <c r="E69" s="21">
        <f>3.66/3.28</f>
        <v>1.1158536585365855</v>
      </c>
      <c r="F69" s="4"/>
      <c r="G69" s="4">
        <v>1</v>
      </c>
      <c r="H69" s="4">
        <v>1</v>
      </c>
      <c r="I69" s="22">
        <f t="shared" si="1"/>
        <v>1.1158536585365855</v>
      </c>
      <c r="J69" s="23">
        <v>1</v>
      </c>
      <c r="K69" s="24" t="s">
        <v>14</v>
      </c>
    </row>
    <row r="70" spans="1:11">
      <c r="A70" s="4">
        <v>7.3</v>
      </c>
      <c r="B70" s="7" t="s">
        <v>118</v>
      </c>
      <c r="C70" s="4">
        <v>1</v>
      </c>
      <c r="D70" s="4"/>
      <c r="E70" s="21">
        <f>3.66/3.28</f>
        <v>1.1158536585365855</v>
      </c>
      <c r="F70" s="4"/>
      <c r="G70" s="4">
        <v>1</v>
      </c>
      <c r="H70" s="4">
        <v>1</v>
      </c>
      <c r="I70" s="22">
        <f t="shared" si="1"/>
        <v>1.1158536585365855</v>
      </c>
      <c r="J70" s="23">
        <v>1</v>
      </c>
      <c r="K70" s="24" t="s">
        <v>14</v>
      </c>
    </row>
    <row r="71" spans="1:11" ht="28.8">
      <c r="A71" s="4">
        <v>7.4</v>
      </c>
      <c r="B71" s="7" t="s">
        <v>119</v>
      </c>
      <c r="C71" s="4">
        <v>1</v>
      </c>
      <c r="D71" s="4"/>
      <c r="E71" s="21">
        <f>3.66/3.28</f>
        <v>1.1158536585365855</v>
      </c>
      <c r="F71" s="4"/>
      <c r="G71" s="4">
        <v>1</v>
      </c>
      <c r="H71" s="4">
        <v>1</v>
      </c>
      <c r="I71" s="22">
        <f t="shared" si="1"/>
        <v>1.1158536585365855</v>
      </c>
      <c r="J71" s="23">
        <v>1</v>
      </c>
      <c r="K71" s="24" t="s">
        <v>14</v>
      </c>
    </row>
    <row r="72" spans="1:11" ht="28.8">
      <c r="A72" s="4">
        <v>7.5</v>
      </c>
      <c r="B72" s="7" t="s">
        <v>120</v>
      </c>
      <c r="C72" s="4">
        <v>1</v>
      </c>
      <c r="D72" s="4"/>
      <c r="E72" s="33">
        <v>6.96</v>
      </c>
      <c r="F72" s="4"/>
      <c r="G72" s="4">
        <v>1</v>
      </c>
      <c r="H72" s="4">
        <v>1</v>
      </c>
      <c r="I72" s="22">
        <f t="shared" si="1"/>
        <v>6.96</v>
      </c>
      <c r="J72" s="23">
        <v>1</v>
      </c>
      <c r="K72" s="24" t="s">
        <v>14</v>
      </c>
    </row>
    <row r="73" spans="1:11" ht="28.8">
      <c r="A73" s="4">
        <v>7.6</v>
      </c>
      <c r="B73" s="7" t="s">
        <v>121</v>
      </c>
      <c r="C73" s="4">
        <v>2</v>
      </c>
      <c r="D73" s="4"/>
      <c r="E73" s="33">
        <v>6.96</v>
      </c>
      <c r="F73" s="4"/>
      <c r="G73" s="4">
        <v>1</v>
      </c>
      <c r="H73" s="4">
        <v>1</v>
      </c>
      <c r="I73" s="22">
        <f t="shared" si="1"/>
        <v>13.92</v>
      </c>
      <c r="J73" s="23">
        <v>1</v>
      </c>
      <c r="K73" s="24" t="s">
        <v>14</v>
      </c>
    </row>
    <row r="74" spans="1:11" ht="28.8">
      <c r="A74" s="4">
        <v>7.7</v>
      </c>
      <c r="B74" s="7" t="s">
        <v>122</v>
      </c>
      <c r="C74" s="4">
        <v>2</v>
      </c>
      <c r="D74" s="4"/>
      <c r="E74" s="33">
        <v>6.96</v>
      </c>
      <c r="F74" s="4"/>
      <c r="G74" s="4">
        <v>1</v>
      </c>
      <c r="H74" s="4">
        <v>1</v>
      </c>
      <c r="I74" s="22">
        <f t="shared" si="1"/>
        <v>13.92</v>
      </c>
      <c r="J74" s="23">
        <v>1</v>
      </c>
      <c r="K74" s="24" t="s">
        <v>14</v>
      </c>
    </row>
    <row r="75" spans="1:11">
      <c r="A75" s="4">
        <v>7.8</v>
      </c>
      <c r="B75" s="7" t="s">
        <v>123</v>
      </c>
      <c r="C75" s="4">
        <v>1</v>
      </c>
      <c r="D75" s="4"/>
      <c r="E75" s="33">
        <v>6.96</v>
      </c>
      <c r="F75" s="4"/>
      <c r="G75" s="4">
        <v>1</v>
      </c>
      <c r="H75" s="4">
        <v>1</v>
      </c>
      <c r="I75" s="22">
        <f t="shared" si="1"/>
        <v>6.96</v>
      </c>
      <c r="J75" s="23">
        <v>1</v>
      </c>
      <c r="K75" s="24" t="s">
        <v>14</v>
      </c>
    </row>
    <row r="76" spans="1:11">
      <c r="A76" s="4"/>
      <c r="B76" s="7"/>
      <c r="C76" s="4"/>
      <c r="D76" s="4"/>
      <c r="E76" s="21"/>
      <c r="F76" s="4"/>
      <c r="G76" s="4"/>
      <c r="H76" s="4"/>
      <c r="I76" s="21" t="s">
        <v>36</v>
      </c>
      <c r="J76" s="6" t="s">
        <v>36</v>
      </c>
      <c r="K76" s="4"/>
    </row>
    <row r="77" spans="1:11">
      <c r="A77" s="4">
        <v>8</v>
      </c>
      <c r="B77" s="20" t="s">
        <v>124</v>
      </c>
      <c r="C77" s="4"/>
      <c r="D77" s="4"/>
      <c r="E77" s="21"/>
      <c r="F77" s="4"/>
      <c r="G77" s="4"/>
      <c r="H77" s="4"/>
      <c r="I77" s="21" t="s">
        <v>36</v>
      </c>
      <c r="J77" s="6" t="s">
        <v>36</v>
      </c>
      <c r="K77" s="4"/>
    </row>
    <row r="78" spans="1:11">
      <c r="A78" s="4">
        <v>8.1</v>
      </c>
      <c r="B78" s="7" t="s">
        <v>125</v>
      </c>
      <c r="C78" s="4">
        <v>2</v>
      </c>
      <c r="D78" s="4"/>
      <c r="E78" s="21">
        <f>5.08/3.28</f>
        <v>1.5487804878048781</v>
      </c>
      <c r="F78" s="4"/>
      <c r="G78" s="4">
        <v>1</v>
      </c>
      <c r="H78" s="4">
        <v>1</v>
      </c>
      <c r="I78" s="21">
        <f t="shared" ref="I78:I89" si="2">+H78*G78*E78*C78</f>
        <v>3.0975609756097562</v>
      </c>
      <c r="J78" s="6">
        <v>1</v>
      </c>
      <c r="K78" s="4" t="s">
        <v>14</v>
      </c>
    </row>
    <row r="79" spans="1:11">
      <c r="A79" s="4"/>
      <c r="B79" s="7" t="s">
        <v>125</v>
      </c>
      <c r="C79" s="4">
        <v>2</v>
      </c>
      <c r="D79" s="4"/>
      <c r="E79" s="21">
        <f>5.41/3.28</f>
        <v>1.6493902439024393</v>
      </c>
      <c r="F79" s="4"/>
      <c r="G79" s="4">
        <v>1</v>
      </c>
      <c r="H79" s="4">
        <v>1</v>
      </c>
      <c r="I79" s="21">
        <f t="shared" si="2"/>
        <v>3.2987804878048785</v>
      </c>
      <c r="J79" s="6">
        <v>1</v>
      </c>
      <c r="K79" s="4" t="s">
        <v>14</v>
      </c>
    </row>
    <row r="80" spans="1:11">
      <c r="A80" s="4"/>
      <c r="B80" s="7" t="s">
        <v>125</v>
      </c>
      <c r="C80" s="4">
        <v>2</v>
      </c>
      <c r="D80" s="4"/>
      <c r="E80" s="21">
        <f>4/3.28</f>
        <v>1.2195121951219512</v>
      </c>
      <c r="F80" s="4"/>
      <c r="G80" s="4">
        <v>1</v>
      </c>
      <c r="H80" s="4">
        <v>1</v>
      </c>
      <c r="I80" s="21">
        <f t="shared" si="2"/>
        <v>2.4390243902439024</v>
      </c>
      <c r="J80" s="6">
        <v>1</v>
      </c>
      <c r="K80" s="4" t="s">
        <v>14</v>
      </c>
    </row>
    <row r="81" spans="1:11">
      <c r="A81" s="4"/>
      <c r="B81" s="7" t="s">
        <v>125</v>
      </c>
      <c r="C81" s="4">
        <v>6</v>
      </c>
      <c r="D81" s="4"/>
      <c r="E81" s="21">
        <f>3.5/3.28</f>
        <v>1.0670731707317074</v>
      </c>
      <c r="F81" s="4"/>
      <c r="G81" s="4">
        <v>1</v>
      </c>
      <c r="H81" s="4">
        <v>1</v>
      </c>
      <c r="I81" s="21">
        <f t="shared" si="2"/>
        <v>6.4024390243902438</v>
      </c>
      <c r="J81" s="6">
        <v>1</v>
      </c>
      <c r="K81" s="4" t="s">
        <v>14</v>
      </c>
    </row>
    <row r="82" spans="1:11">
      <c r="A82" s="4"/>
      <c r="B82" s="7" t="s">
        <v>125</v>
      </c>
      <c r="C82" s="4">
        <v>2</v>
      </c>
      <c r="D82" s="4"/>
      <c r="E82" s="21">
        <f>4.16/3.28</f>
        <v>1.2682926829268293</v>
      </c>
      <c r="F82" s="4"/>
      <c r="G82" s="4">
        <v>1</v>
      </c>
      <c r="H82" s="4">
        <v>1</v>
      </c>
      <c r="I82" s="21">
        <f t="shared" si="2"/>
        <v>2.5365853658536586</v>
      </c>
      <c r="J82" s="6">
        <v>1</v>
      </c>
      <c r="K82" s="4" t="s">
        <v>14</v>
      </c>
    </row>
    <row r="83" spans="1:11">
      <c r="A83" s="4"/>
      <c r="B83" s="7" t="s">
        <v>125</v>
      </c>
      <c r="C83" s="4">
        <v>2</v>
      </c>
      <c r="D83" s="4"/>
      <c r="E83" s="21">
        <f>5.16/3.28</f>
        <v>1.5731707317073171</v>
      </c>
      <c r="F83" s="4"/>
      <c r="G83" s="4">
        <v>1</v>
      </c>
      <c r="H83" s="4">
        <v>1</v>
      </c>
      <c r="I83" s="21">
        <f t="shared" si="2"/>
        <v>3.1463414634146343</v>
      </c>
      <c r="J83" s="6">
        <v>1</v>
      </c>
      <c r="K83" s="4" t="s">
        <v>14</v>
      </c>
    </row>
    <row r="84" spans="1:11">
      <c r="A84" s="4"/>
      <c r="B84" s="7" t="s">
        <v>125</v>
      </c>
      <c r="C84" s="4">
        <v>2</v>
      </c>
      <c r="D84" s="4"/>
      <c r="E84" s="21">
        <f>3.91/3.28</f>
        <v>1.1920731707317074</v>
      </c>
      <c r="F84" s="4"/>
      <c r="G84" s="4">
        <v>1</v>
      </c>
      <c r="H84" s="4">
        <v>1</v>
      </c>
      <c r="I84" s="21">
        <f t="shared" si="2"/>
        <v>2.3841463414634148</v>
      </c>
      <c r="J84" s="6">
        <v>1</v>
      </c>
      <c r="K84" s="4" t="s">
        <v>14</v>
      </c>
    </row>
    <row r="85" spans="1:11">
      <c r="A85" s="4"/>
      <c r="B85" s="7" t="s">
        <v>125</v>
      </c>
      <c r="C85" s="4">
        <v>2</v>
      </c>
      <c r="D85" s="4"/>
      <c r="E85" s="21">
        <f>3.5/3.28</f>
        <v>1.0670731707317074</v>
      </c>
      <c r="F85" s="4"/>
      <c r="G85" s="4">
        <v>1</v>
      </c>
      <c r="H85" s="4">
        <v>1</v>
      </c>
      <c r="I85" s="21">
        <f t="shared" si="2"/>
        <v>2.1341463414634148</v>
      </c>
      <c r="J85" s="6">
        <v>1</v>
      </c>
      <c r="K85" s="4" t="s">
        <v>14</v>
      </c>
    </row>
    <row r="86" spans="1:11">
      <c r="A86" s="4"/>
      <c r="B86" s="7" t="s">
        <v>125</v>
      </c>
      <c r="C86" s="4">
        <v>2</v>
      </c>
      <c r="D86" s="4"/>
      <c r="E86" s="21">
        <f>4.75/3.28</f>
        <v>1.4481707317073171</v>
      </c>
      <c r="F86" s="4"/>
      <c r="G86" s="4">
        <v>1</v>
      </c>
      <c r="H86" s="4">
        <v>1</v>
      </c>
      <c r="I86" s="21">
        <f t="shared" si="2"/>
        <v>2.8963414634146343</v>
      </c>
      <c r="J86" s="6">
        <v>1</v>
      </c>
      <c r="K86" s="4" t="s">
        <v>14</v>
      </c>
    </row>
    <row r="87" spans="1:11">
      <c r="A87" s="4"/>
      <c r="B87" s="7" t="s">
        <v>125</v>
      </c>
      <c r="C87" s="4">
        <v>2</v>
      </c>
      <c r="D87" s="4"/>
      <c r="E87" s="33">
        <v>1.63</v>
      </c>
      <c r="F87" s="4"/>
      <c r="G87" s="4">
        <v>1</v>
      </c>
      <c r="H87" s="4">
        <v>1</v>
      </c>
      <c r="I87" s="21">
        <f t="shared" si="2"/>
        <v>3.26</v>
      </c>
      <c r="J87" s="6">
        <v>1</v>
      </c>
      <c r="K87" s="4" t="s">
        <v>14</v>
      </c>
    </row>
    <row r="88" spans="1:11">
      <c r="A88" s="4"/>
      <c r="B88" s="7" t="s">
        <v>125</v>
      </c>
      <c r="C88" s="4">
        <v>2</v>
      </c>
      <c r="D88" s="4"/>
      <c r="E88" s="21">
        <f>4.33/3.28</f>
        <v>1.3201219512195124</v>
      </c>
      <c r="F88" s="4"/>
      <c r="G88" s="4">
        <v>1</v>
      </c>
      <c r="H88" s="4">
        <v>1</v>
      </c>
      <c r="I88" s="21">
        <f t="shared" si="2"/>
        <v>2.6402439024390247</v>
      </c>
      <c r="J88" s="6">
        <v>1</v>
      </c>
      <c r="K88" s="4" t="s">
        <v>14</v>
      </c>
    </row>
    <row r="89" spans="1:11">
      <c r="A89" s="4"/>
      <c r="B89" s="7" t="s">
        <v>125</v>
      </c>
      <c r="C89" s="4">
        <v>6</v>
      </c>
      <c r="D89" s="4"/>
      <c r="E89" s="21">
        <f>4.16/3.28</f>
        <v>1.2682926829268293</v>
      </c>
      <c r="F89" s="4"/>
      <c r="G89" s="4">
        <v>1</v>
      </c>
      <c r="H89" s="4">
        <v>1</v>
      </c>
      <c r="I89" s="21">
        <f t="shared" si="2"/>
        <v>7.6097560975609753</v>
      </c>
      <c r="J89" s="6">
        <v>1</v>
      </c>
      <c r="K89" s="4" t="s">
        <v>14</v>
      </c>
    </row>
    <row r="90" spans="1:11">
      <c r="A90" s="4"/>
      <c r="B90" s="7"/>
      <c r="C90" s="4"/>
      <c r="D90" s="4"/>
      <c r="E90" s="21"/>
      <c r="F90" s="4"/>
      <c r="G90" s="4"/>
      <c r="H90" s="4"/>
      <c r="I90" s="25">
        <f>SUM(I78:I89)</f>
        <v>41.845365853658535</v>
      </c>
      <c r="J90" s="26">
        <v>1</v>
      </c>
      <c r="K90" s="27" t="s">
        <v>14</v>
      </c>
    </row>
    <row r="91" spans="1:11">
      <c r="A91" s="4">
        <v>8.1999999999999993</v>
      </c>
      <c r="B91" s="7" t="s">
        <v>278</v>
      </c>
      <c r="C91" s="4">
        <v>2</v>
      </c>
      <c r="D91" s="4"/>
      <c r="E91" s="21">
        <f>5.25/3.28</f>
        <v>1.6006097560975612</v>
      </c>
      <c r="F91" s="4"/>
      <c r="G91" s="4">
        <v>1</v>
      </c>
      <c r="H91" s="4">
        <v>1</v>
      </c>
      <c r="I91" s="21">
        <f t="shared" ref="I91:I103" si="3">+H91*G91*E91*C91</f>
        <v>3.2012195121951224</v>
      </c>
      <c r="J91" s="6">
        <v>1</v>
      </c>
      <c r="K91" s="4" t="s">
        <v>14</v>
      </c>
    </row>
    <row r="92" spans="1:11">
      <c r="A92" s="4"/>
      <c r="B92" s="7" t="s">
        <v>278</v>
      </c>
      <c r="C92" s="4">
        <v>2</v>
      </c>
      <c r="D92" s="4"/>
      <c r="E92" s="21">
        <f>5.23/3.28</f>
        <v>1.5945121951219514</v>
      </c>
      <c r="F92" s="4"/>
      <c r="G92" s="4">
        <v>1</v>
      </c>
      <c r="H92" s="4">
        <v>1</v>
      </c>
      <c r="I92" s="21">
        <f t="shared" si="3"/>
        <v>3.1890243902439028</v>
      </c>
      <c r="J92" s="6">
        <v>1</v>
      </c>
      <c r="K92" s="4" t="s">
        <v>14</v>
      </c>
    </row>
    <row r="93" spans="1:11">
      <c r="A93" s="4"/>
      <c r="B93" s="7" t="s">
        <v>278</v>
      </c>
      <c r="C93" s="4">
        <v>2</v>
      </c>
      <c r="D93" s="4"/>
      <c r="E93" s="33">
        <v>1.27</v>
      </c>
      <c r="F93" s="4"/>
      <c r="G93" s="4">
        <v>1</v>
      </c>
      <c r="H93" s="4">
        <v>1</v>
      </c>
      <c r="I93" s="21">
        <f t="shared" si="3"/>
        <v>2.54</v>
      </c>
      <c r="J93" s="6">
        <v>1</v>
      </c>
      <c r="K93" s="4" t="s">
        <v>14</v>
      </c>
    </row>
    <row r="94" spans="1:11">
      <c r="A94" s="4"/>
      <c r="B94" s="7" t="s">
        <v>278</v>
      </c>
      <c r="C94" s="4">
        <v>4</v>
      </c>
      <c r="D94" s="4"/>
      <c r="E94" s="33">
        <v>1.19</v>
      </c>
      <c r="F94" s="4"/>
      <c r="G94" s="4">
        <v>1</v>
      </c>
      <c r="H94" s="4">
        <v>1</v>
      </c>
      <c r="I94" s="21">
        <f t="shared" si="3"/>
        <v>4.76</v>
      </c>
      <c r="J94" s="6">
        <v>1</v>
      </c>
      <c r="K94" s="4" t="s">
        <v>14</v>
      </c>
    </row>
    <row r="95" spans="1:11">
      <c r="A95" s="4"/>
      <c r="B95" s="7" t="s">
        <v>278</v>
      </c>
      <c r="C95" s="4">
        <v>2</v>
      </c>
      <c r="D95" s="4"/>
      <c r="E95" s="21">
        <f>3.66/3.28</f>
        <v>1.1158536585365855</v>
      </c>
      <c r="F95" s="4"/>
      <c r="G95" s="4">
        <v>1</v>
      </c>
      <c r="H95" s="4">
        <v>1</v>
      </c>
      <c r="I95" s="21">
        <f t="shared" si="3"/>
        <v>2.2317073170731709</v>
      </c>
      <c r="J95" s="6">
        <v>1</v>
      </c>
      <c r="K95" s="4" t="s">
        <v>14</v>
      </c>
    </row>
    <row r="96" spans="1:11">
      <c r="A96" s="4"/>
      <c r="B96" s="7" t="s">
        <v>278</v>
      </c>
      <c r="C96" s="4">
        <v>2</v>
      </c>
      <c r="D96" s="4"/>
      <c r="E96" s="33">
        <v>1.37</v>
      </c>
      <c r="F96" s="4"/>
      <c r="G96" s="4">
        <v>1</v>
      </c>
      <c r="H96" s="4">
        <v>1</v>
      </c>
      <c r="I96" s="21">
        <f t="shared" si="3"/>
        <v>2.74</v>
      </c>
      <c r="J96" s="6">
        <v>1</v>
      </c>
      <c r="K96" s="4" t="s">
        <v>14</v>
      </c>
    </row>
    <row r="97" spans="1:11">
      <c r="A97" s="4"/>
      <c r="B97" s="7" t="s">
        <v>278</v>
      </c>
      <c r="C97" s="4">
        <v>2</v>
      </c>
      <c r="D97" s="4"/>
      <c r="E97" s="21">
        <f>4.83/3.28</f>
        <v>1.4725609756097562</v>
      </c>
      <c r="F97" s="4"/>
      <c r="G97" s="4">
        <v>1</v>
      </c>
      <c r="H97" s="4">
        <v>1</v>
      </c>
      <c r="I97" s="21">
        <f t="shared" si="3"/>
        <v>2.9451219512195124</v>
      </c>
      <c r="J97" s="6">
        <v>1</v>
      </c>
      <c r="K97" s="4" t="s">
        <v>14</v>
      </c>
    </row>
    <row r="98" spans="1:11">
      <c r="A98" s="4"/>
      <c r="B98" s="7" t="s">
        <v>278</v>
      </c>
      <c r="C98" s="4">
        <v>2</v>
      </c>
      <c r="D98" s="4"/>
      <c r="E98" s="21">
        <f>3.91/3.28</f>
        <v>1.1920731707317074</v>
      </c>
      <c r="F98" s="4"/>
      <c r="G98" s="4">
        <v>1</v>
      </c>
      <c r="H98" s="4">
        <v>1</v>
      </c>
      <c r="I98" s="21">
        <f t="shared" si="3"/>
        <v>2.3841463414634148</v>
      </c>
      <c r="J98" s="6">
        <v>1</v>
      </c>
      <c r="K98" s="4" t="s">
        <v>14</v>
      </c>
    </row>
    <row r="99" spans="1:11">
      <c r="A99" s="4"/>
      <c r="B99" s="7" t="s">
        <v>278</v>
      </c>
      <c r="C99" s="4">
        <v>2</v>
      </c>
      <c r="D99" s="4"/>
      <c r="E99" s="21">
        <f>3.91/3.28</f>
        <v>1.1920731707317074</v>
      </c>
      <c r="F99" s="4"/>
      <c r="G99" s="4">
        <v>1</v>
      </c>
      <c r="H99" s="4">
        <v>1</v>
      </c>
      <c r="I99" s="21">
        <f t="shared" si="3"/>
        <v>2.3841463414634148</v>
      </c>
      <c r="J99" s="6">
        <v>1</v>
      </c>
      <c r="K99" s="4" t="s">
        <v>14</v>
      </c>
    </row>
    <row r="100" spans="1:11">
      <c r="A100" s="4"/>
      <c r="B100" s="7" t="s">
        <v>278</v>
      </c>
      <c r="C100" s="4">
        <v>2</v>
      </c>
      <c r="D100" s="4"/>
      <c r="E100" s="33">
        <v>1.56</v>
      </c>
      <c r="F100" s="4"/>
      <c r="G100" s="4">
        <v>1</v>
      </c>
      <c r="H100" s="4">
        <v>1</v>
      </c>
      <c r="I100" s="21">
        <f t="shared" si="3"/>
        <v>3.12</v>
      </c>
      <c r="J100" s="6">
        <v>1</v>
      </c>
      <c r="K100" s="4" t="s">
        <v>14</v>
      </c>
    </row>
    <row r="101" spans="1:11">
      <c r="A101" s="4"/>
      <c r="B101" s="7" t="s">
        <v>278</v>
      </c>
      <c r="C101" s="4">
        <v>2</v>
      </c>
      <c r="D101" s="4"/>
      <c r="E101" s="33">
        <v>1.45</v>
      </c>
      <c r="F101" s="4"/>
      <c r="G101" s="4">
        <v>1</v>
      </c>
      <c r="H101" s="4">
        <v>1</v>
      </c>
      <c r="I101" s="21">
        <f t="shared" si="3"/>
        <v>2.9</v>
      </c>
      <c r="J101" s="6">
        <v>1</v>
      </c>
      <c r="K101" s="4" t="s">
        <v>14</v>
      </c>
    </row>
    <row r="102" spans="1:11">
      <c r="A102" s="4"/>
      <c r="B102" s="7" t="s">
        <v>278</v>
      </c>
      <c r="C102" s="4">
        <v>2</v>
      </c>
      <c r="D102" s="4"/>
      <c r="E102" s="21">
        <f>4.25/3.28</f>
        <v>1.2957317073170733</v>
      </c>
      <c r="F102" s="4"/>
      <c r="G102" s="4">
        <v>1</v>
      </c>
      <c r="H102" s="4">
        <v>1</v>
      </c>
      <c r="I102" s="21">
        <f t="shared" si="3"/>
        <v>2.5914634146341466</v>
      </c>
      <c r="J102" s="6">
        <v>1</v>
      </c>
      <c r="K102" s="4" t="s">
        <v>14</v>
      </c>
    </row>
    <row r="103" spans="1:11">
      <c r="A103" s="4"/>
      <c r="B103" s="7" t="s">
        <v>278</v>
      </c>
      <c r="C103" s="4">
        <v>6</v>
      </c>
      <c r="D103" s="4"/>
      <c r="E103" s="21">
        <f>4/3.28</f>
        <v>1.2195121951219512</v>
      </c>
      <c r="F103" s="4"/>
      <c r="G103" s="4">
        <v>1</v>
      </c>
      <c r="H103" s="4">
        <v>1</v>
      </c>
      <c r="I103" s="21">
        <f t="shared" si="3"/>
        <v>7.3170731707317067</v>
      </c>
      <c r="J103" s="6">
        <v>1</v>
      </c>
      <c r="K103" s="4" t="s">
        <v>14</v>
      </c>
    </row>
    <row r="104" spans="1:11">
      <c r="A104" s="4"/>
      <c r="B104" s="7"/>
      <c r="C104" s="4"/>
      <c r="D104" s="4"/>
      <c r="E104" s="21"/>
      <c r="F104" s="4"/>
      <c r="G104" s="4"/>
      <c r="H104" s="4"/>
      <c r="I104" s="22">
        <f>SUM(I91:I103)</f>
        <v>42.303902439024398</v>
      </c>
      <c r="J104" s="23">
        <v>1</v>
      </c>
      <c r="K104" s="24" t="s">
        <v>14</v>
      </c>
    </row>
    <row r="105" spans="1:11">
      <c r="A105" s="4"/>
      <c r="B105" s="7"/>
      <c r="C105" s="4"/>
      <c r="D105" s="4"/>
      <c r="E105" s="21"/>
      <c r="F105" s="4"/>
      <c r="G105" s="4"/>
      <c r="H105" s="4"/>
      <c r="I105" s="28"/>
      <c r="J105" s="10"/>
      <c r="K105" s="4"/>
    </row>
    <row r="106" spans="1:11">
      <c r="A106" s="4"/>
      <c r="B106" s="7"/>
      <c r="C106" s="4"/>
      <c r="D106" s="4"/>
      <c r="E106" s="21"/>
      <c r="F106" s="4"/>
      <c r="G106" s="4"/>
      <c r="H106" s="4"/>
      <c r="I106" s="28"/>
      <c r="J106" s="10"/>
      <c r="K106" s="5"/>
    </row>
    <row r="107" spans="1:11">
      <c r="A107" s="4">
        <v>8.5</v>
      </c>
      <c r="B107" s="7" t="s">
        <v>126</v>
      </c>
      <c r="C107" s="4">
        <v>2</v>
      </c>
      <c r="D107" s="4"/>
      <c r="E107" s="21">
        <f>32/3.28</f>
        <v>9.7560975609756095</v>
      </c>
      <c r="F107" s="4"/>
      <c r="G107" s="4">
        <v>1</v>
      </c>
      <c r="H107" s="4">
        <v>1</v>
      </c>
      <c r="I107" s="21">
        <f>+H107*G107*E107*C107</f>
        <v>19.512195121951219</v>
      </c>
      <c r="J107" s="6">
        <v>1</v>
      </c>
      <c r="K107" s="4" t="s">
        <v>14</v>
      </c>
    </row>
    <row r="108" spans="1:11">
      <c r="A108" s="4"/>
      <c r="B108" s="7" t="s">
        <v>126</v>
      </c>
      <c r="C108" s="4">
        <v>2</v>
      </c>
      <c r="D108" s="4"/>
      <c r="E108" s="21">
        <f>14/3.28</f>
        <v>4.2682926829268295</v>
      </c>
      <c r="F108" s="4"/>
      <c r="G108" s="4">
        <v>1</v>
      </c>
      <c r="H108" s="4">
        <v>1</v>
      </c>
      <c r="I108" s="21">
        <f>+H108*G108*E108*C108</f>
        <v>8.536585365853659</v>
      </c>
      <c r="J108" s="6">
        <v>1</v>
      </c>
      <c r="K108" s="4" t="s">
        <v>14</v>
      </c>
    </row>
    <row r="109" spans="1:11">
      <c r="A109" s="4"/>
      <c r="B109" s="7"/>
      <c r="C109" s="4"/>
      <c r="D109" s="4"/>
      <c r="E109" s="21"/>
      <c r="F109" s="4"/>
      <c r="G109" s="4"/>
      <c r="H109" s="4"/>
      <c r="I109" s="22">
        <f>SUM(I107:I108)</f>
        <v>28.048780487804876</v>
      </c>
      <c r="J109" s="23">
        <v>1</v>
      </c>
      <c r="K109" s="24" t="s">
        <v>14</v>
      </c>
    </row>
    <row r="110" spans="1:11" ht="28.8">
      <c r="A110" s="4">
        <v>8.6</v>
      </c>
      <c r="B110" s="7" t="s">
        <v>127</v>
      </c>
      <c r="C110" s="4">
        <v>2</v>
      </c>
      <c r="D110" s="4"/>
      <c r="E110" s="33">
        <v>5.45</v>
      </c>
      <c r="F110" s="4"/>
      <c r="G110" s="4">
        <v>1</v>
      </c>
      <c r="H110" s="4">
        <v>1</v>
      </c>
      <c r="I110" s="22">
        <f>+H110*G110*E110*C110</f>
        <v>10.9</v>
      </c>
      <c r="J110" s="23">
        <v>1</v>
      </c>
      <c r="K110" s="24" t="s">
        <v>14</v>
      </c>
    </row>
    <row r="111" spans="1:11">
      <c r="A111" s="4">
        <v>9</v>
      </c>
      <c r="B111" s="20" t="s">
        <v>41</v>
      </c>
      <c r="C111" s="4"/>
      <c r="D111" s="4"/>
      <c r="E111" s="21"/>
      <c r="F111" s="4"/>
      <c r="G111" s="4"/>
      <c r="H111" s="4"/>
      <c r="I111" s="21" t="s">
        <v>36</v>
      </c>
      <c r="J111" s="6" t="s">
        <v>36</v>
      </c>
      <c r="K111" s="4"/>
    </row>
    <row r="112" spans="1:11">
      <c r="A112" s="4">
        <v>9.1</v>
      </c>
      <c r="B112" s="7" t="s">
        <v>63</v>
      </c>
      <c r="C112" s="4">
        <v>1</v>
      </c>
      <c r="D112" s="4"/>
      <c r="E112" s="21">
        <f>11.66/3.28</f>
        <v>3.5548780487804881</v>
      </c>
      <c r="F112" s="4"/>
      <c r="G112" s="33">
        <v>3.6</v>
      </c>
      <c r="H112" s="4">
        <v>1</v>
      </c>
      <c r="I112" s="21">
        <f>+H112*G112*E112*C112</f>
        <v>12.797560975609757</v>
      </c>
      <c r="J112" s="6">
        <v>1</v>
      </c>
      <c r="K112" s="4" t="s">
        <v>91</v>
      </c>
    </row>
    <row r="113" spans="1:14">
      <c r="A113" s="4"/>
      <c r="B113" s="7" t="s">
        <v>63</v>
      </c>
      <c r="C113" s="4">
        <v>1</v>
      </c>
      <c r="D113" s="4"/>
      <c r="E113" s="33">
        <v>1.95</v>
      </c>
      <c r="F113" s="15"/>
      <c r="G113" s="33">
        <v>2.1</v>
      </c>
      <c r="H113" s="4">
        <v>1</v>
      </c>
      <c r="I113" s="21">
        <f>+H113*G113*E113*C113</f>
        <v>4.0949999999999998</v>
      </c>
      <c r="J113" s="6">
        <v>1</v>
      </c>
      <c r="K113" s="4" t="s">
        <v>91</v>
      </c>
    </row>
    <row r="114" spans="1:14">
      <c r="A114" s="4"/>
      <c r="B114" s="7"/>
      <c r="C114" s="4"/>
      <c r="D114" s="4"/>
      <c r="E114" s="21"/>
      <c r="F114" s="4"/>
      <c r="G114" s="4"/>
      <c r="H114" s="4"/>
      <c r="I114" s="22">
        <f>SUM(I112:I113)</f>
        <v>16.892560975609758</v>
      </c>
      <c r="J114" s="23">
        <v>1</v>
      </c>
      <c r="K114" s="24" t="s">
        <v>91</v>
      </c>
    </row>
    <row r="115" spans="1:14">
      <c r="A115" s="4">
        <v>9.1999999999999993</v>
      </c>
      <c r="B115" s="7" t="s">
        <v>12</v>
      </c>
      <c r="C115" s="4">
        <v>1</v>
      </c>
      <c r="D115" s="4"/>
      <c r="E115" s="33">
        <v>11</v>
      </c>
      <c r="F115" s="4"/>
      <c r="G115" s="4">
        <v>1</v>
      </c>
      <c r="H115" s="4">
        <v>1</v>
      </c>
      <c r="I115" s="22">
        <f>+H115*G115*E115*C115</f>
        <v>11</v>
      </c>
      <c r="J115" s="23">
        <v>1</v>
      </c>
      <c r="K115" s="24" t="s">
        <v>14</v>
      </c>
    </row>
    <row r="118" spans="1:14" ht="37.799999999999997" customHeight="1">
      <c r="A118" s="211" t="s">
        <v>128</v>
      </c>
      <c r="B118" s="211"/>
      <c r="C118" s="211"/>
      <c r="D118" s="211"/>
      <c r="E118" s="211"/>
      <c r="F118" s="211"/>
      <c r="G118" s="211"/>
      <c r="H118" s="211"/>
      <c r="I118" s="211"/>
    </row>
    <row r="119" spans="1:14" ht="28.8" customHeight="1">
      <c r="A119" s="209" t="s">
        <v>10</v>
      </c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N119" s="9"/>
    </row>
    <row r="120" spans="1:14" ht="28.8" customHeight="1">
      <c r="A120" s="2"/>
      <c r="B120" s="213" t="s">
        <v>29</v>
      </c>
      <c r="C120" s="213"/>
      <c r="D120" s="213"/>
      <c r="E120" s="213"/>
      <c r="F120" s="213"/>
      <c r="G120" s="213"/>
      <c r="H120" s="213"/>
      <c r="I120" s="2"/>
      <c r="J120" s="2"/>
      <c r="K120" s="2"/>
    </row>
    <row r="121" spans="1:14" ht="35.4" customHeight="1">
      <c r="B121"/>
      <c r="F121" s="17"/>
      <c r="G121" s="17"/>
      <c r="K121" s="9"/>
    </row>
    <row r="122" spans="1:14" s="9" customFormat="1">
      <c r="A122" s="5" t="s">
        <v>83</v>
      </c>
      <c r="B122" s="5" t="s">
        <v>1</v>
      </c>
      <c r="C122" s="5" t="s">
        <v>5</v>
      </c>
      <c r="D122" s="5" t="s">
        <v>84</v>
      </c>
      <c r="E122" s="5" t="s">
        <v>85</v>
      </c>
      <c r="F122" s="5" t="s">
        <v>129</v>
      </c>
      <c r="G122" s="19" t="s">
        <v>87</v>
      </c>
      <c r="H122" s="5" t="s">
        <v>88</v>
      </c>
      <c r="I122" s="5" t="s">
        <v>6</v>
      </c>
      <c r="J122" s="5" t="s">
        <v>7</v>
      </c>
      <c r="K122" s="5" t="s">
        <v>89</v>
      </c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4">
      <c r="A124" s="4">
        <v>1</v>
      </c>
      <c r="B124" s="27" t="s">
        <v>66</v>
      </c>
      <c r="C124" s="4"/>
      <c r="D124" s="4"/>
      <c r="E124" s="4"/>
      <c r="F124" s="4"/>
      <c r="G124" s="4"/>
      <c r="H124" s="4"/>
      <c r="I124" s="4"/>
      <c r="J124" s="4"/>
      <c r="K124" s="4"/>
    </row>
    <row r="125" spans="1:14">
      <c r="A125" s="4">
        <v>1.1000000000000001</v>
      </c>
      <c r="B125" s="4" t="s">
        <v>63</v>
      </c>
      <c r="C125" s="4">
        <v>1</v>
      </c>
      <c r="D125" s="4">
        <v>14.58</v>
      </c>
      <c r="E125" s="21">
        <f>+D125/3.28</f>
        <v>4.4451219512195124</v>
      </c>
      <c r="F125" s="21">
        <v>3.91</v>
      </c>
      <c r="G125" s="33">
        <v>1.1599999999999999</v>
      </c>
      <c r="H125" s="4">
        <v>1</v>
      </c>
      <c r="I125" s="21">
        <f>+H125*G125*E125*C125</f>
        <v>5.1563414634146341</v>
      </c>
      <c r="J125" s="6">
        <v>1</v>
      </c>
      <c r="K125" s="4" t="s">
        <v>91</v>
      </c>
    </row>
    <row r="126" spans="1:14">
      <c r="A126" s="4">
        <v>1.2</v>
      </c>
      <c r="B126" s="4" t="s">
        <v>63</v>
      </c>
      <c r="C126" s="4">
        <v>1</v>
      </c>
      <c r="D126" s="4">
        <v>8</v>
      </c>
      <c r="E126" s="21">
        <f t="shared" ref="E126:E200" si="4">+D126/3.28</f>
        <v>2.4390243902439024</v>
      </c>
      <c r="F126" s="21">
        <v>4</v>
      </c>
      <c r="G126" s="33">
        <v>1.1399999999999999</v>
      </c>
      <c r="H126" s="4">
        <v>1</v>
      </c>
      <c r="I126" s="21">
        <f t="shared" ref="I126:I201" si="5">+H126*G126*E126*C126</f>
        <v>2.7804878048780486</v>
      </c>
      <c r="J126" s="6">
        <v>1</v>
      </c>
      <c r="K126" s="4" t="s">
        <v>91</v>
      </c>
    </row>
    <row r="127" spans="1:14">
      <c r="A127" s="4"/>
      <c r="B127" s="4"/>
      <c r="C127" s="4"/>
      <c r="D127" s="4"/>
      <c r="E127" s="21"/>
      <c r="F127" s="21"/>
      <c r="G127" s="21"/>
      <c r="H127" s="4"/>
      <c r="I127" s="22">
        <f>SUM(I125:I126)</f>
        <v>7.9368292682926826</v>
      </c>
      <c r="J127" s="23">
        <v>1</v>
      </c>
      <c r="K127" s="24" t="s">
        <v>91</v>
      </c>
    </row>
    <row r="128" spans="1:14">
      <c r="A128" s="4">
        <v>2</v>
      </c>
      <c r="B128" s="27" t="s">
        <v>130</v>
      </c>
      <c r="C128" s="4"/>
      <c r="D128" s="4"/>
      <c r="E128" s="21" t="s">
        <v>36</v>
      </c>
      <c r="F128" s="21" t="s">
        <v>36</v>
      </c>
      <c r="G128" s="21" t="s">
        <v>36</v>
      </c>
      <c r="H128" s="4"/>
      <c r="I128" s="21" t="s">
        <v>36</v>
      </c>
      <c r="J128" s="6" t="s">
        <v>36</v>
      </c>
      <c r="K128" s="4"/>
    </row>
    <row r="129" spans="1:11">
      <c r="A129" s="4">
        <v>2.1</v>
      </c>
      <c r="B129" s="4" t="s">
        <v>63</v>
      </c>
      <c r="C129" s="4">
        <v>1</v>
      </c>
      <c r="D129" s="4">
        <v>13.58</v>
      </c>
      <c r="E129" s="21">
        <f t="shared" si="4"/>
        <v>4.1402439024390247</v>
      </c>
      <c r="F129" s="21">
        <v>5.5</v>
      </c>
      <c r="G129" s="33">
        <v>1.65</v>
      </c>
      <c r="H129" s="4">
        <v>1</v>
      </c>
      <c r="I129" s="21">
        <f t="shared" si="5"/>
        <v>6.8314024390243908</v>
      </c>
      <c r="J129" s="6">
        <v>1</v>
      </c>
      <c r="K129" s="4" t="s">
        <v>91</v>
      </c>
    </row>
    <row r="130" spans="1:11">
      <c r="A130" s="4">
        <v>2.2000000000000002</v>
      </c>
      <c r="B130" s="4" t="s">
        <v>63</v>
      </c>
      <c r="C130" s="4">
        <v>1</v>
      </c>
      <c r="D130" s="4">
        <v>1.75</v>
      </c>
      <c r="E130" s="21">
        <f t="shared" si="4"/>
        <v>0.53353658536585369</v>
      </c>
      <c r="F130" s="21">
        <v>3</v>
      </c>
      <c r="G130" s="33">
        <v>0.9</v>
      </c>
      <c r="H130" s="4">
        <v>1</v>
      </c>
      <c r="I130" s="21">
        <f t="shared" si="5"/>
        <v>0.48018292682926833</v>
      </c>
      <c r="J130" s="6">
        <v>1</v>
      </c>
      <c r="K130" s="4" t="s">
        <v>91</v>
      </c>
    </row>
    <row r="131" spans="1:11">
      <c r="A131" s="4"/>
      <c r="B131" s="4" t="s">
        <v>168</v>
      </c>
      <c r="C131" s="4">
        <v>-1</v>
      </c>
      <c r="D131" s="4"/>
      <c r="E131" s="21">
        <v>0.79</v>
      </c>
      <c r="F131" s="21"/>
      <c r="G131" s="33">
        <v>0.94</v>
      </c>
      <c r="H131" s="4">
        <v>1</v>
      </c>
      <c r="I131" s="21">
        <f t="shared" si="5"/>
        <v>-0.74260000000000004</v>
      </c>
      <c r="J131" s="6">
        <v>1</v>
      </c>
      <c r="K131" s="4" t="s">
        <v>91</v>
      </c>
    </row>
    <row r="132" spans="1:11">
      <c r="A132" s="4"/>
      <c r="B132" s="4"/>
      <c r="C132" s="4" t="s">
        <v>36</v>
      </c>
      <c r="D132" s="4"/>
      <c r="E132" s="21" t="s">
        <v>36</v>
      </c>
      <c r="F132" s="21" t="s">
        <v>36</v>
      </c>
      <c r="G132" s="21" t="s">
        <v>36</v>
      </c>
      <c r="H132" s="4" t="s">
        <v>36</v>
      </c>
      <c r="I132" s="22">
        <f>SUM(I129:I131)</f>
        <v>6.568985365853659</v>
      </c>
      <c r="J132" s="23">
        <v>1</v>
      </c>
      <c r="K132" s="24" t="s">
        <v>91</v>
      </c>
    </row>
    <row r="133" spans="1:11">
      <c r="A133" s="4">
        <v>3</v>
      </c>
      <c r="B133" s="27" t="s">
        <v>131</v>
      </c>
      <c r="C133" s="4"/>
      <c r="D133" s="4"/>
      <c r="E133" s="21" t="s">
        <v>36</v>
      </c>
      <c r="F133" s="21" t="s">
        <v>36</v>
      </c>
      <c r="G133" s="21" t="s">
        <v>36</v>
      </c>
      <c r="H133" s="4"/>
      <c r="I133" s="21" t="s">
        <v>36</v>
      </c>
      <c r="J133" s="6" t="s">
        <v>36</v>
      </c>
      <c r="K133" s="4"/>
    </row>
    <row r="134" spans="1:11">
      <c r="A134" s="4">
        <v>3.1</v>
      </c>
      <c r="B134" s="4" t="s">
        <v>63</v>
      </c>
      <c r="C134" s="4">
        <v>1</v>
      </c>
      <c r="D134" s="4">
        <v>14</v>
      </c>
      <c r="E134" s="21">
        <f t="shared" si="4"/>
        <v>4.2682926829268295</v>
      </c>
      <c r="F134" s="21">
        <v>23</v>
      </c>
      <c r="G134" s="33">
        <v>6.9</v>
      </c>
      <c r="H134" s="4">
        <v>1</v>
      </c>
      <c r="I134" s="21">
        <f t="shared" si="5"/>
        <v>29.451219512195124</v>
      </c>
      <c r="J134" s="6">
        <v>1</v>
      </c>
      <c r="K134" s="4" t="s">
        <v>91</v>
      </c>
    </row>
    <row r="135" spans="1:11">
      <c r="A135" s="4">
        <v>3.2</v>
      </c>
      <c r="B135" s="4" t="s">
        <v>63</v>
      </c>
      <c r="C135" s="4">
        <v>1</v>
      </c>
      <c r="D135" s="4">
        <v>12</v>
      </c>
      <c r="E135" s="33">
        <v>3.52</v>
      </c>
      <c r="F135" s="21">
        <v>17.5</v>
      </c>
      <c r="G135" s="21">
        <f t="shared" ref="G135:G200" si="6">+F135/3.28</f>
        <v>5.3353658536585371</v>
      </c>
      <c r="H135" s="4">
        <v>1</v>
      </c>
      <c r="I135" s="21">
        <f t="shared" si="5"/>
        <v>18.780487804878049</v>
      </c>
      <c r="J135" s="6">
        <v>1</v>
      </c>
      <c r="K135" s="4" t="s">
        <v>91</v>
      </c>
    </row>
    <row r="136" spans="1:11">
      <c r="A136" s="4">
        <v>3.3</v>
      </c>
      <c r="B136" s="4" t="s">
        <v>63</v>
      </c>
      <c r="C136" s="4">
        <v>1</v>
      </c>
      <c r="D136" s="4">
        <v>23.25</v>
      </c>
      <c r="E136" s="21">
        <f t="shared" si="4"/>
        <v>7.0884146341463419</v>
      </c>
      <c r="F136" s="21">
        <v>23.08</v>
      </c>
      <c r="G136" s="21">
        <f t="shared" si="6"/>
        <v>7.0365853658536581</v>
      </c>
      <c r="H136" s="4">
        <v>1</v>
      </c>
      <c r="I136" s="21">
        <f t="shared" si="5"/>
        <v>49.878234681737062</v>
      </c>
      <c r="J136" s="6">
        <v>1</v>
      </c>
      <c r="K136" s="4" t="s">
        <v>91</v>
      </c>
    </row>
    <row r="137" spans="1:11" ht="28.8">
      <c r="A137" s="4">
        <v>3.5</v>
      </c>
      <c r="B137" s="7" t="s">
        <v>132</v>
      </c>
      <c r="C137" s="4">
        <v>1</v>
      </c>
      <c r="D137" s="4">
        <v>5.33</v>
      </c>
      <c r="E137" s="21">
        <f>+D137/3.28</f>
        <v>1.6250000000000002</v>
      </c>
      <c r="F137" s="21">
        <v>5</v>
      </c>
      <c r="G137" s="21">
        <f>+F137/3.28</f>
        <v>1.524390243902439</v>
      </c>
      <c r="H137" s="4">
        <v>1</v>
      </c>
      <c r="I137" s="50">
        <f>+H137*G137*E137*C137</f>
        <v>2.4771341463414638</v>
      </c>
      <c r="J137" s="51">
        <v>1</v>
      </c>
      <c r="K137" s="52" t="s">
        <v>91</v>
      </c>
    </row>
    <row r="138" spans="1:11">
      <c r="A138" s="4"/>
      <c r="B138" s="4"/>
      <c r="C138" s="4"/>
      <c r="D138" s="4"/>
      <c r="E138" s="21"/>
      <c r="F138" s="21"/>
      <c r="G138" s="21"/>
      <c r="H138" s="4"/>
      <c r="I138" s="22">
        <f>SUM(I134:I137)</f>
        <v>100.5870761451517</v>
      </c>
      <c r="J138" s="23">
        <v>1</v>
      </c>
      <c r="K138" s="24" t="s">
        <v>91</v>
      </c>
    </row>
    <row r="139" spans="1:11">
      <c r="A139" s="4">
        <v>3.4</v>
      </c>
      <c r="B139" s="4" t="s">
        <v>13</v>
      </c>
      <c r="C139" s="4">
        <v>1</v>
      </c>
      <c r="D139" s="4">
        <v>39.58</v>
      </c>
      <c r="E139" s="21">
        <f t="shared" si="4"/>
        <v>12.067073170731707</v>
      </c>
      <c r="F139" s="21">
        <v>1</v>
      </c>
      <c r="G139" s="21">
        <v>1</v>
      </c>
      <c r="H139" s="4">
        <v>1</v>
      </c>
      <c r="I139" s="50">
        <f t="shared" si="5"/>
        <v>12.067073170731707</v>
      </c>
      <c r="J139" s="51">
        <v>1</v>
      </c>
      <c r="K139" s="52" t="s">
        <v>14</v>
      </c>
    </row>
    <row r="140" spans="1:11">
      <c r="A140" s="4">
        <v>3.6</v>
      </c>
      <c r="B140" s="4" t="s">
        <v>133</v>
      </c>
      <c r="C140" s="4">
        <v>1</v>
      </c>
      <c r="D140" s="4">
        <v>15.5</v>
      </c>
      <c r="E140" s="21">
        <f>+D140/3.28</f>
        <v>4.725609756097561</v>
      </c>
      <c r="F140" s="21">
        <v>1</v>
      </c>
      <c r="G140" s="21">
        <v>1</v>
      </c>
      <c r="H140" s="4">
        <v>1</v>
      </c>
      <c r="I140" s="50">
        <f>+H140*G140*E140*C140</f>
        <v>4.725609756097561</v>
      </c>
      <c r="J140" s="51">
        <v>1</v>
      </c>
      <c r="K140" s="52" t="s">
        <v>14</v>
      </c>
    </row>
    <row r="141" spans="1:11">
      <c r="A141" s="4"/>
      <c r="B141" s="4"/>
      <c r="C141" s="4"/>
      <c r="D141" s="4"/>
      <c r="E141" s="21" t="s">
        <v>36</v>
      </c>
      <c r="F141" s="21" t="s">
        <v>36</v>
      </c>
      <c r="G141" s="21" t="s">
        <v>36</v>
      </c>
      <c r="H141" s="4"/>
      <c r="I141" s="28">
        <f>SUM(I139:I140)</f>
        <v>16.792682926829269</v>
      </c>
      <c r="J141" s="23">
        <v>1</v>
      </c>
      <c r="K141" s="24" t="s">
        <v>14</v>
      </c>
    </row>
    <row r="142" spans="1:11">
      <c r="A142" s="4">
        <v>4</v>
      </c>
      <c r="B142" s="27" t="s">
        <v>134</v>
      </c>
      <c r="C142" s="4"/>
      <c r="D142" s="4"/>
      <c r="E142" s="21" t="s">
        <v>36</v>
      </c>
      <c r="F142" s="21"/>
      <c r="G142" s="21" t="s">
        <v>36</v>
      </c>
      <c r="H142" s="4"/>
      <c r="I142" s="21" t="s">
        <v>36</v>
      </c>
      <c r="J142" s="6" t="s">
        <v>36</v>
      </c>
      <c r="K142" s="4"/>
    </row>
    <row r="143" spans="1:11">
      <c r="A143" s="4">
        <v>4.0999999999999996</v>
      </c>
      <c r="B143" s="4" t="s">
        <v>63</v>
      </c>
      <c r="C143" s="4">
        <v>1</v>
      </c>
      <c r="D143" s="4">
        <v>6</v>
      </c>
      <c r="E143" s="33">
        <v>1.8</v>
      </c>
      <c r="F143" s="33">
        <v>6.16</v>
      </c>
      <c r="G143" s="33">
        <v>1.74</v>
      </c>
      <c r="H143" s="4">
        <v>1</v>
      </c>
      <c r="I143" s="22">
        <f t="shared" si="5"/>
        <v>3.1320000000000001</v>
      </c>
      <c r="J143" s="23">
        <v>1</v>
      </c>
      <c r="K143" s="24" t="s">
        <v>91</v>
      </c>
    </row>
    <row r="144" spans="1:11">
      <c r="A144" s="4">
        <v>4.2</v>
      </c>
      <c r="B144" s="4" t="s">
        <v>13</v>
      </c>
      <c r="C144" s="4">
        <v>1</v>
      </c>
      <c r="D144" s="4">
        <v>18</v>
      </c>
      <c r="E144" s="21">
        <f t="shared" si="4"/>
        <v>5.4878048780487809</v>
      </c>
      <c r="F144" s="21">
        <v>1</v>
      </c>
      <c r="G144" s="21">
        <v>1</v>
      </c>
      <c r="H144" s="4">
        <v>1</v>
      </c>
      <c r="I144" s="22">
        <f t="shared" si="5"/>
        <v>5.4878048780487809</v>
      </c>
      <c r="J144" s="23">
        <v>1</v>
      </c>
      <c r="K144" s="24" t="s">
        <v>14</v>
      </c>
    </row>
    <row r="145" spans="1:11">
      <c r="A145" s="4">
        <v>4.3</v>
      </c>
      <c r="B145" s="4" t="s">
        <v>169</v>
      </c>
      <c r="C145" s="4">
        <v>1</v>
      </c>
      <c r="D145" s="4">
        <v>2</v>
      </c>
      <c r="E145" s="21">
        <f t="shared" si="4"/>
        <v>0.6097560975609756</v>
      </c>
      <c r="F145" s="21">
        <v>6</v>
      </c>
      <c r="G145" s="21">
        <f t="shared" si="6"/>
        <v>1.8292682926829269</v>
      </c>
      <c r="H145" s="4">
        <v>1</v>
      </c>
      <c r="I145" s="22">
        <f>+H145*G145*C145</f>
        <v>1.8292682926829269</v>
      </c>
      <c r="J145" s="23">
        <v>1</v>
      </c>
      <c r="K145" s="24" t="s">
        <v>14</v>
      </c>
    </row>
    <row r="146" spans="1:11">
      <c r="A146" s="4">
        <v>4.4000000000000004</v>
      </c>
      <c r="B146" s="4" t="s">
        <v>95</v>
      </c>
      <c r="C146" s="4">
        <v>1</v>
      </c>
      <c r="D146" s="4">
        <v>12</v>
      </c>
      <c r="E146" s="21">
        <f t="shared" si="4"/>
        <v>3.6585365853658538</v>
      </c>
      <c r="F146" s="21">
        <v>1</v>
      </c>
      <c r="G146" s="21">
        <v>1</v>
      </c>
      <c r="H146" s="4">
        <v>1</v>
      </c>
      <c r="I146" s="22">
        <f t="shared" si="5"/>
        <v>3.6585365853658538</v>
      </c>
      <c r="J146" s="23">
        <v>1</v>
      </c>
      <c r="K146" s="24" t="s">
        <v>14</v>
      </c>
    </row>
    <row r="147" spans="1:11">
      <c r="A147" s="4">
        <v>4.5</v>
      </c>
      <c r="B147" s="4" t="s">
        <v>269</v>
      </c>
      <c r="C147" s="4">
        <v>1</v>
      </c>
      <c r="D147" s="4">
        <v>14.41</v>
      </c>
      <c r="E147" s="21">
        <f t="shared" si="4"/>
        <v>4.3932926829268295</v>
      </c>
      <c r="F147" s="21">
        <v>1</v>
      </c>
      <c r="G147" s="21">
        <v>1</v>
      </c>
      <c r="H147" s="4">
        <v>1</v>
      </c>
      <c r="I147" s="22">
        <f t="shared" si="5"/>
        <v>4.3932926829268295</v>
      </c>
      <c r="J147" s="23">
        <v>1</v>
      </c>
      <c r="K147" s="24" t="s">
        <v>14</v>
      </c>
    </row>
    <row r="148" spans="1:11">
      <c r="A148" s="4"/>
      <c r="B148" s="15" t="s">
        <v>170</v>
      </c>
      <c r="C148" s="15">
        <v>-1</v>
      </c>
      <c r="D148" s="15"/>
      <c r="E148" s="33">
        <v>1.236</v>
      </c>
      <c r="F148" s="33"/>
      <c r="G148" s="33">
        <v>0.25600000000000001</v>
      </c>
      <c r="H148" s="4">
        <v>1</v>
      </c>
      <c r="I148" s="50">
        <f t="shared" si="5"/>
        <v>-0.31641600000000003</v>
      </c>
      <c r="J148" s="51">
        <v>1</v>
      </c>
      <c r="K148" s="52" t="s">
        <v>91</v>
      </c>
    </row>
    <row r="149" spans="1:11">
      <c r="A149" s="4"/>
      <c r="B149" s="4"/>
      <c r="C149" s="4"/>
      <c r="D149" s="4"/>
      <c r="E149" s="21" t="s">
        <v>36</v>
      </c>
      <c r="F149" s="21"/>
      <c r="G149" s="21" t="s">
        <v>36</v>
      </c>
      <c r="H149" s="4"/>
      <c r="I149" s="21"/>
      <c r="J149" s="23" t="s">
        <v>36</v>
      </c>
      <c r="K149" s="24" t="s">
        <v>36</v>
      </c>
    </row>
    <row r="150" spans="1:11">
      <c r="A150" s="4"/>
      <c r="B150" s="4"/>
      <c r="C150" s="4"/>
      <c r="D150" s="4"/>
      <c r="E150" s="21"/>
      <c r="F150" s="21"/>
      <c r="G150" s="21"/>
      <c r="H150" s="4"/>
      <c r="I150" s="21"/>
      <c r="J150" s="6"/>
      <c r="K150" s="4"/>
    </row>
    <row r="151" spans="1:11">
      <c r="A151" s="4">
        <v>5</v>
      </c>
      <c r="B151" s="27" t="s">
        <v>135</v>
      </c>
      <c r="C151" s="4"/>
      <c r="D151" s="4"/>
      <c r="E151" s="21" t="s">
        <v>36</v>
      </c>
      <c r="F151" s="21"/>
      <c r="G151" s="21" t="s">
        <v>36</v>
      </c>
      <c r="H151" s="4"/>
      <c r="I151" s="21" t="s">
        <v>36</v>
      </c>
      <c r="J151" s="6" t="s">
        <v>36</v>
      </c>
      <c r="K151" s="4"/>
    </row>
    <row r="152" spans="1:11">
      <c r="A152" s="4">
        <v>5.0999999999999996</v>
      </c>
      <c r="B152" s="4" t="s">
        <v>63</v>
      </c>
      <c r="C152" s="4">
        <v>1</v>
      </c>
      <c r="D152" s="4">
        <v>17</v>
      </c>
      <c r="E152" s="21">
        <v>5.17</v>
      </c>
      <c r="F152" s="21">
        <v>9.33</v>
      </c>
      <c r="G152" s="21">
        <f t="shared" si="6"/>
        <v>2.8445121951219514</v>
      </c>
      <c r="H152" s="4">
        <v>1</v>
      </c>
      <c r="I152" s="21">
        <f t="shared" si="5"/>
        <v>14.706128048780489</v>
      </c>
      <c r="J152" s="6">
        <v>1</v>
      </c>
      <c r="K152" s="4" t="s">
        <v>91</v>
      </c>
    </row>
    <row r="153" spans="1:11">
      <c r="A153" s="4">
        <v>5.2</v>
      </c>
      <c r="B153" s="4" t="s">
        <v>63</v>
      </c>
      <c r="C153" s="4">
        <v>1</v>
      </c>
      <c r="D153" s="4">
        <v>13</v>
      </c>
      <c r="E153" s="33">
        <v>3.89</v>
      </c>
      <c r="F153" s="33">
        <v>10.33</v>
      </c>
      <c r="G153" s="33">
        <v>3.13</v>
      </c>
      <c r="H153" s="4">
        <v>1</v>
      </c>
      <c r="I153" s="21">
        <f t="shared" si="5"/>
        <v>12.175700000000001</v>
      </c>
      <c r="J153" s="6">
        <v>1</v>
      </c>
      <c r="K153" s="4" t="s">
        <v>91</v>
      </c>
    </row>
    <row r="154" spans="1:11">
      <c r="A154" s="4"/>
      <c r="B154" s="15" t="s">
        <v>168</v>
      </c>
      <c r="C154" s="15">
        <v>-1</v>
      </c>
      <c r="D154" s="15"/>
      <c r="E154" s="33">
        <v>1.32</v>
      </c>
      <c r="F154" s="33"/>
      <c r="G154" s="33">
        <v>0.63</v>
      </c>
      <c r="H154" s="4">
        <v>1</v>
      </c>
      <c r="I154" s="21">
        <f t="shared" si="5"/>
        <v>-0.83160000000000001</v>
      </c>
      <c r="J154" s="6">
        <v>1</v>
      </c>
      <c r="K154" s="4" t="s">
        <v>91</v>
      </c>
    </row>
    <row r="155" spans="1:11">
      <c r="A155" s="4"/>
      <c r="B155" s="4"/>
      <c r="C155" s="4"/>
      <c r="D155" s="4"/>
      <c r="E155" s="21"/>
      <c r="F155" s="21"/>
      <c r="G155" s="21"/>
      <c r="H155" s="4"/>
      <c r="I155" s="22">
        <f>SUM(I152:I154)</f>
        <v>26.05022804878049</v>
      </c>
      <c r="J155" s="23">
        <v>1</v>
      </c>
      <c r="K155" s="24" t="s">
        <v>91</v>
      </c>
    </row>
    <row r="156" spans="1:11">
      <c r="A156" s="4">
        <v>6</v>
      </c>
      <c r="B156" s="27" t="s">
        <v>136</v>
      </c>
      <c r="C156" s="4"/>
      <c r="D156" s="4"/>
      <c r="E156" s="21" t="s">
        <v>36</v>
      </c>
      <c r="F156" s="21"/>
      <c r="G156" s="21" t="s">
        <v>36</v>
      </c>
      <c r="H156" s="4"/>
      <c r="I156" s="21" t="s">
        <v>36</v>
      </c>
      <c r="J156" s="6" t="s">
        <v>36</v>
      </c>
      <c r="K156" s="4"/>
    </row>
    <row r="157" spans="1:11">
      <c r="A157" s="4">
        <v>6.1</v>
      </c>
      <c r="B157" s="4" t="s">
        <v>63</v>
      </c>
      <c r="C157" s="4">
        <v>1</v>
      </c>
      <c r="D157" s="4">
        <v>8</v>
      </c>
      <c r="E157" s="21">
        <f t="shared" si="4"/>
        <v>2.4390243902439024</v>
      </c>
      <c r="F157" s="21">
        <v>6</v>
      </c>
      <c r="G157" s="21">
        <f t="shared" si="6"/>
        <v>1.8292682926829269</v>
      </c>
      <c r="H157" s="4">
        <v>1</v>
      </c>
      <c r="I157" s="21">
        <f t="shared" si="5"/>
        <v>4.4616299821534797</v>
      </c>
      <c r="J157" s="6">
        <v>1</v>
      </c>
      <c r="K157" s="4" t="s">
        <v>91</v>
      </c>
    </row>
    <row r="158" spans="1:11">
      <c r="A158" s="4">
        <v>6.2</v>
      </c>
      <c r="B158" s="4" t="s">
        <v>63</v>
      </c>
      <c r="C158" s="4">
        <v>3</v>
      </c>
      <c r="D158" s="4">
        <v>1.5</v>
      </c>
      <c r="E158" s="21">
        <f t="shared" si="4"/>
        <v>0.45731707317073172</v>
      </c>
      <c r="F158" s="21">
        <v>8</v>
      </c>
      <c r="G158" s="21">
        <f t="shared" si="6"/>
        <v>2.4390243902439024</v>
      </c>
      <c r="H158" s="4">
        <v>1</v>
      </c>
      <c r="I158" s="21">
        <f t="shared" si="5"/>
        <v>3.34622248661511</v>
      </c>
      <c r="J158" s="6">
        <v>1</v>
      </c>
      <c r="K158" s="4" t="s">
        <v>91</v>
      </c>
    </row>
    <row r="159" spans="1:11">
      <c r="A159" s="4">
        <v>6.3</v>
      </c>
      <c r="B159" s="4" t="s">
        <v>63</v>
      </c>
      <c r="C159" s="4">
        <v>3</v>
      </c>
      <c r="D159" s="4">
        <v>1.5</v>
      </c>
      <c r="E159" s="21">
        <f t="shared" si="4"/>
        <v>0.45731707317073172</v>
      </c>
      <c r="F159" s="21">
        <v>3.58</v>
      </c>
      <c r="G159" s="21">
        <f t="shared" si="6"/>
        <v>1.0914634146341464</v>
      </c>
      <c r="H159" s="4">
        <v>1</v>
      </c>
      <c r="I159" s="21">
        <f t="shared" si="5"/>
        <v>1.4974345627602619</v>
      </c>
      <c r="J159" s="6">
        <v>1</v>
      </c>
      <c r="K159" s="4" t="s">
        <v>91</v>
      </c>
    </row>
    <row r="160" spans="1:11">
      <c r="A160" s="4"/>
      <c r="B160" s="4"/>
      <c r="C160" s="4"/>
      <c r="D160" s="4"/>
      <c r="E160" s="21" t="s">
        <v>36</v>
      </c>
      <c r="F160" s="21"/>
      <c r="G160" s="21" t="s">
        <v>36</v>
      </c>
      <c r="H160" s="4"/>
      <c r="I160" s="22">
        <f>SUM(I157:I159)</f>
        <v>9.3052870315288523</v>
      </c>
      <c r="J160" s="23">
        <v>1</v>
      </c>
      <c r="K160" s="24" t="s">
        <v>91</v>
      </c>
    </row>
    <row r="161" spans="1:11">
      <c r="A161" s="4">
        <v>7</v>
      </c>
      <c r="B161" s="27" t="s">
        <v>137</v>
      </c>
      <c r="C161" s="4"/>
      <c r="D161" s="4"/>
      <c r="E161" s="21" t="s">
        <v>36</v>
      </c>
      <c r="F161" s="21"/>
      <c r="G161" s="21" t="s">
        <v>36</v>
      </c>
      <c r="H161" s="4"/>
      <c r="I161" s="21" t="s">
        <v>36</v>
      </c>
      <c r="J161" s="6" t="s">
        <v>36</v>
      </c>
      <c r="K161" s="4"/>
    </row>
    <row r="162" spans="1:11">
      <c r="A162" s="4">
        <v>7.1</v>
      </c>
      <c r="B162" s="4" t="s">
        <v>63</v>
      </c>
      <c r="C162" s="4">
        <v>1</v>
      </c>
      <c r="D162" s="4">
        <v>22</v>
      </c>
      <c r="E162" s="33">
        <v>6.65</v>
      </c>
      <c r="F162" s="33">
        <v>13</v>
      </c>
      <c r="G162" s="33">
        <v>3.91</v>
      </c>
      <c r="H162" s="4">
        <v>1</v>
      </c>
      <c r="I162" s="22">
        <f t="shared" si="5"/>
        <v>26.001500000000004</v>
      </c>
      <c r="J162" s="23">
        <v>1</v>
      </c>
      <c r="K162" s="24" t="s">
        <v>91</v>
      </c>
    </row>
    <row r="163" spans="1:11">
      <c r="A163" s="4">
        <v>7.2</v>
      </c>
      <c r="B163" s="4" t="s">
        <v>13</v>
      </c>
      <c r="C163" s="4">
        <v>1</v>
      </c>
      <c r="D163" s="4">
        <v>66</v>
      </c>
      <c r="E163" s="21">
        <f t="shared" si="4"/>
        <v>20.121951219512198</v>
      </c>
      <c r="F163" s="21">
        <v>1</v>
      </c>
      <c r="G163" s="29">
        <v>1</v>
      </c>
      <c r="H163" s="4">
        <v>1</v>
      </c>
      <c r="I163" s="21">
        <f t="shared" si="5"/>
        <v>20.121951219512198</v>
      </c>
      <c r="J163" s="6">
        <v>1</v>
      </c>
      <c r="K163" s="4" t="s">
        <v>14</v>
      </c>
    </row>
    <row r="164" spans="1:11">
      <c r="A164" s="4">
        <v>7.3</v>
      </c>
      <c r="B164" s="4" t="s">
        <v>13</v>
      </c>
      <c r="C164" s="4">
        <v>1</v>
      </c>
      <c r="D164" s="4"/>
      <c r="E164" s="21">
        <f>9.58/3.28</f>
        <v>2.9207317073170733</v>
      </c>
      <c r="F164" s="21"/>
      <c r="G164" s="29">
        <v>1</v>
      </c>
      <c r="H164" s="4">
        <v>1</v>
      </c>
      <c r="I164" s="21">
        <f t="shared" si="5"/>
        <v>2.9207317073170733</v>
      </c>
      <c r="J164" s="6">
        <v>1</v>
      </c>
      <c r="K164" s="4" t="s">
        <v>14</v>
      </c>
    </row>
    <row r="165" spans="1:11">
      <c r="A165" s="4"/>
      <c r="B165" s="4"/>
      <c r="C165" s="4"/>
      <c r="D165" s="4"/>
      <c r="E165" s="21"/>
      <c r="F165" s="21"/>
      <c r="G165" s="29"/>
      <c r="H165" s="4"/>
      <c r="I165" s="22">
        <f>SUM(I163:I164)</f>
        <v>23.042682926829272</v>
      </c>
      <c r="J165" s="23">
        <v>1</v>
      </c>
      <c r="K165" s="24" t="s">
        <v>14</v>
      </c>
    </row>
    <row r="166" spans="1:11">
      <c r="A166" s="4">
        <v>8</v>
      </c>
      <c r="B166" s="27" t="s">
        <v>270</v>
      </c>
      <c r="C166" s="4"/>
      <c r="D166" s="4"/>
      <c r="E166" s="21"/>
      <c r="F166" s="21"/>
      <c r="G166" s="21"/>
      <c r="H166" s="4"/>
      <c r="I166" s="21"/>
      <c r="J166" s="6"/>
      <c r="K166" s="4"/>
    </row>
    <row r="167" spans="1:11">
      <c r="A167" s="4"/>
      <c r="B167" s="5" t="s">
        <v>97</v>
      </c>
      <c r="C167" s="4" t="s">
        <v>36</v>
      </c>
      <c r="D167" s="4"/>
      <c r="E167" s="21" t="s">
        <v>36</v>
      </c>
      <c r="F167" s="21"/>
      <c r="G167" s="21" t="s">
        <v>36</v>
      </c>
      <c r="H167" s="4"/>
      <c r="I167" s="21" t="s">
        <v>36</v>
      </c>
      <c r="J167" s="6" t="s">
        <v>36</v>
      </c>
      <c r="K167" s="4"/>
    </row>
    <row r="168" spans="1:11">
      <c r="A168" s="4">
        <v>8.1</v>
      </c>
      <c r="B168" s="4" t="s">
        <v>138</v>
      </c>
      <c r="C168" s="4">
        <v>1</v>
      </c>
      <c r="D168" s="4">
        <v>8.58</v>
      </c>
      <c r="E168" s="33">
        <v>2.5</v>
      </c>
      <c r="F168" s="21">
        <v>1</v>
      </c>
      <c r="G168" s="21">
        <v>1</v>
      </c>
      <c r="H168" s="4">
        <v>1</v>
      </c>
      <c r="I168" s="22">
        <f t="shared" si="5"/>
        <v>2.5</v>
      </c>
      <c r="J168" s="23">
        <v>1</v>
      </c>
      <c r="K168" s="24" t="s">
        <v>14</v>
      </c>
    </row>
    <row r="169" spans="1:11">
      <c r="A169" s="4">
        <v>8.1999999999999993</v>
      </c>
      <c r="B169" s="4" t="s">
        <v>139</v>
      </c>
      <c r="C169" s="4">
        <v>1</v>
      </c>
      <c r="D169" s="4">
        <v>8.83</v>
      </c>
      <c r="E169" s="33">
        <v>0.9</v>
      </c>
      <c r="F169" s="21">
        <v>1.5</v>
      </c>
      <c r="G169" s="33">
        <v>0.15</v>
      </c>
      <c r="H169" s="4">
        <v>1</v>
      </c>
      <c r="I169" s="22">
        <f>H169*E169*C169</f>
        <v>0.9</v>
      </c>
      <c r="J169" s="23">
        <v>1</v>
      </c>
      <c r="K169" s="24" t="s">
        <v>14</v>
      </c>
    </row>
    <row r="170" spans="1:11">
      <c r="A170" s="4">
        <v>8.3000000000000007</v>
      </c>
      <c r="B170" s="4" t="s">
        <v>99</v>
      </c>
      <c r="C170" s="4">
        <v>2</v>
      </c>
      <c r="D170" s="4">
        <v>2.25</v>
      </c>
      <c r="E170" s="21">
        <f t="shared" si="4"/>
        <v>0.68597560975609762</v>
      </c>
      <c r="F170" s="21">
        <v>2</v>
      </c>
      <c r="G170" s="33">
        <v>0.6</v>
      </c>
      <c r="H170" s="4">
        <v>1</v>
      </c>
      <c r="I170" s="22">
        <f t="shared" si="5"/>
        <v>0.82317073170731714</v>
      </c>
      <c r="J170" s="23">
        <v>1</v>
      </c>
      <c r="K170" s="24" t="s">
        <v>91</v>
      </c>
    </row>
    <row r="171" spans="1:11">
      <c r="A171" s="4"/>
      <c r="B171" s="4"/>
      <c r="C171" s="4"/>
      <c r="D171" s="4"/>
      <c r="E171" s="21"/>
      <c r="F171" s="21"/>
      <c r="G171" s="21"/>
      <c r="H171" s="4"/>
      <c r="I171" s="28"/>
      <c r="J171" s="10"/>
      <c r="K171" s="5"/>
    </row>
    <row r="172" spans="1:11">
      <c r="A172" s="4">
        <v>9</v>
      </c>
      <c r="B172" s="27" t="s">
        <v>140</v>
      </c>
      <c r="C172" s="4"/>
      <c r="D172" s="4"/>
      <c r="E172" s="21"/>
      <c r="F172" s="21"/>
      <c r="G172" s="21"/>
      <c r="H172" s="4"/>
      <c r="I172" s="21"/>
      <c r="J172" s="6"/>
      <c r="K172" s="4"/>
    </row>
    <row r="173" spans="1:11">
      <c r="A173" s="4">
        <v>9.1</v>
      </c>
      <c r="B173" s="4" t="s">
        <v>63</v>
      </c>
      <c r="C173" s="4">
        <v>1</v>
      </c>
      <c r="D173" s="4">
        <v>13</v>
      </c>
      <c r="E173" s="33">
        <v>3.95</v>
      </c>
      <c r="F173" s="33">
        <v>14.58</v>
      </c>
      <c r="G173" s="33">
        <v>4.4400000000000004</v>
      </c>
      <c r="H173" s="4">
        <v>1</v>
      </c>
      <c r="I173" s="21">
        <f t="shared" si="5"/>
        <v>17.538000000000004</v>
      </c>
      <c r="J173" s="6">
        <v>1</v>
      </c>
      <c r="K173" s="4" t="s">
        <v>91</v>
      </c>
    </row>
    <row r="174" spans="1:11">
      <c r="A174" s="4">
        <v>9.1999999999999993</v>
      </c>
      <c r="B174" s="4" t="s">
        <v>63</v>
      </c>
      <c r="C174" s="4">
        <v>1</v>
      </c>
      <c r="D174" s="4">
        <v>5.41</v>
      </c>
      <c r="E174" s="21">
        <f t="shared" si="4"/>
        <v>1.6493902439024393</v>
      </c>
      <c r="F174" s="21">
        <v>5.33</v>
      </c>
      <c r="G174" s="33">
        <v>1.34</v>
      </c>
      <c r="H174" s="4">
        <v>1</v>
      </c>
      <c r="I174" s="21">
        <f t="shared" si="5"/>
        <v>2.2101829268292685</v>
      </c>
      <c r="J174" s="6">
        <v>1</v>
      </c>
      <c r="K174" s="4" t="s">
        <v>91</v>
      </c>
    </row>
    <row r="175" spans="1:11">
      <c r="A175" s="4"/>
      <c r="B175" s="4"/>
      <c r="C175" s="4"/>
      <c r="D175" s="4"/>
      <c r="E175" s="21"/>
      <c r="F175" s="21"/>
      <c r="G175" s="21"/>
      <c r="H175" s="4"/>
      <c r="I175" s="22">
        <f>SUM(I173:I174)</f>
        <v>19.748182926829273</v>
      </c>
      <c r="J175" s="23">
        <v>1</v>
      </c>
      <c r="K175" s="24" t="s">
        <v>91</v>
      </c>
    </row>
    <row r="176" spans="1:11">
      <c r="A176" s="4">
        <v>9.4</v>
      </c>
      <c r="B176" s="4" t="s">
        <v>13</v>
      </c>
      <c r="C176" s="4">
        <v>1</v>
      </c>
      <c r="D176" s="4">
        <v>43</v>
      </c>
      <c r="E176" s="33">
        <v>12.44</v>
      </c>
      <c r="F176" s="21">
        <v>1</v>
      </c>
      <c r="G176" s="29">
        <v>1</v>
      </c>
      <c r="H176" s="4">
        <v>1</v>
      </c>
      <c r="I176" s="22">
        <f t="shared" si="5"/>
        <v>12.44</v>
      </c>
      <c r="J176" s="23">
        <v>1</v>
      </c>
      <c r="K176" s="24" t="s">
        <v>14</v>
      </c>
    </row>
    <row r="177" spans="1:11" ht="20.399999999999999" customHeight="1">
      <c r="A177" s="4">
        <v>9.5</v>
      </c>
      <c r="B177" s="7" t="s">
        <v>141</v>
      </c>
      <c r="C177" s="4">
        <v>2</v>
      </c>
      <c r="D177" s="4"/>
      <c r="E177" s="33">
        <v>9.4</v>
      </c>
      <c r="F177" s="21"/>
      <c r="G177" s="29">
        <v>1</v>
      </c>
      <c r="H177" s="4">
        <v>1</v>
      </c>
      <c r="I177" s="22">
        <f t="shared" si="5"/>
        <v>18.8</v>
      </c>
      <c r="J177" s="23">
        <v>1</v>
      </c>
      <c r="K177" s="24" t="s">
        <v>14</v>
      </c>
    </row>
    <row r="178" spans="1:11" ht="20.399999999999999" customHeight="1">
      <c r="A178" s="4">
        <v>9.6</v>
      </c>
      <c r="B178" s="7" t="s">
        <v>142</v>
      </c>
      <c r="C178" s="15">
        <v>2</v>
      </c>
      <c r="D178" s="4"/>
      <c r="E178" s="33">
        <v>9.4</v>
      </c>
      <c r="F178" s="21"/>
      <c r="G178" s="29">
        <v>1</v>
      </c>
      <c r="H178" s="4">
        <v>1</v>
      </c>
      <c r="I178" s="22">
        <f t="shared" si="5"/>
        <v>18.8</v>
      </c>
      <c r="J178" s="23">
        <v>1</v>
      </c>
      <c r="K178" s="24" t="s">
        <v>14</v>
      </c>
    </row>
    <row r="179" spans="1:11" ht="28.8">
      <c r="A179" s="4">
        <v>9.6999999999999993</v>
      </c>
      <c r="B179" s="7" t="s">
        <v>143</v>
      </c>
      <c r="C179" s="4">
        <v>3</v>
      </c>
      <c r="D179" s="4"/>
      <c r="E179" s="33">
        <v>9.4</v>
      </c>
      <c r="F179" s="21"/>
      <c r="G179" s="29">
        <v>1</v>
      </c>
      <c r="H179" s="4">
        <v>1</v>
      </c>
      <c r="I179" s="22">
        <f t="shared" si="5"/>
        <v>28.200000000000003</v>
      </c>
      <c r="J179" s="23">
        <v>1</v>
      </c>
      <c r="K179" s="24" t="s">
        <v>14</v>
      </c>
    </row>
    <row r="180" spans="1:11">
      <c r="A180" s="4">
        <v>9.8000000000000007</v>
      </c>
      <c r="B180" s="4" t="s">
        <v>144</v>
      </c>
      <c r="C180" s="4">
        <v>2</v>
      </c>
      <c r="D180" s="4"/>
      <c r="E180" s="33">
        <v>9.4</v>
      </c>
      <c r="F180" s="21"/>
      <c r="G180" s="29">
        <v>1</v>
      </c>
      <c r="H180" s="4">
        <v>1</v>
      </c>
      <c r="I180" s="22">
        <f t="shared" si="5"/>
        <v>18.8</v>
      </c>
      <c r="J180" s="23">
        <v>1</v>
      </c>
      <c r="K180" s="24" t="s">
        <v>14</v>
      </c>
    </row>
    <row r="181" spans="1:11">
      <c r="A181" s="4">
        <v>9.9</v>
      </c>
      <c r="B181" s="4" t="s">
        <v>145</v>
      </c>
      <c r="C181" s="4">
        <v>1</v>
      </c>
      <c r="D181" s="4"/>
      <c r="E181" s="33">
        <v>3.5</v>
      </c>
      <c r="F181" s="21"/>
      <c r="G181" s="29">
        <v>1</v>
      </c>
      <c r="H181" s="4">
        <v>1</v>
      </c>
      <c r="I181" s="22">
        <f t="shared" si="5"/>
        <v>3.5</v>
      </c>
      <c r="J181" s="23">
        <v>1</v>
      </c>
      <c r="K181" s="24" t="s">
        <v>14</v>
      </c>
    </row>
    <row r="182" spans="1:11">
      <c r="A182" s="4"/>
      <c r="B182" s="4"/>
      <c r="C182" s="4"/>
      <c r="D182" s="4"/>
      <c r="E182" s="21"/>
      <c r="F182" s="21"/>
      <c r="G182" s="29"/>
      <c r="H182" s="4"/>
      <c r="I182" s="22"/>
      <c r="J182" s="23"/>
      <c r="K182" s="24"/>
    </row>
    <row r="183" spans="1:11">
      <c r="A183" s="4">
        <v>10</v>
      </c>
      <c r="B183" s="27" t="s">
        <v>146</v>
      </c>
      <c r="C183" s="4"/>
      <c r="D183" s="4"/>
      <c r="E183" s="21" t="s">
        <v>36</v>
      </c>
      <c r="F183" s="21"/>
      <c r="G183" s="21" t="s">
        <v>36</v>
      </c>
      <c r="H183" s="4"/>
      <c r="I183" s="21" t="s">
        <v>36</v>
      </c>
      <c r="J183" s="6" t="s">
        <v>36</v>
      </c>
      <c r="K183" s="4"/>
    </row>
    <row r="184" spans="1:11">
      <c r="A184" s="4"/>
      <c r="B184" s="5" t="s">
        <v>97</v>
      </c>
      <c r="C184" s="4"/>
      <c r="D184" s="4"/>
      <c r="E184" s="21" t="s">
        <v>36</v>
      </c>
      <c r="F184" s="21"/>
      <c r="G184" s="21" t="s">
        <v>36</v>
      </c>
      <c r="H184" s="4"/>
      <c r="I184" s="21" t="s">
        <v>36</v>
      </c>
      <c r="J184" s="6" t="s">
        <v>36</v>
      </c>
      <c r="K184" s="4"/>
    </row>
    <row r="185" spans="1:11">
      <c r="A185" s="109">
        <v>10.1</v>
      </c>
      <c r="B185" s="4" t="s">
        <v>98</v>
      </c>
      <c r="C185" s="4">
        <v>1</v>
      </c>
      <c r="D185" s="4">
        <v>3</v>
      </c>
      <c r="E185" s="21">
        <f t="shared" si="4"/>
        <v>0.91463414634146345</v>
      </c>
      <c r="F185" s="21">
        <v>1.25</v>
      </c>
      <c r="G185" s="21">
        <f t="shared" si="6"/>
        <v>0.38109756097560976</v>
      </c>
      <c r="H185" s="4">
        <v>1</v>
      </c>
      <c r="I185" s="22">
        <f>+H185*E185*C185</f>
        <v>0.91463414634146345</v>
      </c>
      <c r="J185" s="23">
        <v>1</v>
      </c>
      <c r="K185" s="24" t="s">
        <v>14</v>
      </c>
    </row>
    <row r="186" spans="1:11">
      <c r="A186" s="4">
        <v>10.199999999999999</v>
      </c>
      <c r="B186" s="4" t="s">
        <v>147</v>
      </c>
      <c r="C186" s="4">
        <v>2</v>
      </c>
      <c r="D186" s="4">
        <v>1.58</v>
      </c>
      <c r="E186" s="21">
        <f t="shared" si="4"/>
        <v>0.48170731707317077</v>
      </c>
      <c r="F186" s="21">
        <v>1.33</v>
      </c>
      <c r="G186" s="33">
        <v>0.38</v>
      </c>
      <c r="H186" s="4">
        <v>1</v>
      </c>
      <c r="I186" s="22">
        <f t="shared" si="5"/>
        <v>0.3660975609756098</v>
      </c>
      <c r="J186" s="23">
        <v>1</v>
      </c>
      <c r="K186" s="24" t="s">
        <v>91</v>
      </c>
    </row>
    <row r="187" spans="1:11">
      <c r="A187" s="4">
        <v>10.3</v>
      </c>
      <c r="B187" s="4" t="s">
        <v>148</v>
      </c>
      <c r="C187" s="4">
        <v>1</v>
      </c>
      <c r="D187" s="4">
        <v>3</v>
      </c>
      <c r="E187" s="21">
        <f t="shared" si="4"/>
        <v>0.91463414634146345</v>
      </c>
      <c r="F187" s="21">
        <v>2.5</v>
      </c>
      <c r="G187" s="21">
        <f t="shared" si="6"/>
        <v>0.76219512195121952</v>
      </c>
      <c r="H187" s="4">
        <v>1</v>
      </c>
      <c r="I187" s="22">
        <f>+H187*E187*C187</f>
        <v>0.91463414634146345</v>
      </c>
      <c r="J187" s="23">
        <v>1</v>
      </c>
      <c r="K187" s="24" t="s">
        <v>14</v>
      </c>
    </row>
    <row r="188" spans="1:11">
      <c r="A188" s="4"/>
      <c r="B188" s="4"/>
      <c r="C188" s="4"/>
      <c r="D188" s="4"/>
      <c r="E188" s="21" t="s">
        <v>36</v>
      </c>
      <c r="F188" s="21"/>
      <c r="G188" s="21" t="s">
        <v>36</v>
      </c>
      <c r="H188" s="4" t="s">
        <v>36</v>
      </c>
      <c r="I188" s="21" t="s">
        <v>36</v>
      </c>
      <c r="J188" s="6" t="s">
        <v>36</v>
      </c>
      <c r="K188" s="4"/>
    </row>
    <row r="189" spans="1:11">
      <c r="A189" s="4"/>
      <c r="B189" s="4"/>
      <c r="C189" s="4"/>
      <c r="D189" s="4"/>
      <c r="E189" s="21" t="s">
        <v>36</v>
      </c>
      <c r="F189" s="21"/>
      <c r="G189" s="21" t="s">
        <v>36</v>
      </c>
      <c r="H189" s="4"/>
      <c r="I189" s="21" t="s">
        <v>36</v>
      </c>
      <c r="J189" s="6" t="s">
        <v>36</v>
      </c>
      <c r="K189" s="4"/>
    </row>
    <row r="190" spans="1:11">
      <c r="A190" s="4">
        <v>11</v>
      </c>
      <c r="B190" s="27" t="s">
        <v>146</v>
      </c>
      <c r="C190" s="4"/>
      <c r="D190" s="4"/>
      <c r="E190" s="21" t="s">
        <v>36</v>
      </c>
      <c r="F190" s="21"/>
      <c r="G190" s="21" t="s">
        <v>36</v>
      </c>
      <c r="H190" s="4"/>
      <c r="I190" s="21" t="s">
        <v>36</v>
      </c>
      <c r="J190" s="6" t="s">
        <v>36</v>
      </c>
      <c r="K190" s="4"/>
    </row>
    <row r="191" spans="1:11">
      <c r="A191" s="4"/>
      <c r="B191" s="5" t="s">
        <v>101</v>
      </c>
      <c r="C191" s="4"/>
      <c r="D191" s="4"/>
      <c r="E191" s="21" t="s">
        <v>36</v>
      </c>
      <c r="F191" s="21"/>
      <c r="G191" s="21" t="s">
        <v>36</v>
      </c>
      <c r="H191" s="4"/>
      <c r="I191" s="21" t="s">
        <v>36</v>
      </c>
      <c r="J191" s="6" t="s">
        <v>36</v>
      </c>
      <c r="K191" s="4"/>
    </row>
    <row r="192" spans="1:11">
      <c r="A192" s="4">
        <v>11.1</v>
      </c>
      <c r="B192" s="4" t="s">
        <v>98</v>
      </c>
      <c r="C192" s="4">
        <v>1</v>
      </c>
      <c r="D192" s="4">
        <v>2.75</v>
      </c>
      <c r="E192" s="21">
        <f t="shared" si="4"/>
        <v>0.83841463414634154</v>
      </c>
      <c r="F192" s="21">
        <v>1</v>
      </c>
      <c r="G192" s="21">
        <v>1</v>
      </c>
      <c r="H192" s="4">
        <v>1</v>
      </c>
      <c r="I192" s="22">
        <f>+H192*G192*E192*C192</f>
        <v>0.83841463414634154</v>
      </c>
      <c r="J192" s="23">
        <v>1</v>
      </c>
      <c r="K192" s="24" t="s">
        <v>14</v>
      </c>
    </row>
    <row r="193" spans="1:11">
      <c r="A193" s="4">
        <v>11.2</v>
      </c>
      <c r="B193" s="4" t="s">
        <v>138</v>
      </c>
      <c r="C193" s="4">
        <v>1</v>
      </c>
      <c r="D193" s="4">
        <v>4.83</v>
      </c>
      <c r="E193" s="33">
        <v>1.3</v>
      </c>
      <c r="F193" s="21">
        <v>1</v>
      </c>
      <c r="G193" s="21">
        <v>1</v>
      </c>
      <c r="H193" s="4">
        <v>1</v>
      </c>
      <c r="I193" s="22">
        <f t="shared" si="5"/>
        <v>1.3</v>
      </c>
      <c r="J193" s="23">
        <v>1</v>
      </c>
      <c r="K193" s="24" t="s">
        <v>14</v>
      </c>
    </row>
    <row r="194" spans="1:11">
      <c r="A194" s="4"/>
      <c r="B194" s="4"/>
      <c r="C194" s="4"/>
      <c r="D194" s="4"/>
      <c r="E194" s="21" t="s">
        <v>36</v>
      </c>
      <c r="F194" s="21"/>
      <c r="G194" s="21"/>
      <c r="H194" s="4" t="s">
        <v>36</v>
      </c>
      <c r="I194" s="21" t="s">
        <v>36</v>
      </c>
      <c r="J194" s="6" t="s">
        <v>36</v>
      </c>
      <c r="K194" s="4"/>
    </row>
    <row r="195" spans="1:11">
      <c r="A195" s="4">
        <v>12</v>
      </c>
      <c r="B195" s="27" t="s">
        <v>149</v>
      </c>
      <c r="C195" s="4"/>
      <c r="D195" s="4"/>
      <c r="E195" s="21" t="s">
        <v>36</v>
      </c>
      <c r="F195" s="21"/>
      <c r="G195" s="21" t="s">
        <v>36</v>
      </c>
      <c r="H195" s="4"/>
      <c r="I195" s="21" t="s">
        <v>36</v>
      </c>
      <c r="J195" s="6" t="s">
        <v>36</v>
      </c>
      <c r="K195" s="4"/>
    </row>
    <row r="196" spans="1:11">
      <c r="A196" s="4">
        <v>12.1</v>
      </c>
      <c r="B196" s="4" t="s">
        <v>63</v>
      </c>
      <c r="C196" s="4">
        <v>1</v>
      </c>
      <c r="D196" s="4">
        <v>21</v>
      </c>
      <c r="E196" s="21">
        <f t="shared" si="4"/>
        <v>6.4024390243902447</v>
      </c>
      <c r="F196" s="21">
        <v>6.66</v>
      </c>
      <c r="G196" s="33">
        <v>2.02</v>
      </c>
      <c r="H196" s="4">
        <v>1</v>
      </c>
      <c r="I196" s="22">
        <f t="shared" si="5"/>
        <v>12.932926829268295</v>
      </c>
      <c r="J196" s="23">
        <v>1</v>
      </c>
      <c r="K196" s="24" t="s">
        <v>91</v>
      </c>
    </row>
    <row r="197" spans="1:11">
      <c r="A197" s="4">
        <v>12.2</v>
      </c>
      <c r="B197" s="4" t="s">
        <v>13</v>
      </c>
      <c r="C197" s="4">
        <v>1</v>
      </c>
      <c r="D197" s="4">
        <v>47</v>
      </c>
      <c r="E197" s="21">
        <f t="shared" si="4"/>
        <v>14.329268292682928</v>
      </c>
      <c r="F197" s="21">
        <v>1</v>
      </c>
      <c r="G197" s="21">
        <v>1</v>
      </c>
      <c r="H197" s="4">
        <v>1</v>
      </c>
      <c r="I197" s="22">
        <f t="shared" si="5"/>
        <v>14.329268292682928</v>
      </c>
      <c r="J197" s="23">
        <v>1</v>
      </c>
      <c r="K197" s="24" t="s">
        <v>14</v>
      </c>
    </row>
    <row r="198" spans="1:11">
      <c r="A198" s="4"/>
      <c r="B198" s="4"/>
      <c r="C198" s="4"/>
      <c r="D198" s="4"/>
      <c r="E198" s="21" t="s">
        <v>36</v>
      </c>
      <c r="F198" s="21"/>
      <c r="G198" s="21" t="s">
        <v>36</v>
      </c>
      <c r="H198" s="4"/>
      <c r="I198" s="21" t="s">
        <v>36</v>
      </c>
      <c r="J198" s="6" t="s">
        <v>36</v>
      </c>
      <c r="K198" s="4"/>
    </row>
    <row r="199" spans="1:11">
      <c r="A199" s="4">
        <v>13</v>
      </c>
      <c r="B199" s="27" t="s">
        <v>150</v>
      </c>
      <c r="C199" s="4"/>
      <c r="D199" s="4"/>
      <c r="E199" s="21" t="s">
        <v>36</v>
      </c>
      <c r="F199" s="21"/>
      <c r="G199" s="21" t="s">
        <v>36</v>
      </c>
      <c r="H199" s="4"/>
      <c r="I199" s="21" t="s">
        <v>36</v>
      </c>
      <c r="J199" s="6" t="s">
        <v>36</v>
      </c>
      <c r="K199" s="4"/>
    </row>
    <row r="200" spans="1:11">
      <c r="A200" s="4">
        <v>13.1</v>
      </c>
      <c r="B200" s="4" t="s">
        <v>63</v>
      </c>
      <c r="C200" s="4">
        <v>1</v>
      </c>
      <c r="D200" s="4">
        <v>14.5</v>
      </c>
      <c r="E200" s="21">
        <f t="shared" si="4"/>
        <v>4.4207317073170733</v>
      </c>
      <c r="F200" s="21">
        <v>13.33</v>
      </c>
      <c r="G200" s="21">
        <f t="shared" si="6"/>
        <v>4.0640243902439028</v>
      </c>
      <c r="H200" s="4">
        <v>1</v>
      </c>
      <c r="I200" s="22">
        <f t="shared" si="5"/>
        <v>17.965961481261157</v>
      </c>
      <c r="J200" s="23">
        <v>1</v>
      </c>
      <c r="K200" s="24" t="s">
        <v>91</v>
      </c>
    </row>
    <row r="201" spans="1:11">
      <c r="A201" s="4">
        <v>13.2</v>
      </c>
      <c r="B201" s="4" t="s">
        <v>13</v>
      </c>
      <c r="C201" s="4">
        <v>1</v>
      </c>
      <c r="D201" s="4">
        <v>46.66</v>
      </c>
      <c r="E201" s="33">
        <v>14</v>
      </c>
      <c r="F201" s="21">
        <v>1</v>
      </c>
      <c r="G201" s="21">
        <v>1</v>
      </c>
      <c r="H201" s="4">
        <v>1</v>
      </c>
      <c r="I201" s="22">
        <f t="shared" si="5"/>
        <v>14</v>
      </c>
      <c r="J201" s="23">
        <v>1</v>
      </c>
      <c r="K201" s="24" t="s">
        <v>14</v>
      </c>
    </row>
    <row r="202" spans="1:11">
      <c r="A202" s="4"/>
      <c r="B202" s="4"/>
      <c r="C202" s="4"/>
      <c r="D202" s="4"/>
      <c r="E202" s="21" t="s">
        <v>36</v>
      </c>
      <c r="F202" s="21"/>
      <c r="G202" s="21" t="s">
        <v>36</v>
      </c>
      <c r="H202" s="4"/>
      <c r="I202" s="21" t="s">
        <v>36</v>
      </c>
      <c r="J202" s="6" t="s">
        <v>36</v>
      </c>
      <c r="K202" s="4"/>
    </row>
    <row r="203" spans="1:11">
      <c r="A203" s="4">
        <v>14</v>
      </c>
      <c r="B203" s="27" t="s">
        <v>151</v>
      </c>
      <c r="C203" s="4"/>
      <c r="D203" s="4"/>
      <c r="E203" s="21" t="s">
        <v>36</v>
      </c>
      <c r="F203" s="21"/>
      <c r="G203" s="21" t="s">
        <v>36</v>
      </c>
      <c r="H203" s="4"/>
      <c r="I203" s="21" t="s">
        <v>36</v>
      </c>
      <c r="J203" s="6" t="s">
        <v>36</v>
      </c>
      <c r="K203" s="4"/>
    </row>
    <row r="204" spans="1:11">
      <c r="A204" s="4">
        <v>14.1</v>
      </c>
      <c r="B204" s="4" t="s">
        <v>94</v>
      </c>
      <c r="C204" s="4">
        <v>1</v>
      </c>
      <c r="D204" s="4">
        <v>8</v>
      </c>
      <c r="E204" s="21">
        <f t="shared" ref="E204:E226" si="7">+D204/3.28</f>
        <v>2.4390243902439024</v>
      </c>
      <c r="F204" s="21">
        <v>1</v>
      </c>
      <c r="G204" s="21">
        <v>1</v>
      </c>
      <c r="H204" s="4">
        <v>1</v>
      </c>
      <c r="I204" s="21">
        <f t="shared" ref="I204:I230" si="8">+H204*G204*E204*C204</f>
        <v>2.4390243902439024</v>
      </c>
      <c r="J204" s="6">
        <v>1</v>
      </c>
      <c r="K204" s="4" t="s">
        <v>14</v>
      </c>
    </row>
    <row r="205" spans="1:11">
      <c r="A205" s="4"/>
      <c r="B205" s="4"/>
      <c r="C205" s="4">
        <v>1</v>
      </c>
      <c r="D205" s="4">
        <v>1.83</v>
      </c>
      <c r="E205" s="21">
        <f t="shared" si="7"/>
        <v>0.55792682926829273</v>
      </c>
      <c r="F205" s="21">
        <v>3.83</v>
      </c>
      <c r="G205" s="21">
        <f t="shared" ref="G205:G226" si="9">+F205/3.28</f>
        <v>1.1676829268292683</v>
      </c>
      <c r="H205" s="4">
        <v>1</v>
      </c>
      <c r="I205" s="21">
        <f>+H205*G205*C205</f>
        <v>1.1676829268292683</v>
      </c>
      <c r="J205" s="6">
        <v>1</v>
      </c>
      <c r="K205" s="4" t="s">
        <v>14</v>
      </c>
    </row>
    <row r="206" spans="1:11">
      <c r="A206" s="4"/>
      <c r="B206" s="4"/>
      <c r="C206" s="4"/>
      <c r="D206" s="4"/>
      <c r="E206" s="21"/>
      <c r="F206" s="21"/>
      <c r="G206" s="21"/>
      <c r="H206" s="4"/>
      <c r="I206" s="28">
        <f>SUM(I204:I205)</f>
        <v>3.6067073170731705</v>
      </c>
      <c r="J206" s="10">
        <v>1</v>
      </c>
      <c r="K206" s="5" t="s">
        <v>14</v>
      </c>
    </row>
    <row r="207" spans="1:11">
      <c r="A207" s="4"/>
      <c r="B207" s="5" t="s">
        <v>97</v>
      </c>
      <c r="C207" s="4"/>
      <c r="D207" s="4"/>
      <c r="E207" s="21" t="s">
        <v>36</v>
      </c>
      <c r="F207" s="21"/>
      <c r="G207" s="21" t="s">
        <v>36</v>
      </c>
      <c r="H207" s="4"/>
      <c r="I207" s="21" t="s">
        <v>36</v>
      </c>
      <c r="J207" s="6" t="s">
        <v>36</v>
      </c>
      <c r="K207" s="4"/>
    </row>
    <row r="208" spans="1:11">
      <c r="A208" s="4">
        <v>14.2</v>
      </c>
      <c r="B208" s="4" t="s">
        <v>98</v>
      </c>
      <c r="C208" s="4">
        <v>1</v>
      </c>
      <c r="D208" s="4">
        <v>3.08</v>
      </c>
      <c r="E208" s="21">
        <f t="shared" si="7"/>
        <v>0.9390243902439025</v>
      </c>
      <c r="F208" s="21">
        <v>2</v>
      </c>
      <c r="G208" s="21">
        <f t="shared" si="9"/>
        <v>0.6097560975609756</v>
      </c>
      <c r="H208" s="4">
        <v>1</v>
      </c>
      <c r="I208" s="22">
        <f>+H208*E208*C208</f>
        <v>0.9390243902439025</v>
      </c>
      <c r="J208" s="6">
        <v>1</v>
      </c>
      <c r="K208" s="4" t="s">
        <v>14</v>
      </c>
    </row>
    <row r="209" spans="1:11">
      <c r="A209" s="4">
        <v>14.3</v>
      </c>
      <c r="B209" s="4" t="s">
        <v>99</v>
      </c>
      <c r="C209" s="4">
        <v>2</v>
      </c>
      <c r="D209" s="4">
        <v>2.58</v>
      </c>
      <c r="E209" s="21">
        <f t="shared" si="7"/>
        <v>0.78658536585365857</v>
      </c>
      <c r="F209" s="21">
        <v>2</v>
      </c>
      <c r="G209" s="21">
        <f t="shared" si="9"/>
        <v>0.6097560975609756</v>
      </c>
      <c r="H209" s="4">
        <v>1</v>
      </c>
      <c r="I209" s="22">
        <f t="shared" si="8"/>
        <v>0.95925044616299826</v>
      </c>
      <c r="J209" s="6">
        <v>1</v>
      </c>
      <c r="K209" s="4" t="s">
        <v>91</v>
      </c>
    </row>
    <row r="210" spans="1:11">
      <c r="A210" s="4">
        <v>14.4</v>
      </c>
      <c r="B210" s="4" t="s">
        <v>100</v>
      </c>
      <c r="C210" s="4">
        <v>1</v>
      </c>
      <c r="D210" s="4">
        <v>5.58</v>
      </c>
      <c r="E210" s="21">
        <f t="shared" si="7"/>
        <v>1.7012195121951221</v>
      </c>
      <c r="F210" s="21">
        <v>1</v>
      </c>
      <c r="G210" s="21">
        <v>1</v>
      </c>
      <c r="H210" s="4">
        <v>1</v>
      </c>
      <c r="I210" s="22">
        <f t="shared" si="8"/>
        <v>1.7012195121951221</v>
      </c>
      <c r="J210" s="6">
        <v>1</v>
      </c>
      <c r="K210" s="4" t="s">
        <v>14</v>
      </c>
    </row>
    <row r="211" spans="1:11">
      <c r="A211" s="4">
        <v>14.5</v>
      </c>
      <c r="B211" s="4" t="s">
        <v>95</v>
      </c>
      <c r="C211" s="4">
        <v>1</v>
      </c>
      <c r="D211" s="4">
        <v>15.16</v>
      </c>
      <c r="E211" s="21">
        <f t="shared" si="7"/>
        <v>4.6219512195121952</v>
      </c>
      <c r="F211" s="21">
        <v>1</v>
      </c>
      <c r="G211" s="21">
        <v>1</v>
      </c>
      <c r="H211" s="4">
        <v>1</v>
      </c>
      <c r="I211" s="22">
        <f t="shared" si="8"/>
        <v>4.6219512195121952</v>
      </c>
      <c r="J211" s="6">
        <v>1</v>
      </c>
      <c r="K211" s="4" t="s">
        <v>14</v>
      </c>
    </row>
    <row r="212" spans="1:11">
      <c r="A212" s="4"/>
      <c r="B212" s="4"/>
      <c r="C212" s="4"/>
      <c r="D212" s="4"/>
      <c r="E212" s="21"/>
      <c r="F212" s="21"/>
      <c r="G212" s="21" t="s">
        <v>36</v>
      </c>
      <c r="H212" s="4"/>
      <c r="I212" s="21" t="s">
        <v>36</v>
      </c>
      <c r="J212" s="6" t="s">
        <v>36</v>
      </c>
      <c r="K212" s="4"/>
    </row>
    <row r="213" spans="1:11">
      <c r="A213" s="4"/>
      <c r="B213" s="4"/>
      <c r="C213" s="4"/>
      <c r="D213" s="4"/>
      <c r="E213" s="21" t="s">
        <v>36</v>
      </c>
      <c r="F213" s="21"/>
      <c r="G213" s="21" t="s">
        <v>36</v>
      </c>
      <c r="H213" s="4"/>
      <c r="I213" s="21" t="s">
        <v>36</v>
      </c>
      <c r="J213" s="6" t="s">
        <v>36</v>
      </c>
      <c r="K213" s="4"/>
    </row>
    <row r="214" spans="1:11">
      <c r="A214" s="4">
        <v>15</v>
      </c>
      <c r="B214" s="27" t="s">
        <v>152</v>
      </c>
      <c r="C214" s="4"/>
      <c r="D214" s="4"/>
      <c r="E214" s="21" t="s">
        <v>36</v>
      </c>
      <c r="F214" s="21"/>
      <c r="G214" s="21" t="s">
        <v>36</v>
      </c>
      <c r="H214" s="4"/>
      <c r="I214" s="21" t="s">
        <v>36</v>
      </c>
      <c r="J214" s="6" t="s">
        <v>36</v>
      </c>
      <c r="K214" s="4"/>
    </row>
    <row r="215" spans="1:11">
      <c r="A215" s="4">
        <v>15.1</v>
      </c>
      <c r="B215" s="4" t="s">
        <v>63</v>
      </c>
      <c r="C215" s="4">
        <v>1</v>
      </c>
      <c r="D215" s="4">
        <v>10.16</v>
      </c>
      <c r="E215" s="21">
        <f t="shared" si="7"/>
        <v>3.0975609756097562</v>
      </c>
      <c r="F215" s="21">
        <v>5.25</v>
      </c>
      <c r="G215" s="21">
        <f t="shared" si="9"/>
        <v>1.6006097560975612</v>
      </c>
      <c r="H215" s="4">
        <v>1</v>
      </c>
      <c r="I215" s="22">
        <f t="shared" si="8"/>
        <v>4.9579863176680554</v>
      </c>
      <c r="J215" s="23">
        <v>1</v>
      </c>
      <c r="K215" s="24" t="s">
        <v>91</v>
      </c>
    </row>
    <row r="216" spans="1:11">
      <c r="A216" s="4">
        <v>15.2</v>
      </c>
      <c r="B216" s="4" t="s">
        <v>13</v>
      </c>
      <c r="C216" s="4">
        <v>1</v>
      </c>
      <c r="D216" s="4">
        <v>30</v>
      </c>
      <c r="E216" s="21">
        <f t="shared" si="7"/>
        <v>9.1463414634146343</v>
      </c>
      <c r="F216" s="21">
        <v>1</v>
      </c>
      <c r="G216" s="21">
        <v>1</v>
      </c>
      <c r="H216" s="4">
        <v>1</v>
      </c>
      <c r="I216" s="22">
        <f t="shared" si="8"/>
        <v>9.1463414634146343</v>
      </c>
      <c r="J216" s="23">
        <v>1</v>
      </c>
      <c r="K216" s="24" t="s">
        <v>14</v>
      </c>
    </row>
    <row r="217" spans="1:11">
      <c r="A217" s="4"/>
      <c r="B217" s="4"/>
      <c r="C217" s="4"/>
      <c r="D217" s="4"/>
      <c r="E217" s="21" t="s">
        <v>36</v>
      </c>
      <c r="F217" s="21"/>
      <c r="G217" s="21" t="s">
        <v>36</v>
      </c>
      <c r="H217" s="4"/>
      <c r="I217" s="21" t="s">
        <v>36</v>
      </c>
      <c r="J217" s="6" t="s">
        <v>36</v>
      </c>
      <c r="K217" s="4"/>
    </row>
    <row r="218" spans="1:11">
      <c r="A218" s="4">
        <v>16</v>
      </c>
      <c r="B218" s="27" t="s">
        <v>171</v>
      </c>
      <c r="C218" s="4"/>
      <c r="D218" s="4"/>
      <c r="E218" s="21" t="s">
        <v>36</v>
      </c>
      <c r="F218" s="21"/>
      <c r="G218" s="21" t="s">
        <v>36</v>
      </c>
      <c r="H218" s="4"/>
      <c r="I218" s="21" t="s">
        <v>36</v>
      </c>
      <c r="J218" s="6" t="s">
        <v>36</v>
      </c>
      <c r="K218" s="4"/>
    </row>
    <row r="219" spans="1:11">
      <c r="A219" s="4">
        <v>16.100000000000001</v>
      </c>
      <c r="B219" s="4" t="s">
        <v>63</v>
      </c>
      <c r="C219" s="4">
        <v>1</v>
      </c>
      <c r="D219" s="4"/>
      <c r="E219" s="33">
        <v>0.75</v>
      </c>
      <c r="F219" s="33"/>
      <c r="G219" s="33">
        <v>0.15</v>
      </c>
      <c r="H219" s="4">
        <v>1</v>
      </c>
      <c r="I219" s="21">
        <f>H219*G219*E219*C219</f>
        <v>0.11249999999999999</v>
      </c>
      <c r="J219" s="6">
        <v>1</v>
      </c>
      <c r="K219" s="4" t="s">
        <v>91</v>
      </c>
    </row>
    <row r="220" spans="1:11">
      <c r="B220" s="4" t="s">
        <v>63</v>
      </c>
      <c r="C220" s="4">
        <v>1</v>
      </c>
      <c r="D220" s="4">
        <v>15</v>
      </c>
      <c r="E220" s="33">
        <v>4.43</v>
      </c>
      <c r="F220" s="21">
        <v>8</v>
      </c>
      <c r="G220" s="21">
        <f t="shared" si="9"/>
        <v>2.4390243902439024</v>
      </c>
      <c r="H220" s="4">
        <v>1</v>
      </c>
      <c r="I220" s="21">
        <f t="shared" si="8"/>
        <v>10.804878048780488</v>
      </c>
      <c r="J220" s="6">
        <v>1</v>
      </c>
      <c r="K220" s="4" t="s">
        <v>91</v>
      </c>
    </row>
    <row r="221" spans="1:11">
      <c r="B221" s="4"/>
      <c r="C221" s="4"/>
      <c r="D221" s="4"/>
      <c r="E221" s="50"/>
      <c r="F221" s="21"/>
      <c r="G221" s="21"/>
      <c r="H221" s="4"/>
      <c r="I221" s="22">
        <f>SUM(I219:I220)</f>
        <v>10.917378048780488</v>
      </c>
      <c r="J221" s="23">
        <v>1</v>
      </c>
      <c r="K221" s="24" t="s">
        <v>91</v>
      </c>
    </row>
    <row r="222" spans="1:11">
      <c r="A222" s="4">
        <v>16.2</v>
      </c>
      <c r="B222" s="4" t="s">
        <v>13</v>
      </c>
      <c r="C222" s="4">
        <v>1</v>
      </c>
      <c r="D222" s="4">
        <v>33</v>
      </c>
      <c r="E222" s="21">
        <f t="shared" si="7"/>
        <v>10.060975609756099</v>
      </c>
      <c r="F222" s="21">
        <v>1</v>
      </c>
      <c r="G222" s="21">
        <v>1</v>
      </c>
      <c r="H222" s="4">
        <v>1</v>
      </c>
      <c r="I222" s="22">
        <f t="shared" si="8"/>
        <v>10.060975609756099</v>
      </c>
      <c r="J222" s="23">
        <v>1</v>
      </c>
      <c r="K222" s="24" t="s">
        <v>14</v>
      </c>
    </row>
    <row r="223" spans="1:11">
      <c r="A223" s="4"/>
      <c r="B223" s="4"/>
      <c r="C223" s="4"/>
      <c r="D223" s="4"/>
      <c r="E223" s="21" t="s">
        <v>153</v>
      </c>
      <c r="F223" s="21"/>
      <c r="G223" s="21" t="s">
        <v>36</v>
      </c>
      <c r="H223" s="4"/>
      <c r="I223" s="21" t="s">
        <v>36</v>
      </c>
      <c r="J223" s="6" t="s">
        <v>36</v>
      </c>
      <c r="K223" s="4"/>
    </row>
    <row r="224" spans="1:11">
      <c r="A224" s="4">
        <v>17</v>
      </c>
      <c r="B224" s="27" t="s">
        <v>154</v>
      </c>
      <c r="C224" s="4"/>
      <c r="D224" s="4"/>
      <c r="E224" s="21" t="s">
        <v>36</v>
      </c>
      <c r="F224" s="21"/>
      <c r="G224" s="21" t="s">
        <v>36</v>
      </c>
      <c r="H224" s="4"/>
      <c r="I224" s="21" t="s">
        <v>36</v>
      </c>
      <c r="J224" s="6" t="s">
        <v>36</v>
      </c>
      <c r="K224" s="4"/>
    </row>
    <row r="225" spans="1:14">
      <c r="A225" s="4">
        <v>17.100000000000001</v>
      </c>
      <c r="B225" s="4" t="s">
        <v>63</v>
      </c>
      <c r="C225" s="4">
        <v>1</v>
      </c>
      <c r="D225" s="4">
        <v>12</v>
      </c>
      <c r="E225" s="21">
        <f t="shared" si="7"/>
        <v>3.6585365853658538</v>
      </c>
      <c r="F225" s="21">
        <v>2.5</v>
      </c>
      <c r="G225" s="21">
        <f t="shared" si="9"/>
        <v>0.76219512195121952</v>
      </c>
      <c r="H225" s="4">
        <v>1</v>
      </c>
      <c r="I225" s="21">
        <f t="shared" si="8"/>
        <v>2.7885187388459252</v>
      </c>
      <c r="J225" s="6">
        <v>1</v>
      </c>
      <c r="K225" s="4" t="s">
        <v>91</v>
      </c>
    </row>
    <row r="226" spans="1:14">
      <c r="A226" s="4">
        <v>17.2</v>
      </c>
      <c r="B226" s="4" t="s">
        <v>63</v>
      </c>
      <c r="C226" s="4">
        <v>1</v>
      </c>
      <c r="D226" s="4">
        <v>8</v>
      </c>
      <c r="E226" s="21">
        <f t="shared" si="7"/>
        <v>2.4390243902439024</v>
      </c>
      <c r="F226" s="21">
        <v>7</v>
      </c>
      <c r="G226" s="21">
        <f t="shared" si="9"/>
        <v>2.1341463414634148</v>
      </c>
      <c r="H226" s="4">
        <v>1</v>
      </c>
      <c r="I226" s="21">
        <f t="shared" si="8"/>
        <v>5.2052349791790604</v>
      </c>
      <c r="J226" s="6">
        <v>1</v>
      </c>
      <c r="K226" s="4" t="s">
        <v>91</v>
      </c>
    </row>
    <row r="227" spans="1:14">
      <c r="A227" s="4"/>
      <c r="B227" s="4"/>
      <c r="C227" s="4"/>
      <c r="D227" s="4"/>
      <c r="E227" s="21"/>
      <c r="F227" s="21"/>
      <c r="G227" s="21"/>
      <c r="H227" s="4"/>
      <c r="I227" s="22">
        <f>SUM(I225:I226)</f>
        <v>7.9937537180249851</v>
      </c>
      <c r="J227" s="23">
        <v>1</v>
      </c>
      <c r="K227" s="24" t="s">
        <v>91</v>
      </c>
    </row>
    <row r="228" spans="1:14">
      <c r="A228" s="4">
        <v>17.3</v>
      </c>
      <c r="B228" s="4" t="s">
        <v>13</v>
      </c>
      <c r="C228" s="4">
        <v>1</v>
      </c>
      <c r="D228" s="4">
        <v>40</v>
      </c>
      <c r="E228" s="33">
        <v>10.9</v>
      </c>
      <c r="F228" s="21">
        <v>1</v>
      </c>
      <c r="G228" s="21">
        <v>1</v>
      </c>
      <c r="H228" s="4">
        <v>1</v>
      </c>
      <c r="I228" s="22">
        <f t="shared" si="8"/>
        <v>10.9</v>
      </c>
      <c r="J228" s="23">
        <v>1</v>
      </c>
      <c r="K228" s="24" t="s">
        <v>14</v>
      </c>
    </row>
    <row r="229" spans="1:1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4">
      <c r="A230" s="4">
        <v>18</v>
      </c>
      <c r="B230" s="27" t="s">
        <v>155</v>
      </c>
      <c r="C230" s="4">
        <v>1</v>
      </c>
      <c r="D230" s="4"/>
      <c r="E230" s="4">
        <f>25/3.28</f>
        <v>7.6219512195121952</v>
      </c>
      <c r="F230" s="4"/>
      <c r="G230" s="4">
        <v>1</v>
      </c>
      <c r="H230" s="4">
        <v>1</v>
      </c>
      <c r="I230" s="25">
        <f t="shared" si="8"/>
        <v>7.6219512195121952</v>
      </c>
      <c r="J230" s="26">
        <v>1</v>
      </c>
      <c r="K230" s="27" t="s">
        <v>14</v>
      </c>
    </row>
    <row r="231" spans="1:14" ht="37.799999999999997" hidden="1" customHeight="1">
      <c r="A231" s="221" t="s">
        <v>9</v>
      </c>
      <c r="B231" s="221"/>
      <c r="C231" s="221"/>
      <c r="D231" s="221"/>
      <c r="E231" s="221"/>
      <c r="F231" s="221"/>
      <c r="G231" s="221"/>
      <c r="H231" s="221"/>
      <c r="I231" s="221"/>
      <c r="J231" s="4"/>
      <c r="K231" s="4"/>
    </row>
    <row r="232" spans="1:14" ht="28.8" hidden="1" customHeight="1">
      <c r="A232" s="222" t="s">
        <v>10</v>
      </c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N232" s="9"/>
    </row>
    <row r="233" spans="1:14" ht="28.8" hidden="1" customHeight="1">
      <c r="A233" s="30"/>
      <c r="B233" s="223" t="s">
        <v>46</v>
      </c>
      <c r="C233" s="223"/>
      <c r="D233" s="223"/>
      <c r="E233" s="223"/>
      <c r="F233" s="223"/>
      <c r="G233" s="223"/>
      <c r="H233" s="223"/>
      <c r="I233" s="30"/>
      <c r="J233" s="30"/>
      <c r="K233" s="30"/>
    </row>
    <row r="234" spans="1:14" ht="35.4" hidden="1" customHeight="1">
      <c r="A234" s="4"/>
      <c r="B234" s="4"/>
      <c r="C234" s="4"/>
      <c r="D234" s="4"/>
      <c r="E234" s="4"/>
      <c r="F234" s="31"/>
      <c r="G234" s="31"/>
      <c r="H234" s="4"/>
      <c r="I234" s="4"/>
      <c r="J234" s="4"/>
      <c r="K234" s="5"/>
    </row>
    <row r="235" spans="1:14" s="9" customFormat="1" hidden="1">
      <c r="A235" s="5" t="s">
        <v>83</v>
      </c>
      <c r="B235" s="5" t="s">
        <v>1</v>
      </c>
      <c r="C235" s="5" t="s">
        <v>5</v>
      </c>
      <c r="D235" s="5" t="s">
        <v>84</v>
      </c>
      <c r="E235" s="5" t="s">
        <v>85</v>
      </c>
      <c r="F235" s="5" t="s">
        <v>86</v>
      </c>
      <c r="G235" s="19" t="s">
        <v>87</v>
      </c>
      <c r="H235" s="5" t="s">
        <v>88</v>
      </c>
      <c r="I235" s="5" t="s">
        <v>6</v>
      </c>
      <c r="J235" s="5" t="s">
        <v>7</v>
      </c>
      <c r="K235" s="5" t="s">
        <v>89</v>
      </c>
    </row>
    <row r="236" spans="1:14" hidden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4" hidden="1">
      <c r="A237" s="4"/>
      <c r="B237" s="5" t="s">
        <v>156</v>
      </c>
      <c r="C237" s="4"/>
      <c r="D237" s="4"/>
      <c r="E237" s="4"/>
      <c r="F237" s="4"/>
      <c r="G237" s="4"/>
      <c r="H237" s="4"/>
      <c r="I237" s="4"/>
      <c r="J237" s="4"/>
      <c r="K237" s="4"/>
    </row>
    <row r="238" spans="1:14" hidden="1">
      <c r="A238" s="4"/>
      <c r="B238" s="4" t="s">
        <v>63</v>
      </c>
      <c r="C238" s="4">
        <v>1</v>
      </c>
      <c r="D238" s="4">
        <v>21</v>
      </c>
      <c r="E238" s="21">
        <f>+D238/3.28</f>
        <v>6.4024390243902447</v>
      </c>
      <c r="F238" s="21">
        <v>13.33</v>
      </c>
      <c r="G238" s="21">
        <f>+F238/3.28</f>
        <v>4.0640243902439028</v>
      </c>
      <c r="H238" s="21">
        <v>1</v>
      </c>
      <c r="I238" s="21">
        <f>+H238*G238*E238*C238</f>
        <v>26.019668352171333</v>
      </c>
      <c r="J238" s="6">
        <v>1</v>
      </c>
      <c r="K238" s="4" t="s">
        <v>91</v>
      </c>
    </row>
    <row r="239" spans="1:14" hidden="1">
      <c r="A239" s="4"/>
      <c r="B239" s="4" t="s">
        <v>92</v>
      </c>
      <c r="C239" s="4">
        <v>1</v>
      </c>
      <c r="D239" s="4">
        <v>53</v>
      </c>
      <c r="E239" s="21">
        <f t="shared" ref="E239:E267" si="10">+D239/3.28</f>
        <v>16.158536585365855</v>
      </c>
      <c r="F239" s="21">
        <v>1</v>
      </c>
      <c r="G239" s="21">
        <v>1</v>
      </c>
      <c r="H239" s="21">
        <v>1</v>
      </c>
      <c r="I239" s="21">
        <f t="shared" ref="I239:I268" si="11">+H239*G239*E239*C239</f>
        <v>16.158536585365855</v>
      </c>
      <c r="J239" s="6">
        <v>1</v>
      </c>
      <c r="K239" s="4" t="s">
        <v>14</v>
      </c>
    </row>
    <row r="240" spans="1:14" hidden="1">
      <c r="A240" s="4"/>
      <c r="B240" s="5"/>
      <c r="C240" s="4"/>
      <c r="D240" s="4"/>
      <c r="E240" s="21" t="s">
        <v>36</v>
      </c>
      <c r="F240" s="21" t="s">
        <v>36</v>
      </c>
      <c r="G240" s="21" t="s">
        <v>36</v>
      </c>
      <c r="H240" s="21" t="s">
        <v>36</v>
      </c>
      <c r="I240" s="21" t="s">
        <v>36</v>
      </c>
      <c r="J240" s="6" t="s">
        <v>36</v>
      </c>
      <c r="K240" s="4"/>
    </row>
    <row r="241" spans="1:11" hidden="1">
      <c r="A241" s="4"/>
      <c r="B241" s="5" t="s">
        <v>93</v>
      </c>
      <c r="C241" s="4"/>
      <c r="D241" s="4"/>
      <c r="E241" s="21" t="s">
        <v>36</v>
      </c>
      <c r="F241" s="21" t="s">
        <v>36</v>
      </c>
      <c r="G241" s="21" t="s">
        <v>36</v>
      </c>
      <c r="H241" s="21"/>
      <c r="I241" s="21" t="s">
        <v>36</v>
      </c>
      <c r="J241" s="6" t="s">
        <v>36</v>
      </c>
      <c r="K241" s="4"/>
    </row>
    <row r="242" spans="1:11" hidden="1">
      <c r="A242" s="4"/>
      <c r="B242" s="32" t="s">
        <v>36</v>
      </c>
      <c r="C242" s="4">
        <v>1</v>
      </c>
      <c r="D242" s="4">
        <v>2</v>
      </c>
      <c r="E242" s="21">
        <f t="shared" si="10"/>
        <v>0.6097560975609756</v>
      </c>
      <c r="F242" s="21">
        <v>7</v>
      </c>
      <c r="G242" s="21">
        <f t="shared" ref="G242:G267" si="12">+F242/3.28</f>
        <v>2.1341463414634148</v>
      </c>
      <c r="H242" s="21">
        <v>1</v>
      </c>
      <c r="I242" s="21">
        <f t="shared" si="11"/>
        <v>1.3013087447947651</v>
      </c>
      <c r="J242" s="6">
        <v>1</v>
      </c>
      <c r="K242" s="4" t="s">
        <v>91</v>
      </c>
    </row>
    <row r="243" spans="1:11" hidden="1">
      <c r="A243" s="4"/>
      <c r="B243" s="4" t="s">
        <v>94</v>
      </c>
      <c r="C243" s="4">
        <v>1</v>
      </c>
      <c r="D243" s="4">
        <v>4</v>
      </c>
      <c r="E243" s="21">
        <f t="shared" si="10"/>
        <v>1.2195121951219512</v>
      </c>
      <c r="F243" s="21">
        <v>0.57999999999999996</v>
      </c>
      <c r="G243" s="21">
        <f t="shared" si="12"/>
        <v>0.17682926829268292</v>
      </c>
      <c r="H243" s="21">
        <v>1</v>
      </c>
      <c r="I243" s="21">
        <f t="shared" si="11"/>
        <v>0.21564544913741818</v>
      </c>
      <c r="J243" s="6">
        <v>1</v>
      </c>
      <c r="K243" s="4" t="s">
        <v>91</v>
      </c>
    </row>
    <row r="244" spans="1:11" hidden="1">
      <c r="A244" s="4"/>
      <c r="B244" s="4" t="s">
        <v>94</v>
      </c>
      <c r="C244" s="4">
        <v>1</v>
      </c>
      <c r="D244" s="4">
        <v>2</v>
      </c>
      <c r="E244" s="21">
        <f t="shared" si="10"/>
        <v>0.6097560975609756</v>
      </c>
      <c r="F244" s="21">
        <v>3.25</v>
      </c>
      <c r="G244" s="21">
        <f t="shared" si="12"/>
        <v>0.99085365853658547</v>
      </c>
      <c r="H244" s="21">
        <v>1</v>
      </c>
      <c r="I244" s="21">
        <f t="shared" si="11"/>
        <v>0.60417906008328381</v>
      </c>
      <c r="J244" s="6">
        <v>1</v>
      </c>
      <c r="K244" s="4" t="s">
        <v>91</v>
      </c>
    </row>
    <row r="245" spans="1:11" hidden="1">
      <c r="A245" s="4"/>
      <c r="B245" s="4" t="s">
        <v>95</v>
      </c>
      <c r="C245" s="4">
        <v>1</v>
      </c>
      <c r="D245" s="4">
        <v>4</v>
      </c>
      <c r="E245" s="21">
        <f t="shared" si="10"/>
        <v>1.2195121951219512</v>
      </c>
      <c r="F245" s="21">
        <v>0.57999999999999996</v>
      </c>
      <c r="G245" s="21">
        <f t="shared" si="12"/>
        <v>0.17682926829268292</v>
      </c>
      <c r="H245" s="21">
        <v>1</v>
      </c>
      <c r="I245" s="21">
        <f t="shared" si="11"/>
        <v>0.21564544913741818</v>
      </c>
      <c r="J245" s="6">
        <v>1</v>
      </c>
      <c r="K245" s="4" t="s">
        <v>91</v>
      </c>
    </row>
    <row r="246" spans="1:11" hidden="1">
      <c r="A246" s="4"/>
      <c r="B246" s="4"/>
      <c r="C246" s="4">
        <v>1</v>
      </c>
      <c r="D246" s="4">
        <v>4</v>
      </c>
      <c r="E246" s="21">
        <f t="shared" si="10"/>
        <v>1.2195121951219512</v>
      </c>
      <c r="F246" s="21">
        <v>0.57999999999999996</v>
      </c>
      <c r="G246" s="21">
        <f t="shared" si="12"/>
        <v>0.17682926829268292</v>
      </c>
      <c r="H246" s="21">
        <v>1</v>
      </c>
      <c r="I246" s="21">
        <f t="shared" si="11"/>
        <v>0.21564544913741818</v>
      </c>
      <c r="J246" s="6">
        <v>1</v>
      </c>
      <c r="K246" s="4" t="s">
        <v>91</v>
      </c>
    </row>
    <row r="247" spans="1:11" hidden="1">
      <c r="A247" s="4"/>
      <c r="B247" s="5" t="s">
        <v>96</v>
      </c>
      <c r="C247" s="4"/>
      <c r="D247" s="4"/>
      <c r="E247" s="21" t="s">
        <v>36</v>
      </c>
      <c r="F247" s="21" t="s">
        <v>36</v>
      </c>
      <c r="G247" s="21" t="s">
        <v>36</v>
      </c>
      <c r="H247" s="21"/>
      <c r="I247" s="21" t="s">
        <v>36</v>
      </c>
      <c r="J247" s="6" t="s">
        <v>36</v>
      </c>
      <c r="K247" s="4"/>
    </row>
    <row r="248" spans="1:11" hidden="1">
      <c r="A248" s="4"/>
      <c r="B248" s="32" t="s">
        <v>157</v>
      </c>
      <c r="C248" s="4">
        <v>1</v>
      </c>
      <c r="D248" s="4">
        <v>2</v>
      </c>
      <c r="E248" s="21">
        <f t="shared" si="10"/>
        <v>0.6097560975609756</v>
      </c>
      <c r="F248" s="21">
        <v>2.41</v>
      </c>
      <c r="G248" s="21">
        <f t="shared" si="12"/>
        <v>0.73475609756097571</v>
      </c>
      <c r="H248" s="21">
        <v>1</v>
      </c>
      <c r="I248" s="21">
        <f t="shared" si="11"/>
        <v>0.44802201070791203</v>
      </c>
      <c r="J248" s="6">
        <v>1</v>
      </c>
      <c r="K248" s="4" t="s">
        <v>91</v>
      </c>
    </row>
    <row r="249" spans="1:11" hidden="1">
      <c r="A249" s="4"/>
      <c r="B249" s="32" t="s">
        <v>158</v>
      </c>
      <c r="C249" s="4">
        <v>1</v>
      </c>
      <c r="D249" s="4">
        <v>2</v>
      </c>
      <c r="E249" s="21">
        <f t="shared" si="10"/>
        <v>0.6097560975609756</v>
      </c>
      <c r="F249" s="21">
        <v>2.5</v>
      </c>
      <c r="G249" s="21">
        <f t="shared" si="12"/>
        <v>0.76219512195121952</v>
      </c>
      <c r="H249" s="21">
        <v>1</v>
      </c>
      <c r="I249" s="21">
        <f t="shared" si="11"/>
        <v>0.46475312314098749</v>
      </c>
      <c r="J249" s="6">
        <v>1</v>
      </c>
      <c r="K249" s="4" t="s">
        <v>91</v>
      </c>
    </row>
    <row r="250" spans="1:11" hidden="1">
      <c r="A250" s="4"/>
      <c r="B250" s="4" t="s">
        <v>94</v>
      </c>
      <c r="C250" s="4">
        <v>1</v>
      </c>
      <c r="D250" s="4">
        <v>2</v>
      </c>
      <c r="E250" s="21">
        <f t="shared" si="10"/>
        <v>0.6097560975609756</v>
      </c>
      <c r="F250" s="21">
        <v>2.41</v>
      </c>
      <c r="G250" s="21">
        <f t="shared" si="12"/>
        <v>0.73475609756097571</v>
      </c>
      <c r="H250" s="21">
        <v>1</v>
      </c>
      <c r="I250" s="21">
        <f t="shared" si="11"/>
        <v>0.44802201070791203</v>
      </c>
      <c r="J250" s="6">
        <v>1</v>
      </c>
      <c r="K250" s="4" t="s">
        <v>91</v>
      </c>
    </row>
    <row r="251" spans="1:11" hidden="1">
      <c r="A251" s="4"/>
      <c r="B251" s="4" t="s">
        <v>94</v>
      </c>
      <c r="C251" s="4">
        <v>1</v>
      </c>
      <c r="D251" s="4">
        <v>2</v>
      </c>
      <c r="E251" s="21">
        <f t="shared" si="10"/>
        <v>0.6097560975609756</v>
      </c>
      <c r="F251" s="21">
        <v>2.5</v>
      </c>
      <c r="G251" s="21">
        <f t="shared" si="12"/>
        <v>0.76219512195121952</v>
      </c>
      <c r="H251" s="21">
        <v>1</v>
      </c>
      <c r="I251" s="21">
        <f t="shared" si="11"/>
        <v>0.46475312314098749</v>
      </c>
      <c r="J251" s="6">
        <v>1</v>
      </c>
      <c r="K251" s="4" t="s">
        <v>91</v>
      </c>
    </row>
    <row r="252" spans="1:11" hidden="1">
      <c r="A252" s="4"/>
      <c r="B252" s="4" t="s">
        <v>95</v>
      </c>
      <c r="C252" s="4">
        <v>1</v>
      </c>
      <c r="D252" s="4">
        <v>2</v>
      </c>
      <c r="E252" s="21">
        <f t="shared" si="10"/>
        <v>0.6097560975609756</v>
      </c>
      <c r="F252" s="21">
        <v>2.41</v>
      </c>
      <c r="G252" s="21">
        <f t="shared" si="12"/>
        <v>0.73475609756097571</v>
      </c>
      <c r="H252" s="21">
        <v>1</v>
      </c>
      <c r="I252" s="21">
        <f t="shared" si="11"/>
        <v>0.44802201070791203</v>
      </c>
      <c r="J252" s="6">
        <v>1</v>
      </c>
      <c r="K252" s="4" t="s">
        <v>91</v>
      </c>
    </row>
    <row r="253" spans="1:11" hidden="1">
      <c r="A253" s="4"/>
      <c r="B253" s="4" t="s">
        <v>95</v>
      </c>
      <c r="C253" s="4">
        <v>1</v>
      </c>
      <c r="D253" s="4">
        <v>2</v>
      </c>
      <c r="E253" s="21">
        <f t="shared" si="10"/>
        <v>0.6097560975609756</v>
      </c>
      <c r="F253" s="21">
        <v>2.5</v>
      </c>
      <c r="G253" s="21">
        <f t="shared" si="12"/>
        <v>0.76219512195121952</v>
      </c>
      <c r="H253" s="21">
        <v>1</v>
      </c>
      <c r="I253" s="21">
        <f t="shared" si="11"/>
        <v>0.46475312314098749</v>
      </c>
      <c r="J253" s="6">
        <v>1</v>
      </c>
      <c r="K253" s="4" t="s">
        <v>91</v>
      </c>
    </row>
    <row r="254" spans="1:11" hidden="1">
      <c r="A254" s="4"/>
      <c r="B254" s="4"/>
      <c r="C254" s="4"/>
      <c r="D254" s="4"/>
      <c r="E254" s="21" t="s">
        <v>36</v>
      </c>
      <c r="F254" s="21"/>
      <c r="G254" s="21" t="s">
        <v>36</v>
      </c>
      <c r="H254" s="21"/>
      <c r="I254" s="21" t="s">
        <v>36</v>
      </c>
      <c r="J254" s="6" t="s">
        <v>36</v>
      </c>
      <c r="K254" s="4"/>
    </row>
    <row r="255" spans="1:11" hidden="1">
      <c r="A255" s="4"/>
      <c r="B255" s="5" t="s">
        <v>97</v>
      </c>
      <c r="C255" s="4"/>
      <c r="D255" s="4"/>
      <c r="E255" s="21" t="s">
        <v>36</v>
      </c>
      <c r="F255" s="21" t="s">
        <v>36</v>
      </c>
      <c r="G255" s="21" t="s">
        <v>36</v>
      </c>
      <c r="H255" s="21"/>
      <c r="I255" s="21" t="s">
        <v>36</v>
      </c>
      <c r="J255" s="6" t="s">
        <v>36</v>
      </c>
      <c r="K255" s="4"/>
    </row>
    <row r="256" spans="1:11" hidden="1">
      <c r="A256" s="4"/>
      <c r="B256" s="4" t="s">
        <v>98</v>
      </c>
      <c r="C256" s="4">
        <v>1</v>
      </c>
      <c r="D256" s="4">
        <v>5</v>
      </c>
      <c r="E256" s="21">
        <f t="shared" si="10"/>
        <v>1.524390243902439</v>
      </c>
      <c r="F256" s="21">
        <v>2</v>
      </c>
      <c r="G256" s="21">
        <f t="shared" si="12"/>
        <v>0.6097560975609756</v>
      </c>
      <c r="H256" s="21">
        <v>1</v>
      </c>
      <c r="I256" s="21">
        <f t="shared" si="11"/>
        <v>0.92950624628197498</v>
      </c>
      <c r="J256" s="6">
        <v>1</v>
      </c>
      <c r="K256" s="4" t="s">
        <v>91</v>
      </c>
    </row>
    <row r="257" spans="1:11" hidden="1">
      <c r="A257" s="4"/>
      <c r="B257" s="4" t="s">
        <v>99</v>
      </c>
      <c r="C257" s="4">
        <v>3</v>
      </c>
      <c r="D257" s="4">
        <v>2.08</v>
      </c>
      <c r="E257" s="21">
        <f t="shared" si="10"/>
        <v>0.63414634146341464</v>
      </c>
      <c r="F257" s="21">
        <v>2</v>
      </c>
      <c r="G257" s="21">
        <f t="shared" si="12"/>
        <v>0.6097560975609756</v>
      </c>
      <c r="H257" s="21">
        <v>1</v>
      </c>
      <c r="I257" s="21">
        <f t="shared" si="11"/>
        <v>1.1600237953599049</v>
      </c>
      <c r="J257" s="6">
        <v>1</v>
      </c>
      <c r="K257" s="4" t="s">
        <v>91</v>
      </c>
    </row>
    <row r="258" spans="1:11" hidden="1">
      <c r="A258" s="4"/>
      <c r="B258" s="4" t="s">
        <v>100</v>
      </c>
      <c r="C258" s="4">
        <v>1</v>
      </c>
      <c r="D258" s="4">
        <v>7.66</v>
      </c>
      <c r="E258" s="21">
        <f t="shared" si="10"/>
        <v>2.3353658536585367</v>
      </c>
      <c r="F258" s="21">
        <v>1</v>
      </c>
      <c r="G258" s="21">
        <v>1</v>
      </c>
      <c r="H258" s="21">
        <v>1</v>
      </c>
      <c r="I258" s="21">
        <f t="shared" si="11"/>
        <v>2.3353658536585367</v>
      </c>
      <c r="J258" s="6">
        <v>1</v>
      </c>
      <c r="K258" s="4" t="s">
        <v>14</v>
      </c>
    </row>
    <row r="259" spans="1:11" hidden="1">
      <c r="A259" s="4"/>
      <c r="B259" s="4"/>
      <c r="C259" s="4">
        <v>1</v>
      </c>
      <c r="D259" s="4">
        <v>17.329999999999998</v>
      </c>
      <c r="E259" s="21">
        <f t="shared" si="10"/>
        <v>5.2835365853658534</v>
      </c>
      <c r="F259" s="21">
        <v>1</v>
      </c>
      <c r="G259" s="21">
        <v>1</v>
      </c>
      <c r="H259" s="21">
        <v>1</v>
      </c>
      <c r="I259" s="21">
        <f t="shared" si="11"/>
        <v>5.2835365853658534</v>
      </c>
      <c r="J259" s="6">
        <v>1</v>
      </c>
      <c r="K259" s="4" t="s">
        <v>91</v>
      </c>
    </row>
    <row r="260" spans="1:11" hidden="1">
      <c r="A260" s="4"/>
      <c r="B260" s="5" t="s">
        <v>101</v>
      </c>
      <c r="C260" s="4"/>
      <c r="D260" s="4" t="s">
        <v>36</v>
      </c>
      <c r="E260" s="21" t="s">
        <v>36</v>
      </c>
      <c r="F260" s="21" t="s">
        <v>36</v>
      </c>
      <c r="G260" s="21" t="s">
        <v>36</v>
      </c>
      <c r="H260" s="21"/>
      <c r="I260" s="21" t="s">
        <v>36</v>
      </c>
      <c r="J260" s="6" t="s">
        <v>36</v>
      </c>
      <c r="K260" s="4"/>
    </row>
    <row r="261" spans="1:11" hidden="1">
      <c r="A261" s="4"/>
      <c r="B261" s="4" t="s">
        <v>98</v>
      </c>
      <c r="C261" s="4">
        <v>1</v>
      </c>
      <c r="D261" s="4">
        <v>1.25</v>
      </c>
      <c r="E261" s="21">
        <f t="shared" si="10"/>
        <v>0.38109756097560976</v>
      </c>
      <c r="F261" s="21">
        <v>3.25</v>
      </c>
      <c r="G261" s="21">
        <f t="shared" si="12"/>
        <v>0.99085365853658547</v>
      </c>
      <c r="H261" s="21">
        <v>1</v>
      </c>
      <c r="I261" s="21">
        <f t="shared" si="11"/>
        <v>0.3776119125520524</v>
      </c>
      <c r="J261" s="6">
        <v>1</v>
      </c>
      <c r="K261" s="4" t="s">
        <v>91</v>
      </c>
    </row>
    <row r="262" spans="1:11" hidden="1">
      <c r="A262" s="4"/>
      <c r="B262" s="4" t="s">
        <v>100</v>
      </c>
      <c r="C262" s="4">
        <v>1</v>
      </c>
      <c r="D262" s="4">
        <v>3.25</v>
      </c>
      <c r="E262" s="21">
        <f t="shared" si="10"/>
        <v>0.99085365853658547</v>
      </c>
      <c r="F262" s="21">
        <v>1</v>
      </c>
      <c r="G262" s="21">
        <v>1</v>
      </c>
      <c r="H262" s="21">
        <v>1</v>
      </c>
      <c r="I262" s="21">
        <f t="shared" si="11"/>
        <v>0.99085365853658547</v>
      </c>
      <c r="J262" s="6">
        <v>1</v>
      </c>
      <c r="K262" s="4" t="s">
        <v>14</v>
      </c>
    </row>
    <row r="263" spans="1:11" hidden="1">
      <c r="A263" s="4"/>
      <c r="B263" s="4" t="s">
        <v>95</v>
      </c>
      <c r="C263" s="4">
        <v>1</v>
      </c>
      <c r="D263" s="4">
        <v>3.25</v>
      </c>
      <c r="E263" s="21">
        <f t="shared" si="10"/>
        <v>0.99085365853658547</v>
      </c>
      <c r="F263" s="21">
        <v>1</v>
      </c>
      <c r="G263" s="21">
        <v>1</v>
      </c>
      <c r="H263" s="21">
        <v>1</v>
      </c>
      <c r="I263" s="21">
        <f t="shared" si="11"/>
        <v>0.99085365853658547</v>
      </c>
      <c r="J263" s="6">
        <v>1</v>
      </c>
      <c r="K263" s="4" t="s">
        <v>14</v>
      </c>
    </row>
    <row r="264" spans="1:11" hidden="1">
      <c r="A264" s="4"/>
      <c r="B264" s="4" t="s">
        <v>94</v>
      </c>
      <c r="C264" s="4">
        <v>1</v>
      </c>
      <c r="D264" s="4">
        <v>3.25</v>
      </c>
      <c r="E264" s="21">
        <f t="shared" si="10"/>
        <v>0.99085365853658547</v>
      </c>
      <c r="F264" s="21">
        <v>1</v>
      </c>
      <c r="G264" s="21">
        <v>1</v>
      </c>
      <c r="H264" s="21">
        <v>1</v>
      </c>
      <c r="I264" s="21">
        <f t="shared" si="11"/>
        <v>0.99085365853658547</v>
      </c>
      <c r="J264" s="6">
        <v>1</v>
      </c>
      <c r="K264" s="4" t="s">
        <v>14</v>
      </c>
    </row>
    <row r="265" spans="1:11" hidden="1">
      <c r="A265" s="4"/>
      <c r="B265" s="4"/>
      <c r="C265" s="4"/>
      <c r="D265" s="4" t="s">
        <v>36</v>
      </c>
      <c r="E265" s="21" t="s">
        <v>36</v>
      </c>
      <c r="F265" s="21" t="s">
        <v>36</v>
      </c>
      <c r="G265" s="21" t="s">
        <v>36</v>
      </c>
      <c r="H265" s="21"/>
      <c r="I265" s="21" t="s">
        <v>36</v>
      </c>
      <c r="J265" s="6" t="s">
        <v>36</v>
      </c>
      <c r="K265" s="4"/>
    </row>
    <row r="266" spans="1:11" hidden="1">
      <c r="A266" s="4"/>
      <c r="B266" s="5" t="s">
        <v>66</v>
      </c>
      <c r="C266" s="4"/>
      <c r="D266" s="4"/>
      <c r="E266" s="21" t="s">
        <v>36</v>
      </c>
      <c r="F266" s="21" t="s">
        <v>36</v>
      </c>
      <c r="G266" s="21" t="s">
        <v>36</v>
      </c>
      <c r="H266" s="21"/>
      <c r="I266" s="21" t="s">
        <v>36</v>
      </c>
      <c r="J266" s="6" t="s">
        <v>36</v>
      </c>
      <c r="K266" s="4"/>
    </row>
    <row r="267" spans="1:11" hidden="1">
      <c r="A267" s="4"/>
      <c r="B267" s="4" t="s">
        <v>63</v>
      </c>
      <c r="C267" s="4">
        <v>1</v>
      </c>
      <c r="D267" s="4">
        <v>6.25</v>
      </c>
      <c r="E267" s="21">
        <f t="shared" si="10"/>
        <v>1.9054878048780488</v>
      </c>
      <c r="F267" s="21">
        <v>8.25</v>
      </c>
      <c r="G267" s="21">
        <f t="shared" si="12"/>
        <v>2.5152439024390247</v>
      </c>
      <c r="H267" s="21">
        <v>1</v>
      </c>
      <c r="I267" s="21">
        <f t="shared" si="11"/>
        <v>4.792766582391434</v>
      </c>
      <c r="J267" s="6">
        <v>1</v>
      </c>
      <c r="K267" s="4" t="s">
        <v>91</v>
      </c>
    </row>
    <row r="268" spans="1:11" hidden="1">
      <c r="A268" s="4"/>
      <c r="B268" s="4" t="s">
        <v>13</v>
      </c>
      <c r="C268" s="4">
        <v>1</v>
      </c>
      <c r="D268" s="4">
        <v>29</v>
      </c>
      <c r="E268" s="21">
        <f>D268/3.28</f>
        <v>8.8414634146341466</v>
      </c>
      <c r="F268" s="21">
        <v>1</v>
      </c>
      <c r="G268" s="21">
        <v>1</v>
      </c>
      <c r="H268" s="21">
        <v>1</v>
      </c>
      <c r="I268" s="21">
        <f t="shared" si="11"/>
        <v>8.8414634146341466</v>
      </c>
      <c r="J268" s="6">
        <v>1</v>
      </c>
      <c r="K268" s="4" t="s">
        <v>14</v>
      </c>
    </row>
    <row r="269" spans="1:1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>
      <c r="A270" s="4">
        <v>19</v>
      </c>
      <c r="B270" s="27" t="s">
        <v>41</v>
      </c>
      <c r="C270" s="4"/>
      <c r="D270" s="4"/>
      <c r="E270" s="4"/>
      <c r="F270" s="4"/>
      <c r="G270" s="4"/>
      <c r="H270" s="4"/>
      <c r="I270" s="4"/>
      <c r="J270" s="4"/>
      <c r="K270" s="4"/>
    </row>
    <row r="271" spans="1:11">
      <c r="A271" s="4">
        <v>19.100000000000001</v>
      </c>
      <c r="B271" s="4" t="s">
        <v>34</v>
      </c>
      <c r="C271" s="4">
        <v>6</v>
      </c>
      <c r="D271" s="4"/>
      <c r="E271" s="21">
        <f>1/3.28</f>
        <v>0.3048780487804878</v>
      </c>
      <c r="F271" s="4"/>
      <c r="G271" s="4">
        <v>1</v>
      </c>
      <c r="H271" s="4">
        <v>1</v>
      </c>
      <c r="I271" s="22">
        <f t="shared" ref="I271:I272" si="13">+H271*G271*E271*C271</f>
        <v>1.8292682926829267</v>
      </c>
      <c r="J271" s="23">
        <v>1</v>
      </c>
      <c r="K271" s="24" t="s">
        <v>14</v>
      </c>
    </row>
    <row r="272" spans="1:11">
      <c r="A272" s="4">
        <v>19.2</v>
      </c>
      <c r="B272" s="4" t="s">
        <v>145</v>
      </c>
      <c r="C272" s="4">
        <v>1</v>
      </c>
      <c r="D272" s="4"/>
      <c r="E272" s="21">
        <f>20/3.28</f>
        <v>6.0975609756097562</v>
      </c>
      <c r="F272" s="4"/>
      <c r="G272" s="4">
        <v>1</v>
      </c>
      <c r="H272" s="4">
        <v>1</v>
      </c>
      <c r="I272" s="22">
        <f t="shared" si="13"/>
        <v>6.0975609756097562</v>
      </c>
      <c r="J272" s="23">
        <v>1</v>
      </c>
      <c r="K272" s="24" t="s">
        <v>14</v>
      </c>
    </row>
    <row r="273" spans="1:1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2">
      <c r="A274" s="4">
        <v>20</v>
      </c>
      <c r="B274" s="27" t="s">
        <v>116</v>
      </c>
      <c r="C274" s="4"/>
      <c r="D274" s="4"/>
      <c r="E274" s="4"/>
      <c r="F274" s="4"/>
      <c r="G274" s="4"/>
      <c r="H274" s="4"/>
      <c r="I274" s="4"/>
      <c r="J274" s="4"/>
      <c r="K274" s="4"/>
    </row>
    <row r="275" spans="1:12" ht="28.8">
      <c r="A275" s="4">
        <v>20.100000000000001</v>
      </c>
      <c r="B275" s="7" t="s">
        <v>120</v>
      </c>
      <c r="C275" s="4">
        <v>1</v>
      </c>
      <c r="D275" s="4"/>
      <c r="E275" s="21">
        <f>11.25/3.28</f>
        <v>3.4298780487804881</v>
      </c>
      <c r="F275" s="4"/>
      <c r="G275" s="4">
        <v>1</v>
      </c>
      <c r="H275" s="4">
        <v>1</v>
      </c>
      <c r="I275" s="22">
        <f t="shared" ref="I275:I290" si="14">+H275*G275*E275*C275</f>
        <v>3.4298780487804881</v>
      </c>
      <c r="J275" s="23">
        <v>1</v>
      </c>
      <c r="K275" s="24" t="s">
        <v>14</v>
      </c>
    </row>
    <row r="276" spans="1:12" ht="28.8">
      <c r="A276" s="4">
        <v>20.2</v>
      </c>
      <c r="B276" s="7" t="s">
        <v>121</v>
      </c>
      <c r="C276" s="4">
        <v>2</v>
      </c>
      <c r="D276" s="4"/>
      <c r="E276" s="21">
        <f>11.25/3.28</f>
        <v>3.4298780487804881</v>
      </c>
      <c r="F276" s="4"/>
      <c r="G276" s="4">
        <v>1</v>
      </c>
      <c r="H276" s="4">
        <v>1</v>
      </c>
      <c r="I276" s="22">
        <f t="shared" si="14"/>
        <v>6.8597560975609762</v>
      </c>
      <c r="J276" s="23">
        <v>1</v>
      </c>
      <c r="K276" s="24" t="s">
        <v>14</v>
      </c>
    </row>
    <row r="277" spans="1:12" ht="32.4" customHeight="1">
      <c r="A277" s="4">
        <v>20.3</v>
      </c>
      <c r="B277" s="7" t="s">
        <v>122</v>
      </c>
      <c r="C277" s="4">
        <v>2</v>
      </c>
      <c r="D277" s="4"/>
      <c r="E277" s="21">
        <f>11.25/3.28</f>
        <v>3.4298780487804881</v>
      </c>
      <c r="F277" s="4"/>
      <c r="G277" s="4">
        <v>1</v>
      </c>
      <c r="H277" s="4">
        <v>1</v>
      </c>
      <c r="I277" s="22">
        <f t="shared" si="14"/>
        <v>6.8597560975609762</v>
      </c>
      <c r="J277" s="23">
        <v>1</v>
      </c>
      <c r="K277" s="24" t="s">
        <v>14</v>
      </c>
    </row>
    <row r="278" spans="1:12">
      <c r="A278" s="4">
        <v>20.399999999999999</v>
      </c>
      <c r="B278" s="4" t="s">
        <v>159</v>
      </c>
      <c r="C278" s="4">
        <v>1</v>
      </c>
      <c r="D278" s="4"/>
      <c r="E278" s="21">
        <f>11.25/3.28</f>
        <v>3.4298780487804881</v>
      </c>
      <c r="F278" s="4"/>
      <c r="G278" s="4">
        <v>1</v>
      </c>
      <c r="H278" s="4">
        <v>1</v>
      </c>
      <c r="I278" s="22">
        <f t="shared" si="14"/>
        <v>3.4298780487804881</v>
      </c>
      <c r="J278" s="23">
        <v>1</v>
      </c>
      <c r="K278" s="24" t="s">
        <v>14</v>
      </c>
    </row>
    <row r="279" spans="1:12">
      <c r="A279" s="4">
        <v>20.5</v>
      </c>
      <c r="B279" s="4" t="s">
        <v>160</v>
      </c>
      <c r="C279" s="4">
        <v>6</v>
      </c>
      <c r="D279" s="4"/>
      <c r="E279" s="21">
        <f>6.5/3.28</f>
        <v>1.9817073170731709</v>
      </c>
      <c r="F279" s="4"/>
      <c r="G279" s="4">
        <v>1</v>
      </c>
      <c r="H279" s="4">
        <v>1</v>
      </c>
      <c r="I279" s="22">
        <f t="shared" si="14"/>
        <v>11.890243902439025</v>
      </c>
      <c r="J279" s="23">
        <v>1</v>
      </c>
      <c r="K279" s="24" t="s">
        <v>14</v>
      </c>
    </row>
    <row r="280" spans="1:12">
      <c r="A280" s="4">
        <v>20.6</v>
      </c>
      <c r="B280" s="4" t="s">
        <v>161</v>
      </c>
      <c r="C280" s="4">
        <v>1</v>
      </c>
      <c r="D280" s="4"/>
      <c r="E280" s="21">
        <f>4/3.28</f>
        <v>1.2195121951219512</v>
      </c>
      <c r="F280" s="4"/>
      <c r="G280" s="4">
        <v>1</v>
      </c>
      <c r="H280" s="4">
        <v>1</v>
      </c>
      <c r="I280" s="22">
        <f t="shared" si="14"/>
        <v>1.2195121951219512</v>
      </c>
      <c r="J280" s="23">
        <v>1</v>
      </c>
      <c r="K280" s="24" t="s">
        <v>14</v>
      </c>
    </row>
    <row r="281" spans="1:12">
      <c r="A281" s="4"/>
      <c r="B281" s="4"/>
      <c r="C281" s="4"/>
      <c r="D281" s="4"/>
      <c r="E281" s="4"/>
      <c r="F281" s="4"/>
      <c r="G281" s="4"/>
      <c r="H281" s="4"/>
      <c r="I281" s="28"/>
      <c r="J281" s="6"/>
      <c r="K281" s="4"/>
    </row>
    <row r="282" spans="1:12">
      <c r="A282" s="4">
        <v>21</v>
      </c>
      <c r="B282" s="27" t="s">
        <v>162</v>
      </c>
      <c r="C282" s="4"/>
      <c r="D282" s="4"/>
      <c r="E282" s="4"/>
      <c r="F282" s="4"/>
      <c r="G282" s="4"/>
      <c r="H282" s="4"/>
      <c r="I282" s="4"/>
      <c r="J282" s="4"/>
      <c r="K282" s="4"/>
    </row>
    <row r="283" spans="1:12">
      <c r="A283" s="4">
        <v>21.1</v>
      </c>
      <c r="B283" s="4" t="s">
        <v>163</v>
      </c>
      <c r="C283" s="4">
        <v>6</v>
      </c>
      <c r="D283" s="4"/>
      <c r="E283" s="21">
        <f>6.5/3.28</f>
        <v>1.9817073170731709</v>
      </c>
      <c r="F283" s="4"/>
      <c r="G283" s="15">
        <v>0.31</v>
      </c>
      <c r="H283" s="4">
        <v>1</v>
      </c>
      <c r="I283" s="21">
        <f>H283*E283*C283</f>
        <v>11.890243902439025</v>
      </c>
      <c r="J283" s="6">
        <v>1</v>
      </c>
      <c r="K283" s="4" t="s">
        <v>14</v>
      </c>
      <c r="L283" s="56"/>
    </row>
    <row r="284" spans="1:12">
      <c r="A284" s="4">
        <v>21.2</v>
      </c>
      <c r="B284" s="4" t="s">
        <v>163</v>
      </c>
      <c r="C284" s="4">
        <v>3</v>
      </c>
      <c r="D284" s="4"/>
      <c r="E284" s="21">
        <f>2.83/3.28</f>
        <v>0.86280487804878059</v>
      </c>
      <c r="F284" s="4"/>
      <c r="G284" s="15">
        <v>0.31</v>
      </c>
      <c r="H284" s="4">
        <v>1</v>
      </c>
      <c r="I284" s="21">
        <f>H284*E284*C284</f>
        <v>2.5884146341463419</v>
      </c>
      <c r="J284" s="6">
        <v>1</v>
      </c>
      <c r="K284" s="4" t="s">
        <v>14</v>
      </c>
    </row>
    <row r="285" spans="1:12">
      <c r="A285" s="4"/>
      <c r="B285" s="4"/>
      <c r="C285" s="4"/>
      <c r="D285" s="4"/>
      <c r="E285" s="4"/>
      <c r="F285" s="4"/>
      <c r="G285" s="4"/>
      <c r="H285" s="4"/>
      <c r="I285" s="148">
        <f>SUM(I283:I284)</f>
        <v>14.478658536585368</v>
      </c>
      <c r="J285" s="149">
        <v>1</v>
      </c>
      <c r="K285" s="150" t="s">
        <v>14</v>
      </c>
    </row>
    <row r="286" spans="1:12">
      <c r="A286" s="4">
        <v>21.3</v>
      </c>
      <c r="B286" s="7" t="s">
        <v>164</v>
      </c>
      <c r="C286" s="4">
        <v>6</v>
      </c>
      <c r="D286" s="4"/>
      <c r="E286" s="21">
        <f>6.5/3.28</f>
        <v>1.9817073170731709</v>
      </c>
      <c r="F286" s="4"/>
      <c r="G286" s="4">
        <v>1</v>
      </c>
      <c r="H286" s="4">
        <v>1</v>
      </c>
      <c r="I286" s="21">
        <f t="shared" si="14"/>
        <v>11.890243902439025</v>
      </c>
      <c r="J286" s="6">
        <v>1</v>
      </c>
      <c r="K286" s="4" t="s">
        <v>14</v>
      </c>
    </row>
    <row r="287" spans="1:12">
      <c r="A287" s="4">
        <v>21.4</v>
      </c>
      <c r="B287" s="7" t="s">
        <v>164</v>
      </c>
      <c r="C287" s="4">
        <v>3</v>
      </c>
      <c r="D287" s="4"/>
      <c r="E287" s="21">
        <f>2.83/3.28</f>
        <v>0.86280487804878059</v>
      </c>
      <c r="F287" s="4"/>
      <c r="G287" s="4">
        <v>1</v>
      </c>
      <c r="H287" s="4">
        <v>1</v>
      </c>
      <c r="I287" s="21">
        <f t="shared" si="14"/>
        <v>2.5884146341463419</v>
      </c>
      <c r="J287" s="6">
        <v>1</v>
      </c>
      <c r="K287" s="4" t="s">
        <v>14</v>
      </c>
    </row>
    <row r="288" spans="1:12">
      <c r="A288" s="4"/>
      <c r="B288" s="7"/>
      <c r="C288" s="4"/>
      <c r="D288" s="4"/>
      <c r="E288" s="21"/>
      <c r="F288" s="4"/>
      <c r="G288" s="4"/>
      <c r="H288" s="4"/>
      <c r="I288" s="22">
        <f>SUM(I286:I287)</f>
        <v>14.478658536585368</v>
      </c>
      <c r="J288" s="23">
        <v>1</v>
      </c>
      <c r="K288" s="24" t="s">
        <v>14</v>
      </c>
    </row>
    <row r="289" spans="1:11" ht="28.8">
      <c r="A289" s="4">
        <v>21.5</v>
      </c>
      <c r="B289" s="7" t="s">
        <v>165</v>
      </c>
      <c r="C289" s="15">
        <v>6</v>
      </c>
      <c r="D289" s="4"/>
      <c r="E289" s="21">
        <f>6.5/3.28</f>
        <v>1.9817073170731709</v>
      </c>
      <c r="F289" s="4"/>
      <c r="G289" s="4">
        <v>1</v>
      </c>
      <c r="H289" s="4">
        <v>1</v>
      </c>
      <c r="I289" s="21">
        <f t="shared" si="14"/>
        <v>11.890243902439025</v>
      </c>
      <c r="J289" s="6">
        <v>1</v>
      </c>
      <c r="K289" s="4" t="s">
        <v>14</v>
      </c>
    </row>
    <row r="290" spans="1:11" ht="28.8">
      <c r="A290" s="4">
        <v>21.6</v>
      </c>
      <c r="B290" s="7" t="s">
        <v>165</v>
      </c>
      <c r="C290" s="4">
        <v>6</v>
      </c>
      <c r="D290" s="4"/>
      <c r="E290" s="21">
        <f>2.83/3.28</f>
        <v>0.86280487804878059</v>
      </c>
      <c r="F290" s="4"/>
      <c r="G290" s="4">
        <v>1</v>
      </c>
      <c r="H290" s="4">
        <v>1</v>
      </c>
      <c r="I290" s="21">
        <f t="shared" si="14"/>
        <v>5.1768292682926838</v>
      </c>
      <c r="J290" s="6">
        <v>1</v>
      </c>
      <c r="K290" s="4" t="s">
        <v>14</v>
      </c>
    </row>
    <row r="291" spans="1:11">
      <c r="A291" s="4"/>
      <c r="B291" s="7"/>
      <c r="C291" s="4"/>
      <c r="D291" s="4"/>
      <c r="E291" s="21"/>
      <c r="F291" s="4"/>
      <c r="G291" s="4"/>
      <c r="H291" s="4"/>
      <c r="I291" s="148">
        <f>SUM(I289:I290)</f>
        <v>17.06707317073171</v>
      </c>
      <c r="J291" s="23">
        <v>1</v>
      </c>
      <c r="K291" s="24" t="s">
        <v>14</v>
      </c>
    </row>
    <row r="292" spans="1:11">
      <c r="A292" s="4"/>
      <c r="B292" s="4"/>
      <c r="C292" s="4"/>
      <c r="D292" s="4"/>
      <c r="E292" s="21"/>
      <c r="F292" s="4"/>
      <c r="G292" s="4"/>
      <c r="H292" s="4"/>
      <c r="I292" s="4"/>
      <c r="J292" s="4"/>
      <c r="K292" s="4"/>
    </row>
    <row r="293" spans="1:11">
      <c r="A293" s="4">
        <v>22</v>
      </c>
      <c r="B293" s="27" t="s">
        <v>52</v>
      </c>
      <c r="C293" s="4"/>
      <c r="D293" s="4"/>
      <c r="E293" s="21"/>
      <c r="F293" s="4"/>
      <c r="G293" s="4"/>
      <c r="H293" s="4"/>
      <c r="I293" s="4"/>
      <c r="J293" s="4"/>
      <c r="K293" s="4"/>
    </row>
    <row r="294" spans="1:11">
      <c r="A294" s="4">
        <v>22.1</v>
      </c>
      <c r="B294" s="4" t="s">
        <v>166</v>
      </c>
      <c r="C294" s="4">
        <v>18</v>
      </c>
      <c r="D294" s="4"/>
      <c r="E294" s="21">
        <f>2.08/3.28</f>
        <v>0.63414634146341464</v>
      </c>
      <c r="F294" s="4"/>
      <c r="G294" s="21">
        <f>1.75/3.28</f>
        <v>0.53353658536585369</v>
      </c>
      <c r="H294" s="4">
        <v>1</v>
      </c>
      <c r="I294" s="21">
        <f>H294*G294*E294*C294</f>
        <v>6.0901249256395005</v>
      </c>
      <c r="J294" s="6">
        <v>1</v>
      </c>
      <c r="K294" s="4" t="s">
        <v>91</v>
      </c>
    </row>
    <row r="295" spans="1:11">
      <c r="A295" s="4">
        <v>22.2</v>
      </c>
      <c r="B295" s="4" t="s">
        <v>110</v>
      </c>
      <c r="C295" s="4">
        <v>1</v>
      </c>
      <c r="D295" s="4"/>
      <c r="E295" s="21">
        <f>7.5/3.28</f>
        <v>2.2865853658536586</v>
      </c>
      <c r="F295" s="4"/>
      <c r="G295" s="21">
        <f>2.41/3.28</f>
        <v>0.73475609756097571</v>
      </c>
      <c r="H295" s="4">
        <v>1</v>
      </c>
      <c r="I295" s="21">
        <f t="shared" ref="I295:I301" si="15">H295*G295*E295*C295</f>
        <v>1.6800825401546702</v>
      </c>
      <c r="J295" s="6">
        <v>1</v>
      </c>
      <c r="K295" s="4" t="s">
        <v>91</v>
      </c>
    </row>
    <row r="296" spans="1:11">
      <c r="A296" s="4" t="s">
        <v>36</v>
      </c>
      <c r="B296" s="4" t="s">
        <v>110</v>
      </c>
      <c r="C296" s="4">
        <v>1</v>
      </c>
      <c r="D296" s="4"/>
      <c r="E296" s="21">
        <f>11/3.28</f>
        <v>3.3536585365853662</v>
      </c>
      <c r="F296" s="4"/>
      <c r="G296" s="21">
        <f>2.41/3.28</f>
        <v>0.73475609756097571</v>
      </c>
      <c r="H296" s="4">
        <v>1</v>
      </c>
      <c r="I296" s="21">
        <f t="shared" si="15"/>
        <v>2.4641210588935163</v>
      </c>
      <c r="J296" s="6">
        <v>1</v>
      </c>
      <c r="K296" s="4" t="s">
        <v>91</v>
      </c>
    </row>
    <row r="297" spans="1:11">
      <c r="A297" s="4" t="s">
        <v>36</v>
      </c>
      <c r="B297" s="4" t="s">
        <v>110</v>
      </c>
      <c r="C297" s="4">
        <v>1</v>
      </c>
      <c r="D297" s="4"/>
      <c r="E297" s="21">
        <f>9.66/3.28</f>
        <v>2.9451219512195124</v>
      </c>
      <c r="F297" s="4"/>
      <c r="G297" s="21">
        <f>2.41/3.28</f>
        <v>0.73475609756097571</v>
      </c>
      <c r="H297" s="4">
        <v>1</v>
      </c>
      <c r="I297" s="21">
        <f t="shared" si="15"/>
        <v>2.163946311719215</v>
      </c>
      <c r="J297" s="6">
        <v>1</v>
      </c>
      <c r="K297" s="4" t="s">
        <v>91</v>
      </c>
    </row>
    <row r="298" spans="1:11">
      <c r="A298" s="4">
        <v>22.3</v>
      </c>
      <c r="B298" s="4" t="s">
        <v>167</v>
      </c>
      <c r="C298" s="4">
        <v>2</v>
      </c>
      <c r="D298" s="4"/>
      <c r="E298" s="21">
        <f>1.58/3.28</f>
        <v>0.48170731707317077</v>
      </c>
      <c r="F298" s="4"/>
      <c r="G298" s="21">
        <f>4.16/3.28</f>
        <v>1.2682926829268293</v>
      </c>
      <c r="H298" s="4">
        <v>1</v>
      </c>
      <c r="I298" s="21">
        <f t="shared" si="15"/>
        <v>1.2218917311124331</v>
      </c>
      <c r="J298" s="6">
        <v>1</v>
      </c>
      <c r="K298" s="4" t="s">
        <v>91</v>
      </c>
    </row>
    <row r="299" spans="1:11">
      <c r="A299" s="4" t="s">
        <v>36</v>
      </c>
      <c r="B299" s="4" t="s">
        <v>167</v>
      </c>
      <c r="C299" s="4">
        <v>2</v>
      </c>
      <c r="D299" s="4"/>
      <c r="E299" s="21">
        <f>11/3.28</f>
        <v>3.3536585365853662</v>
      </c>
      <c r="F299" s="4"/>
      <c r="G299" s="21">
        <f>1.58/3.28</f>
        <v>0.48170731707317077</v>
      </c>
      <c r="H299" s="4">
        <v>1</v>
      </c>
      <c r="I299" s="21">
        <f t="shared" si="15"/>
        <v>3.2309637120761456</v>
      </c>
      <c r="J299" s="6">
        <v>1</v>
      </c>
      <c r="K299" s="4" t="s">
        <v>91</v>
      </c>
    </row>
    <row r="300" spans="1:11">
      <c r="A300" s="4" t="s">
        <v>36</v>
      </c>
      <c r="B300" s="4" t="s">
        <v>167</v>
      </c>
      <c r="C300" s="4">
        <v>2</v>
      </c>
      <c r="D300" s="4"/>
      <c r="E300" s="21">
        <f>1.08/3.28</f>
        <v>0.32926829268292684</v>
      </c>
      <c r="F300" s="4"/>
      <c r="G300" s="21">
        <f>1.58/3.28</f>
        <v>0.48170731707317077</v>
      </c>
      <c r="H300" s="4">
        <v>1</v>
      </c>
      <c r="I300" s="21">
        <f t="shared" si="15"/>
        <v>0.31722189173111248</v>
      </c>
      <c r="J300" s="6">
        <v>1</v>
      </c>
      <c r="K300" s="4" t="s">
        <v>91</v>
      </c>
    </row>
    <row r="301" spans="1:11">
      <c r="A301" s="4" t="s">
        <v>36</v>
      </c>
      <c r="B301" s="4" t="s">
        <v>167</v>
      </c>
      <c r="C301" s="4">
        <v>3</v>
      </c>
      <c r="D301" s="4"/>
      <c r="E301" s="21">
        <f>1/3.28</f>
        <v>0.3048780487804878</v>
      </c>
      <c r="F301" s="4"/>
      <c r="G301" s="21">
        <f>1.5/3.28</f>
        <v>0.45731707317073172</v>
      </c>
      <c r="H301" s="4">
        <v>1</v>
      </c>
      <c r="I301" s="21">
        <f t="shared" si="15"/>
        <v>0.41827781082688875</v>
      </c>
      <c r="J301" s="6">
        <v>1</v>
      </c>
      <c r="K301" s="4" t="s">
        <v>91</v>
      </c>
    </row>
    <row r="302" spans="1:11">
      <c r="A302" s="4"/>
      <c r="B302" s="4"/>
      <c r="C302" s="4"/>
      <c r="D302" s="4"/>
      <c r="E302" s="21"/>
      <c r="F302" s="4"/>
      <c r="G302" s="4"/>
      <c r="H302" s="4"/>
      <c r="I302" s="24">
        <f>SUM(I294:I301)</f>
        <v>17.586629982153482</v>
      </c>
      <c r="J302" s="23">
        <v>1</v>
      </c>
      <c r="K302" s="24" t="s">
        <v>91</v>
      </c>
    </row>
    <row r="303" spans="1:11">
      <c r="B303"/>
    </row>
    <row r="304" spans="1:11" ht="28.8" customHeight="1">
      <c r="A304" s="2"/>
      <c r="B304" s="218" t="s">
        <v>441</v>
      </c>
      <c r="C304" s="218"/>
      <c r="D304" s="218"/>
      <c r="E304" s="218"/>
      <c r="F304" s="218"/>
      <c r="G304" s="218"/>
      <c r="H304" s="218"/>
      <c r="I304" s="2"/>
      <c r="J304" s="2"/>
      <c r="K304" s="2"/>
    </row>
    <row r="305" spans="1:11" s="9" customFormat="1">
      <c r="A305" s="5" t="s">
        <v>83</v>
      </c>
      <c r="B305" s="5" t="s">
        <v>1</v>
      </c>
      <c r="C305" s="5" t="s">
        <v>5</v>
      </c>
      <c r="D305" s="5" t="s">
        <v>84</v>
      </c>
      <c r="E305" s="5" t="s">
        <v>85</v>
      </c>
      <c r="F305" s="5" t="s">
        <v>129</v>
      </c>
      <c r="G305" s="19" t="s">
        <v>87</v>
      </c>
      <c r="H305" s="5" t="s">
        <v>88</v>
      </c>
      <c r="I305" s="5" t="s">
        <v>6</v>
      </c>
      <c r="J305" s="5" t="s">
        <v>7</v>
      </c>
      <c r="K305" s="5" t="s">
        <v>89</v>
      </c>
    </row>
    <row r="306" spans="1:11">
      <c r="A306" s="4">
        <v>1</v>
      </c>
      <c r="B306" s="24" t="s">
        <v>422</v>
      </c>
      <c r="C306" s="4"/>
      <c r="D306" s="4"/>
      <c r="E306" s="4"/>
      <c r="F306" s="4"/>
      <c r="G306" s="4"/>
      <c r="H306" s="4"/>
      <c r="I306" s="4"/>
      <c r="J306" s="4"/>
      <c r="K306" s="4"/>
    </row>
    <row r="307" spans="1:11">
      <c r="A307" s="4">
        <v>1.1000000000000001</v>
      </c>
      <c r="B307" s="4" t="s">
        <v>63</v>
      </c>
      <c r="C307" s="4">
        <v>1</v>
      </c>
      <c r="D307" s="4">
        <v>10.16</v>
      </c>
      <c r="E307" s="21">
        <f>+D307/3.28</f>
        <v>3.0975609756097562</v>
      </c>
      <c r="F307" s="4">
        <v>8.16</v>
      </c>
      <c r="G307" s="15">
        <v>2.1800000000000002</v>
      </c>
      <c r="H307" s="4">
        <v>1</v>
      </c>
      <c r="I307" s="24">
        <f>+H307*G307*E307*C307</f>
        <v>6.7526829268292694</v>
      </c>
      <c r="J307" s="23">
        <v>1</v>
      </c>
      <c r="K307" s="24" t="s">
        <v>423</v>
      </c>
    </row>
    <row r="308" spans="1:11">
      <c r="A308" s="4">
        <v>1.2</v>
      </c>
      <c r="B308" s="4" t="s">
        <v>13</v>
      </c>
      <c r="C308" s="4">
        <v>1</v>
      </c>
      <c r="D308" s="4">
        <v>33</v>
      </c>
      <c r="E308" s="21">
        <f t="shared" ref="E308:E330" si="16">+D308/3.28</f>
        <v>10.060975609756099</v>
      </c>
      <c r="F308" s="4">
        <v>1</v>
      </c>
      <c r="G308" s="4">
        <v>1</v>
      </c>
      <c r="H308" s="4">
        <v>1</v>
      </c>
      <c r="I308" s="24">
        <f t="shared" ref="I308:I330" si="17">+H308*G308*E308*C308</f>
        <v>10.060975609756099</v>
      </c>
      <c r="J308" s="23">
        <v>1</v>
      </c>
      <c r="K308" s="24" t="s">
        <v>14</v>
      </c>
    </row>
    <row r="309" spans="1:11">
      <c r="A309" s="4">
        <v>2</v>
      </c>
      <c r="B309" s="24" t="s">
        <v>424</v>
      </c>
      <c r="C309" s="4"/>
      <c r="D309" s="4"/>
      <c r="E309" s="21"/>
      <c r="F309" s="4"/>
      <c r="G309" s="4"/>
      <c r="H309" s="4"/>
      <c r="I309" s="5"/>
      <c r="J309" s="10"/>
      <c r="K309" s="5"/>
    </row>
    <row r="310" spans="1:11">
      <c r="A310" s="4">
        <v>2.1</v>
      </c>
      <c r="B310" s="4" t="s">
        <v>63</v>
      </c>
      <c r="C310" s="4">
        <v>1</v>
      </c>
      <c r="D310" s="4">
        <v>11</v>
      </c>
      <c r="E310" s="33">
        <v>2.75</v>
      </c>
      <c r="F310" s="4">
        <v>7</v>
      </c>
      <c r="G310" s="4">
        <f t="shared" ref="G310:G328" si="18">F310/3.28</f>
        <v>2.1341463414634148</v>
      </c>
      <c r="H310" s="4">
        <v>1</v>
      </c>
      <c r="I310" s="24">
        <f t="shared" si="17"/>
        <v>5.8689024390243905</v>
      </c>
      <c r="J310" s="23">
        <v>1</v>
      </c>
      <c r="K310" s="24" t="s">
        <v>423</v>
      </c>
    </row>
    <row r="311" spans="1:11">
      <c r="A311" s="4">
        <v>2.2000000000000002</v>
      </c>
      <c r="B311" s="4" t="s">
        <v>13</v>
      </c>
      <c r="C311" s="4">
        <v>1</v>
      </c>
      <c r="D311" s="4">
        <v>32</v>
      </c>
      <c r="E311" s="33">
        <v>8.75</v>
      </c>
      <c r="F311" s="4">
        <v>1</v>
      </c>
      <c r="G311" s="4">
        <v>1</v>
      </c>
      <c r="H311" s="4">
        <v>1</v>
      </c>
      <c r="I311" s="24">
        <f t="shared" si="17"/>
        <v>8.75</v>
      </c>
      <c r="J311" s="23">
        <v>1</v>
      </c>
      <c r="K311" s="24" t="s">
        <v>14</v>
      </c>
    </row>
    <row r="312" spans="1:11">
      <c r="A312" s="4">
        <v>3</v>
      </c>
      <c r="B312" s="24" t="s">
        <v>425</v>
      </c>
      <c r="C312" s="4"/>
      <c r="D312" s="4"/>
      <c r="E312" s="21"/>
      <c r="F312" s="4"/>
      <c r="G312" s="4"/>
      <c r="H312" s="4"/>
      <c r="I312" s="5"/>
      <c r="J312" s="10"/>
      <c r="K312" s="5"/>
    </row>
    <row r="313" spans="1:11">
      <c r="A313" s="4">
        <v>3.1</v>
      </c>
      <c r="B313" s="4" t="s">
        <v>63</v>
      </c>
      <c r="C313" s="4">
        <v>1</v>
      </c>
      <c r="D313" s="4">
        <v>7.58</v>
      </c>
      <c r="E313" s="21">
        <f t="shared" si="16"/>
        <v>2.3109756097560976</v>
      </c>
      <c r="F313" s="4">
        <v>10</v>
      </c>
      <c r="G313" s="15">
        <v>2.09</v>
      </c>
      <c r="H313" s="4">
        <v>1</v>
      </c>
      <c r="I313" s="24">
        <f t="shared" si="17"/>
        <v>4.829939024390244</v>
      </c>
      <c r="J313" s="23">
        <v>1</v>
      </c>
      <c r="K313" s="24" t="s">
        <v>423</v>
      </c>
    </row>
    <row r="314" spans="1:11">
      <c r="A314" s="4">
        <v>3.2</v>
      </c>
      <c r="B314" s="4" t="s">
        <v>13</v>
      </c>
      <c r="C314" s="4">
        <v>1</v>
      </c>
      <c r="D314" s="4">
        <v>30</v>
      </c>
      <c r="E314" s="21">
        <f t="shared" si="16"/>
        <v>9.1463414634146343</v>
      </c>
      <c r="F314" s="4">
        <v>1</v>
      </c>
      <c r="G314" s="4">
        <v>1</v>
      </c>
      <c r="H314" s="4">
        <v>1</v>
      </c>
      <c r="I314" s="24">
        <f t="shared" si="17"/>
        <v>9.1463414634146343</v>
      </c>
      <c r="J314" s="23">
        <v>1</v>
      </c>
      <c r="K314" s="24" t="s">
        <v>14</v>
      </c>
    </row>
    <row r="315" spans="1:11">
      <c r="A315" s="4">
        <v>4</v>
      </c>
      <c r="B315" s="24" t="s">
        <v>131</v>
      </c>
      <c r="C315" s="4"/>
      <c r="D315" s="4"/>
      <c r="E315" s="21" t="s">
        <v>36</v>
      </c>
      <c r="F315" s="4"/>
      <c r="G315" s="4" t="s">
        <v>36</v>
      </c>
      <c r="H315" s="4"/>
      <c r="I315" s="5" t="s">
        <v>36</v>
      </c>
      <c r="J315" s="10" t="s">
        <v>36</v>
      </c>
      <c r="K315" s="5"/>
    </row>
    <row r="316" spans="1:11">
      <c r="A316" s="4">
        <v>4.0999999999999996</v>
      </c>
      <c r="B316" s="4" t="s">
        <v>63</v>
      </c>
      <c r="C316" s="4">
        <v>1</v>
      </c>
      <c r="D316" s="4">
        <v>11.58</v>
      </c>
      <c r="E316" s="21">
        <f t="shared" si="16"/>
        <v>3.530487804878049</v>
      </c>
      <c r="F316" s="4">
        <v>6.41</v>
      </c>
      <c r="G316" s="4">
        <f t="shared" si="18"/>
        <v>1.9542682926829269</v>
      </c>
      <c r="H316" s="4">
        <v>1</v>
      </c>
      <c r="I316" s="24">
        <f t="shared" si="17"/>
        <v>6.8995203747769196</v>
      </c>
      <c r="J316" s="23">
        <v>1</v>
      </c>
      <c r="K316" s="24" t="s">
        <v>423</v>
      </c>
    </row>
    <row r="317" spans="1:11">
      <c r="A317" s="4">
        <v>4.2</v>
      </c>
      <c r="B317" s="4" t="s">
        <v>13</v>
      </c>
      <c r="C317" s="4">
        <v>1</v>
      </c>
      <c r="D317" s="4">
        <v>20</v>
      </c>
      <c r="E317" s="21">
        <f t="shared" si="16"/>
        <v>6.0975609756097562</v>
      </c>
      <c r="F317" s="4">
        <v>1</v>
      </c>
      <c r="G317" s="4">
        <v>1</v>
      </c>
      <c r="H317" s="4">
        <v>1</v>
      </c>
      <c r="I317" s="24">
        <f t="shared" si="17"/>
        <v>6.0975609756097562</v>
      </c>
      <c r="J317" s="23">
        <v>1</v>
      </c>
      <c r="K317" s="24" t="s">
        <v>14</v>
      </c>
    </row>
    <row r="318" spans="1:11" ht="26.4" customHeight="1">
      <c r="B318" s="219" t="s">
        <v>426</v>
      </c>
      <c r="C318" s="220"/>
      <c r="D318" s="220"/>
      <c r="E318" s="220"/>
      <c r="F318" s="220"/>
      <c r="G318" s="220"/>
      <c r="H318" s="220"/>
      <c r="I318" s="136"/>
      <c r="J318" s="136"/>
      <c r="K318" s="137"/>
    </row>
    <row r="319" spans="1:11">
      <c r="A319" s="4"/>
      <c r="B319" s="5" t="s">
        <v>427</v>
      </c>
      <c r="C319" s="4"/>
      <c r="D319" s="4"/>
      <c r="E319" s="4" t="s">
        <v>36</v>
      </c>
      <c r="F319" s="4"/>
      <c r="G319" s="4" t="s">
        <v>36</v>
      </c>
      <c r="H319" s="4"/>
      <c r="I319" s="4" t="s">
        <v>36</v>
      </c>
      <c r="J319" s="6" t="s">
        <v>36</v>
      </c>
      <c r="K319" s="4"/>
    </row>
    <row r="320" spans="1:11">
      <c r="A320" s="4">
        <v>1</v>
      </c>
      <c r="B320" s="24" t="s">
        <v>422</v>
      </c>
      <c r="C320" s="4"/>
      <c r="D320" s="4"/>
      <c r="E320" s="4" t="s">
        <v>36</v>
      </c>
      <c r="F320" s="4"/>
      <c r="G320" s="4" t="s">
        <v>36</v>
      </c>
      <c r="H320" s="4"/>
      <c r="I320" s="4" t="s">
        <v>36</v>
      </c>
      <c r="J320" s="6" t="s">
        <v>36</v>
      </c>
      <c r="K320" s="4" t="s">
        <v>36</v>
      </c>
    </row>
    <row r="321" spans="1:11">
      <c r="A321" s="4">
        <v>1.1000000000000001</v>
      </c>
      <c r="B321" s="4" t="s">
        <v>63</v>
      </c>
      <c r="C321" s="4">
        <v>1</v>
      </c>
      <c r="D321" s="4">
        <v>9</v>
      </c>
      <c r="E321" s="21">
        <f t="shared" si="16"/>
        <v>2.7439024390243905</v>
      </c>
      <c r="F321" s="4">
        <v>7.41</v>
      </c>
      <c r="G321" s="4">
        <f t="shared" si="18"/>
        <v>2.2591463414634148</v>
      </c>
      <c r="H321" s="4">
        <v>1</v>
      </c>
      <c r="I321" s="24">
        <f t="shared" si="17"/>
        <v>6.1988771564544924</v>
      </c>
      <c r="J321" s="23">
        <v>1</v>
      </c>
      <c r="K321" s="24" t="s">
        <v>423</v>
      </c>
    </row>
    <row r="322" spans="1:11">
      <c r="A322" s="4">
        <v>1.2</v>
      </c>
      <c r="B322" s="4" t="s">
        <v>13</v>
      </c>
      <c r="C322" s="4">
        <v>1</v>
      </c>
      <c r="D322" s="4">
        <v>30.71</v>
      </c>
      <c r="E322" s="21">
        <f>D322/3.28</f>
        <v>9.3628048780487809</v>
      </c>
      <c r="F322" s="4">
        <v>1</v>
      </c>
      <c r="G322" s="4">
        <v>1</v>
      </c>
      <c r="H322" s="4">
        <v>1</v>
      </c>
      <c r="I322" s="24">
        <f t="shared" si="17"/>
        <v>9.3628048780487809</v>
      </c>
      <c r="J322" s="23">
        <v>1</v>
      </c>
      <c r="K322" s="24" t="s">
        <v>14</v>
      </c>
    </row>
    <row r="323" spans="1:11">
      <c r="A323" s="4">
        <v>2</v>
      </c>
      <c r="B323" s="24" t="s">
        <v>424</v>
      </c>
      <c r="C323" s="4"/>
      <c r="D323" s="4"/>
      <c r="E323" s="21" t="s">
        <v>36</v>
      </c>
      <c r="F323" s="4"/>
      <c r="G323" s="4" t="s">
        <v>36</v>
      </c>
      <c r="H323" s="4"/>
      <c r="I323" s="5" t="s">
        <v>36</v>
      </c>
      <c r="J323" s="10" t="s">
        <v>36</v>
      </c>
      <c r="K323" s="5"/>
    </row>
    <row r="324" spans="1:11">
      <c r="A324" s="4">
        <v>2.1</v>
      </c>
      <c r="B324" s="4" t="s">
        <v>63</v>
      </c>
      <c r="C324" s="4">
        <v>1</v>
      </c>
      <c r="D324" s="4">
        <v>11.25</v>
      </c>
      <c r="E324" s="33">
        <v>2.75</v>
      </c>
      <c r="F324" s="4">
        <v>7.41</v>
      </c>
      <c r="G324" s="4">
        <f t="shared" si="18"/>
        <v>2.2591463414634148</v>
      </c>
      <c r="H324" s="4">
        <v>1</v>
      </c>
      <c r="I324" s="24">
        <f t="shared" si="17"/>
        <v>6.2126524390243905</v>
      </c>
      <c r="J324" s="23">
        <v>1</v>
      </c>
      <c r="K324" s="24" t="s">
        <v>423</v>
      </c>
    </row>
    <row r="325" spans="1:11">
      <c r="A325" s="4">
        <v>2.2000000000000002</v>
      </c>
      <c r="B325" s="4" t="s">
        <v>13</v>
      </c>
      <c r="C325" s="4">
        <v>1</v>
      </c>
      <c r="D325" s="4">
        <v>49</v>
      </c>
      <c r="E325" s="21">
        <f t="shared" si="16"/>
        <v>14.939024390243903</v>
      </c>
      <c r="F325" s="4">
        <v>1</v>
      </c>
      <c r="G325" s="4">
        <v>1</v>
      </c>
      <c r="H325" s="4">
        <v>1</v>
      </c>
      <c r="I325" s="24">
        <f t="shared" si="17"/>
        <v>14.939024390243903</v>
      </c>
      <c r="J325" s="23">
        <v>1</v>
      </c>
      <c r="K325" s="24" t="s">
        <v>14</v>
      </c>
    </row>
    <row r="326" spans="1:11">
      <c r="A326" s="4">
        <v>3</v>
      </c>
      <c r="B326" s="24" t="s">
        <v>427</v>
      </c>
      <c r="C326" s="4"/>
      <c r="D326" s="4"/>
      <c r="E326" s="21"/>
      <c r="F326" s="4"/>
      <c r="G326" s="4"/>
      <c r="H326" s="4"/>
      <c r="I326" s="5"/>
      <c r="J326" s="10"/>
      <c r="K326" s="5"/>
    </row>
    <row r="327" spans="1:11">
      <c r="A327" s="4">
        <v>3.1</v>
      </c>
      <c r="B327" s="4" t="s">
        <v>63</v>
      </c>
      <c r="C327" s="4">
        <v>1</v>
      </c>
      <c r="D327" s="4">
        <v>12</v>
      </c>
      <c r="E327" s="21">
        <f t="shared" si="16"/>
        <v>3.6585365853658538</v>
      </c>
      <c r="F327" s="4">
        <v>7</v>
      </c>
      <c r="G327" s="4">
        <f t="shared" si="18"/>
        <v>2.1341463414634148</v>
      </c>
      <c r="H327" s="4">
        <v>1</v>
      </c>
      <c r="I327" s="4">
        <f t="shared" si="17"/>
        <v>7.8078524687685906</v>
      </c>
      <c r="J327" s="6">
        <v>1</v>
      </c>
      <c r="K327" s="4" t="s">
        <v>423</v>
      </c>
    </row>
    <row r="328" spans="1:11">
      <c r="A328" s="4"/>
      <c r="B328" s="4" t="s">
        <v>63</v>
      </c>
      <c r="C328" s="4">
        <v>1</v>
      </c>
      <c r="D328" s="4">
        <v>7</v>
      </c>
      <c r="E328" s="21">
        <f t="shared" si="16"/>
        <v>2.1341463414634148</v>
      </c>
      <c r="F328" s="4">
        <v>6.41</v>
      </c>
      <c r="G328" s="4">
        <f t="shared" si="18"/>
        <v>1.9542682926829269</v>
      </c>
      <c r="H328" s="4">
        <v>1</v>
      </c>
      <c r="I328" s="4">
        <f t="shared" si="17"/>
        <v>4.170694527067222</v>
      </c>
      <c r="J328" s="6">
        <v>1</v>
      </c>
      <c r="K328" s="4" t="s">
        <v>423</v>
      </c>
    </row>
    <row r="329" spans="1:11">
      <c r="A329" s="4"/>
      <c r="B329" s="4"/>
      <c r="C329" s="4"/>
      <c r="D329" s="4"/>
      <c r="E329" s="21"/>
      <c r="F329" s="4"/>
      <c r="G329" s="4"/>
      <c r="H329" s="4"/>
      <c r="I329" s="24">
        <f>SUM(I327:I328)</f>
        <v>11.978546995835814</v>
      </c>
      <c r="J329" s="23">
        <v>1</v>
      </c>
      <c r="K329" s="24" t="s">
        <v>423</v>
      </c>
    </row>
    <row r="330" spans="1:11">
      <c r="A330" s="4">
        <v>3.2</v>
      </c>
      <c r="B330" s="4" t="s">
        <v>13</v>
      </c>
      <c r="C330" s="4">
        <v>1</v>
      </c>
      <c r="D330" s="4">
        <v>35</v>
      </c>
      <c r="E330" s="21">
        <f t="shared" si="16"/>
        <v>10.670731707317074</v>
      </c>
      <c r="F330" s="4">
        <v>1</v>
      </c>
      <c r="G330" s="4">
        <v>1</v>
      </c>
      <c r="H330" s="4">
        <v>1</v>
      </c>
      <c r="I330" s="24">
        <f t="shared" si="17"/>
        <v>10.670731707317074</v>
      </c>
      <c r="J330" s="23">
        <v>1</v>
      </c>
      <c r="K330" s="24" t="s">
        <v>14</v>
      </c>
    </row>
    <row r="331" spans="1:11">
      <c r="A331" s="4">
        <v>4</v>
      </c>
      <c r="B331" s="20" t="s">
        <v>428</v>
      </c>
      <c r="C331" s="4"/>
      <c r="D331" s="4"/>
      <c r="E331" s="21"/>
      <c r="F331" s="4"/>
      <c r="G331" s="4"/>
      <c r="H331" s="4"/>
      <c r="I331" s="21" t="s">
        <v>36</v>
      </c>
      <c r="J331" s="6" t="s">
        <v>36</v>
      </c>
      <c r="K331" s="4"/>
    </row>
    <row r="332" spans="1:11">
      <c r="A332" s="4">
        <v>4.2</v>
      </c>
      <c r="B332" s="7" t="s">
        <v>429</v>
      </c>
      <c r="C332" s="4">
        <v>1</v>
      </c>
      <c r="D332" s="4"/>
      <c r="E332" s="33">
        <v>11.54</v>
      </c>
      <c r="F332" s="4"/>
      <c r="G332" s="4">
        <v>1</v>
      </c>
      <c r="H332" s="4">
        <v>1</v>
      </c>
      <c r="I332" s="22">
        <f>+H332*G332*E332*C332</f>
        <v>11.54</v>
      </c>
      <c r="J332" s="23">
        <v>1</v>
      </c>
      <c r="K332" s="24" t="s">
        <v>14</v>
      </c>
    </row>
    <row r="333" spans="1:11">
      <c r="A333" s="4"/>
      <c r="B333" s="7"/>
      <c r="C333" s="4"/>
      <c r="D333" s="4"/>
      <c r="E333" s="21"/>
      <c r="F333" s="4"/>
      <c r="G333" s="4"/>
      <c r="H333" s="4"/>
      <c r="I333" s="21" t="s">
        <v>36</v>
      </c>
      <c r="J333" s="6" t="s">
        <v>36</v>
      </c>
      <c r="K333" s="4"/>
    </row>
    <row r="334" spans="1:11" s="9" customFormat="1">
      <c r="A334" s="5">
        <v>5</v>
      </c>
      <c r="B334" s="138" t="s">
        <v>430</v>
      </c>
      <c r="C334" s="5"/>
      <c r="D334" s="5"/>
      <c r="E334" s="5"/>
      <c r="F334" s="5"/>
      <c r="G334" s="5"/>
      <c r="H334" s="5"/>
      <c r="I334" s="24">
        <f>SUM(I335:I338)</f>
        <v>7.0606999999999989</v>
      </c>
      <c r="J334" s="23">
        <v>1</v>
      </c>
      <c r="K334" s="24" t="s">
        <v>423</v>
      </c>
    </row>
    <row r="335" spans="1:11">
      <c r="A335" s="4">
        <v>5.0999999999999996</v>
      </c>
      <c r="B335" s="7" t="s">
        <v>431</v>
      </c>
      <c r="C335" s="4">
        <v>1</v>
      </c>
      <c r="D335" s="4"/>
      <c r="E335" s="4">
        <v>1.24</v>
      </c>
      <c r="F335" s="4"/>
      <c r="G335" s="4">
        <v>1.48</v>
      </c>
      <c r="H335" s="4">
        <v>1</v>
      </c>
      <c r="I335" s="4">
        <f>G335*E335*C335</f>
        <v>1.8351999999999999</v>
      </c>
      <c r="J335" s="6">
        <v>1</v>
      </c>
      <c r="K335" s="4"/>
    </row>
    <row r="336" spans="1:11">
      <c r="A336" s="4">
        <v>5.2</v>
      </c>
      <c r="B336" s="7" t="s">
        <v>432</v>
      </c>
      <c r="C336" s="4">
        <v>1</v>
      </c>
      <c r="D336" s="4"/>
      <c r="E336" s="4">
        <v>1.96</v>
      </c>
      <c r="F336" s="4"/>
      <c r="G336" s="4">
        <v>2.11</v>
      </c>
      <c r="H336" s="4">
        <v>1</v>
      </c>
      <c r="I336" s="4">
        <f>G336*C336*E336</f>
        <v>4.1355999999999993</v>
      </c>
      <c r="J336" s="6">
        <v>1</v>
      </c>
      <c r="K336" s="4"/>
    </row>
    <row r="337" spans="1:11">
      <c r="A337" s="4">
        <v>5.3</v>
      </c>
      <c r="B337" s="7" t="s">
        <v>433</v>
      </c>
      <c r="C337" s="4">
        <v>-1</v>
      </c>
      <c r="D337" s="4"/>
      <c r="E337" s="4">
        <v>0.41</v>
      </c>
      <c r="F337" s="4"/>
      <c r="G337" s="4">
        <v>1.0900000000000001</v>
      </c>
      <c r="H337" s="4">
        <v>1</v>
      </c>
      <c r="I337" s="4">
        <f>G337*C337*E337</f>
        <v>-0.44690000000000002</v>
      </c>
      <c r="J337" s="6">
        <v>1</v>
      </c>
      <c r="K337" s="4"/>
    </row>
    <row r="338" spans="1:11">
      <c r="A338" s="4">
        <v>5.4</v>
      </c>
      <c r="B338" s="7" t="s">
        <v>434</v>
      </c>
      <c r="C338" s="4">
        <v>1</v>
      </c>
      <c r="D338" s="4"/>
      <c r="E338" s="4">
        <v>1.36</v>
      </c>
      <c r="F338" s="4"/>
      <c r="G338" s="4">
        <v>1.1299999999999999</v>
      </c>
      <c r="H338" s="4">
        <v>1</v>
      </c>
      <c r="I338" s="4">
        <f>G338*C338*E338</f>
        <v>1.5367999999999999</v>
      </c>
      <c r="J338" s="6">
        <v>1</v>
      </c>
      <c r="K338" s="4"/>
    </row>
    <row r="339" spans="1:11">
      <c r="A339" s="4"/>
      <c r="B339" s="7"/>
      <c r="C339" s="4"/>
      <c r="D339" s="4"/>
      <c r="E339" s="4"/>
      <c r="F339" s="4"/>
      <c r="G339" s="4"/>
      <c r="H339" s="4"/>
      <c r="I339" s="4"/>
      <c r="J339" s="4"/>
      <c r="K339" s="4"/>
    </row>
    <row r="340" spans="1:11" s="9" customFormat="1">
      <c r="A340" s="5">
        <v>6</v>
      </c>
      <c r="B340" s="138" t="s">
        <v>435</v>
      </c>
      <c r="C340" s="5"/>
      <c r="D340" s="5"/>
      <c r="E340" s="5"/>
      <c r="F340" s="5"/>
      <c r="G340" s="5"/>
      <c r="H340" s="5"/>
      <c r="I340" s="24">
        <f>SUM(I341:I344)</f>
        <v>5.94</v>
      </c>
      <c r="J340" s="10">
        <v>1</v>
      </c>
      <c r="K340" s="5" t="s">
        <v>14</v>
      </c>
    </row>
    <row r="341" spans="1:11">
      <c r="A341" s="4"/>
      <c r="B341" s="7"/>
      <c r="C341" s="4">
        <v>2</v>
      </c>
      <c r="D341" s="4"/>
      <c r="E341" s="4">
        <v>1.24</v>
      </c>
      <c r="F341" s="4"/>
      <c r="G341" s="4">
        <v>1</v>
      </c>
      <c r="H341" s="4">
        <v>1</v>
      </c>
      <c r="I341" s="4">
        <f>H341*G341*E341*C341</f>
        <v>2.48</v>
      </c>
      <c r="J341" s="6">
        <v>1</v>
      </c>
      <c r="K341" s="4"/>
    </row>
    <row r="342" spans="1:11">
      <c r="A342" s="4"/>
      <c r="B342" s="7"/>
      <c r="C342" s="4">
        <v>1</v>
      </c>
      <c r="D342" s="4"/>
      <c r="E342" s="4">
        <v>0.41</v>
      </c>
      <c r="F342" s="4"/>
      <c r="G342" s="4">
        <v>1</v>
      </c>
      <c r="H342" s="4">
        <v>1</v>
      </c>
      <c r="I342" s="4">
        <f t="shared" ref="I342:I344" si="19">H342*G342*E342*C342</f>
        <v>0.41</v>
      </c>
      <c r="J342" s="6">
        <v>1</v>
      </c>
      <c r="K342" s="4"/>
    </row>
    <row r="343" spans="1:11">
      <c r="A343" s="4"/>
      <c r="B343" s="7"/>
      <c r="C343" s="4">
        <v>1</v>
      </c>
      <c r="D343" s="4"/>
      <c r="E343" s="4">
        <v>1.0900000000000001</v>
      </c>
      <c r="F343" s="4"/>
      <c r="G343" s="4">
        <v>1</v>
      </c>
      <c r="H343" s="4">
        <v>1</v>
      </c>
      <c r="I343" s="4">
        <f t="shared" si="19"/>
        <v>1.0900000000000001</v>
      </c>
      <c r="J343" s="6">
        <v>1</v>
      </c>
      <c r="K343" s="4"/>
    </row>
    <row r="344" spans="1:11">
      <c r="A344" s="4"/>
      <c r="B344" s="7"/>
      <c r="C344" s="4">
        <v>1</v>
      </c>
      <c r="D344" s="4"/>
      <c r="E344" s="4">
        <v>1.96</v>
      </c>
      <c r="F344" s="4"/>
      <c r="G344" s="4">
        <v>1</v>
      </c>
      <c r="H344" s="4">
        <v>1</v>
      </c>
      <c r="I344" s="4">
        <f t="shared" si="19"/>
        <v>1.96</v>
      </c>
      <c r="J344" s="6">
        <v>1</v>
      </c>
      <c r="K344" s="4"/>
    </row>
    <row r="345" spans="1:11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</row>
    <row r="346" spans="1:11">
      <c r="A346" s="4">
        <v>7</v>
      </c>
      <c r="B346" s="138" t="s">
        <v>436</v>
      </c>
      <c r="C346" s="4"/>
      <c r="D346" s="4"/>
      <c r="E346" s="4"/>
      <c r="F346" s="4"/>
      <c r="G346" s="4"/>
      <c r="H346" s="4"/>
      <c r="I346" s="4"/>
      <c r="J346" s="4"/>
      <c r="K346" s="4"/>
    </row>
    <row r="347" spans="1:11">
      <c r="A347" s="4">
        <v>7.1</v>
      </c>
      <c r="B347" s="18" t="s">
        <v>437</v>
      </c>
      <c r="C347" s="4">
        <v>1</v>
      </c>
      <c r="D347" s="4"/>
      <c r="E347" s="4">
        <v>2.29</v>
      </c>
      <c r="F347" s="4"/>
      <c r="G347" s="4">
        <v>5.8</v>
      </c>
      <c r="H347" s="4">
        <v>1</v>
      </c>
      <c r="I347" s="24">
        <f>H347*G347*E347*C347</f>
        <v>13.282</v>
      </c>
      <c r="J347" s="10">
        <v>1</v>
      </c>
      <c r="K347" s="5" t="s">
        <v>53</v>
      </c>
    </row>
    <row r="348" spans="1:11">
      <c r="A348" s="4">
        <v>7.2</v>
      </c>
      <c r="B348" s="18" t="s">
        <v>435</v>
      </c>
      <c r="C348" s="4"/>
      <c r="D348" s="4"/>
      <c r="E348" s="4"/>
      <c r="F348" s="4"/>
      <c r="G348" s="4"/>
      <c r="H348" s="4"/>
      <c r="I348" s="24">
        <f>SUM(I349:I350)</f>
        <v>14.2</v>
      </c>
      <c r="J348" s="10">
        <v>1</v>
      </c>
      <c r="K348" s="5" t="s">
        <v>14</v>
      </c>
    </row>
    <row r="349" spans="1:11">
      <c r="A349" s="4"/>
      <c r="B349" s="7"/>
      <c r="C349" s="4">
        <v>2</v>
      </c>
      <c r="D349" s="4"/>
      <c r="E349" s="4">
        <v>1.3</v>
      </c>
      <c r="F349" s="4"/>
      <c r="G349" s="4">
        <v>1</v>
      </c>
      <c r="H349" s="4">
        <v>1</v>
      </c>
      <c r="I349" s="4">
        <f t="shared" ref="I349:I350" si="20">H349*G349*E349*C349</f>
        <v>2.6</v>
      </c>
      <c r="J349" s="6">
        <v>1</v>
      </c>
      <c r="K349" s="4"/>
    </row>
    <row r="350" spans="1:11">
      <c r="A350" s="4"/>
      <c r="B350" s="7"/>
      <c r="C350" s="4">
        <v>2</v>
      </c>
      <c r="D350" s="4"/>
      <c r="E350" s="4">
        <v>5.8</v>
      </c>
      <c r="F350" s="4"/>
      <c r="G350" s="4">
        <v>1</v>
      </c>
      <c r="H350" s="4">
        <v>1</v>
      </c>
      <c r="I350" s="4">
        <f t="shared" si="20"/>
        <v>11.6</v>
      </c>
      <c r="J350" s="6">
        <v>1</v>
      </c>
      <c r="K350" s="4"/>
    </row>
    <row r="351" spans="1:11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</row>
    <row r="352" spans="1:11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</row>
    <row r="353" spans="1:11" s="9" customFormat="1">
      <c r="A353" s="5">
        <v>8</v>
      </c>
      <c r="B353" s="138" t="s">
        <v>438</v>
      </c>
      <c r="C353" s="5"/>
      <c r="D353" s="5"/>
      <c r="E353" s="5"/>
      <c r="F353" s="5"/>
      <c r="G353" s="5"/>
      <c r="H353" s="5"/>
      <c r="I353" s="24">
        <f>SUM(I354:I355)</f>
        <v>5.3519999999999994</v>
      </c>
      <c r="J353" s="10">
        <v>1</v>
      </c>
      <c r="K353" s="5" t="s">
        <v>53</v>
      </c>
    </row>
    <row r="354" spans="1:11">
      <c r="A354" s="4"/>
      <c r="B354" s="7"/>
      <c r="C354" s="4">
        <v>1</v>
      </c>
      <c r="D354" s="4"/>
      <c r="E354" s="4">
        <v>1.2</v>
      </c>
      <c r="F354" s="4"/>
      <c r="G354" s="4">
        <v>2.8</v>
      </c>
      <c r="H354" s="4">
        <v>1</v>
      </c>
      <c r="I354" s="4">
        <f>H354*G354*E354*C354</f>
        <v>3.36</v>
      </c>
      <c r="J354" s="6">
        <v>1</v>
      </c>
      <c r="K354" s="4"/>
    </row>
    <row r="355" spans="1:11">
      <c r="A355" s="4"/>
      <c r="B355" s="7"/>
      <c r="C355" s="4">
        <v>1</v>
      </c>
      <c r="D355" s="4"/>
      <c r="E355" s="4">
        <v>1.2</v>
      </c>
      <c r="F355" s="4"/>
      <c r="G355" s="4">
        <v>1.66</v>
      </c>
      <c r="H355" s="4">
        <v>1</v>
      </c>
      <c r="I355" s="4">
        <f t="shared" ref="I355:I356" si="21">H355*G355*E355*C355</f>
        <v>1.9919999999999998</v>
      </c>
      <c r="J355" s="6">
        <v>1</v>
      </c>
      <c r="K355" s="4"/>
    </row>
    <row r="356" spans="1:11" s="9" customFormat="1">
      <c r="A356" s="5">
        <v>9</v>
      </c>
      <c r="B356" s="138" t="s">
        <v>439</v>
      </c>
      <c r="C356" s="5">
        <v>2</v>
      </c>
      <c r="D356" s="5"/>
      <c r="E356" s="5">
        <v>1.2</v>
      </c>
      <c r="F356" s="5"/>
      <c r="G356" s="5">
        <v>1</v>
      </c>
      <c r="H356" s="5">
        <v>1</v>
      </c>
      <c r="I356" s="24">
        <f t="shared" si="21"/>
        <v>2.4</v>
      </c>
      <c r="J356" s="10">
        <v>1</v>
      </c>
      <c r="K356" s="5" t="s">
        <v>14</v>
      </c>
    </row>
    <row r="357" spans="1:11">
      <c r="A357" t="s">
        <v>440</v>
      </c>
    </row>
  </sheetData>
  <mergeCells count="12">
    <mergeCell ref="B120:H120"/>
    <mergeCell ref="A3:K3"/>
    <mergeCell ref="A4:K4"/>
    <mergeCell ref="A1:I1"/>
    <mergeCell ref="A2:K2"/>
    <mergeCell ref="A118:I118"/>
    <mergeCell ref="A119:K119"/>
    <mergeCell ref="B304:H304"/>
    <mergeCell ref="B318:H318"/>
    <mergeCell ref="A231:I231"/>
    <mergeCell ref="A232:K232"/>
    <mergeCell ref="B233:H2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E258-6D7F-4F98-9358-4E22355A2FB4}">
  <dimension ref="A1:I242"/>
  <sheetViews>
    <sheetView workbookViewId="0">
      <selection activeCell="G254" sqref="G254"/>
    </sheetView>
  </sheetViews>
  <sheetFormatPr defaultRowHeight="14.4"/>
  <cols>
    <col min="1" max="1" width="6.44140625" customWidth="1"/>
    <col min="2" max="2" width="32.44140625" style="16" customWidth="1"/>
    <col min="3" max="3" width="4.6640625" customWidth="1"/>
    <col min="6" max="6" width="7.109375" customWidth="1"/>
    <col min="8" max="8" width="6" customWidth="1"/>
    <col min="9" max="9" width="6.21875" customWidth="1"/>
  </cols>
  <sheetData>
    <row r="1" spans="1:9" ht="37.799999999999997" customHeight="1">
      <c r="A1" s="211" t="s">
        <v>9</v>
      </c>
      <c r="B1" s="211"/>
      <c r="C1" s="211"/>
      <c r="D1" s="211"/>
      <c r="E1" s="211"/>
      <c r="F1" s="1"/>
      <c r="G1" s="1"/>
    </row>
    <row r="2" spans="1:9" ht="28.8" customHeight="1">
      <c r="A2" s="209" t="s">
        <v>10</v>
      </c>
      <c r="B2" s="209"/>
      <c r="C2" s="209"/>
      <c r="D2" s="209"/>
      <c r="E2" s="209"/>
      <c r="F2" s="209"/>
      <c r="G2" s="209"/>
      <c r="H2" s="209"/>
      <c r="I2" s="209"/>
    </row>
    <row r="3" spans="1:9" ht="28.8" customHeight="1">
      <c r="A3" s="210" t="s">
        <v>173</v>
      </c>
      <c r="B3" s="210"/>
      <c r="C3" s="210"/>
      <c r="D3" s="210"/>
      <c r="E3" s="210"/>
      <c r="F3" s="36"/>
      <c r="G3" s="36"/>
      <c r="H3" s="36"/>
      <c r="I3" s="2"/>
    </row>
    <row r="4" spans="1:9">
      <c r="A4" s="213" t="s">
        <v>268</v>
      </c>
      <c r="B4" s="213"/>
      <c r="C4" s="213"/>
      <c r="D4" s="213"/>
      <c r="E4" s="213"/>
      <c r="F4" s="213"/>
      <c r="G4" s="213"/>
      <c r="H4" s="213"/>
      <c r="I4" s="213"/>
    </row>
    <row r="5" spans="1:9">
      <c r="B5" s="37"/>
      <c r="C5" s="225"/>
      <c r="D5" s="225"/>
    </row>
    <row r="6" spans="1:9" s="9" customFormat="1">
      <c r="A6" s="5" t="s">
        <v>83</v>
      </c>
      <c r="B6" s="18" t="s">
        <v>174</v>
      </c>
      <c r="C6" s="5" t="s">
        <v>175</v>
      </c>
      <c r="D6" s="5" t="s">
        <v>85</v>
      </c>
      <c r="E6" s="5" t="s">
        <v>87</v>
      </c>
      <c r="F6" s="5" t="s">
        <v>88</v>
      </c>
      <c r="G6" s="5" t="s">
        <v>6</v>
      </c>
      <c r="H6" s="5" t="s">
        <v>7</v>
      </c>
      <c r="I6" s="5" t="s">
        <v>176</v>
      </c>
    </row>
    <row r="7" spans="1:9">
      <c r="A7" s="4" t="s">
        <v>296</v>
      </c>
      <c r="B7" s="18" t="s">
        <v>21</v>
      </c>
      <c r="C7" s="4"/>
      <c r="D7" s="4"/>
      <c r="E7" s="4"/>
      <c r="F7" s="4"/>
      <c r="G7" s="4"/>
      <c r="H7" s="4"/>
      <c r="I7" s="4"/>
    </row>
    <row r="8" spans="1:9">
      <c r="A8" s="4">
        <v>1</v>
      </c>
      <c r="B8" s="7" t="s">
        <v>178</v>
      </c>
      <c r="C8" s="4">
        <v>1</v>
      </c>
      <c r="D8" s="15">
        <v>3.6</v>
      </c>
      <c r="E8" s="15">
        <v>4.2300000000000004</v>
      </c>
      <c r="F8" s="4">
        <v>1</v>
      </c>
      <c r="G8" s="4">
        <f>+F8*E8*D8*C8</f>
        <v>15.228000000000002</v>
      </c>
      <c r="H8" s="6">
        <v>1</v>
      </c>
      <c r="I8" s="4" t="s">
        <v>91</v>
      </c>
    </row>
    <row r="9" spans="1:9">
      <c r="A9" s="4"/>
      <c r="B9" s="7" t="s">
        <v>179</v>
      </c>
      <c r="C9" s="4">
        <v>1</v>
      </c>
      <c r="D9" s="4">
        <f>19/3.28</f>
        <v>5.7926829268292686</v>
      </c>
      <c r="E9" s="4">
        <f>12/3.28</f>
        <v>3.6585365853658538</v>
      </c>
      <c r="F9" s="4">
        <v>1</v>
      </c>
      <c r="G9" s="4">
        <f>+F9*E9*D9*C9</f>
        <v>21.192742415229031</v>
      </c>
      <c r="H9" s="6">
        <v>1</v>
      </c>
      <c r="I9" s="4" t="s">
        <v>91</v>
      </c>
    </row>
    <row r="10" spans="1:9">
      <c r="A10" s="4"/>
      <c r="B10" s="7" t="s">
        <v>180</v>
      </c>
      <c r="C10" s="4">
        <v>1</v>
      </c>
      <c r="D10" s="4">
        <f>19/3.28</f>
        <v>5.7926829268292686</v>
      </c>
      <c r="E10" s="4">
        <f>2.25/3.28</f>
        <v>0.68597560975609762</v>
      </c>
      <c r="F10" s="4">
        <v>1</v>
      </c>
      <c r="G10" s="4">
        <f>+F10*E10*D10*C10</f>
        <v>3.9736392028554435</v>
      </c>
      <c r="H10" s="6">
        <v>1</v>
      </c>
      <c r="I10" s="4" t="s">
        <v>91</v>
      </c>
    </row>
    <row r="11" spans="1:9">
      <c r="A11" s="4"/>
      <c r="B11" s="7"/>
      <c r="C11" s="4"/>
      <c r="D11" s="4"/>
      <c r="E11" s="4"/>
      <c r="F11" s="4"/>
      <c r="G11" s="24">
        <f>SUM(G8:G10)</f>
        <v>40.394381618084473</v>
      </c>
      <c r="H11" s="6">
        <v>1</v>
      </c>
      <c r="I11" s="4" t="s">
        <v>91</v>
      </c>
    </row>
    <row r="12" spans="1:9">
      <c r="A12" s="4">
        <v>2</v>
      </c>
      <c r="B12" s="7" t="s">
        <v>181</v>
      </c>
      <c r="C12" s="4">
        <v>1</v>
      </c>
      <c r="D12" s="15">
        <v>5.79</v>
      </c>
      <c r="E12" s="15">
        <v>3.65</v>
      </c>
      <c r="F12" s="4">
        <v>1</v>
      </c>
      <c r="G12" s="4">
        <f>+F12*E12*D12*C12</f>
        <v>21.133499999999998</v>
      </c>
      <c r="H12" s="6">
        <v>1</v>
      </c>
      <c r="I12" s="4" t="s">
        <v>91</v>
      </c>
    </row>
    <row r="13" spans="1:9">
      <c r="A13" s="4"/>
      <c r="B13" s="7" t="s">
        <v>182</v>
      </c>
      <c r="C13" s="4">
        <v>1</v>
      </c>
      <c r="D13" s="4">
        <f>19/3.28</f>
        <v>5.7926829268292686</v>
      </c>
      <c r="E13" s="15">
        <v>0.35</v>
      </c>
      <c r="F13" s="4">
        <v>1</v>
      </c>
      <c r="G13" s="4">
        <f>+F13*E13*D13*C13</f>
        <v>2.0274390243902438</v>
      </c>
      <c r="H13" s="6">
        <v>1</v>
      </c>
      <c r="I13" s="4" t="s">
        <v>91</v>
      </c>
    </row>
    <row r="14" spans="1:9">
      <c r="A14" s="4"/>
      <c r="B14" s="7" t="s">
        <v>183</v>
      </c>
      <c r="C14" s="4">
        <v>1</v>
      </c>
      <c r="D14" s="4">
        <f>5/3.28</f>
        <v>1.524390243902439</v>
      </c>
      <c r="E14" s="4">
        <f>6.25/3.28</f>
        <v>1.9054878048780488</v>
      </c>
      <c r="F14" s="4">
        <v>1</v>
      </c>
      <c r="G14" s="4">
        <f>+F14*E14*D14*C14</f>
        <v>2.9047070196311719</v>
      </c>
      <c r="H14" s="6">
        <v>1</v>
      </c>
      <c r="I14" s="4" t="s">
        <v>91</v>
      </c>
    </row>
    <row r="15" spans="1:9">
      <c r="A15" s="4"/>
      <c r="B15" s="7"/>
      <c r="C15" s="4"/>
      <c r="D15" s="4"/>
      <c r="E15" s="4"/>
      <c r="F15" s="4"/>
      <c r="G15" s="24">
        <f>SUM(G12:G14)</f>
        <v>26.065646044021413</v>
      </c>
      <c r="H15" s="6">
        <v>1</v>
      </c>
      <c r="I15" s="4" t="s">
        <v>91</v>
      </c>
    </row>
    <row r="16" spans="1:9">
      <c r="A16" s="4">
        <v>3</v>
      </c>
      <c r="B16" s="7" t="s">
        <v>17</v>
      </c>
      <c r="C16" s="4">
        <v>1</v>
      </c>
      <c r="D16" s="4">
        <f>36/3.28</f>
        <v>10.975609756097562</v>
      </c>
      <c r="E16" s="4">
        <v>1</v>
      </c>
      <c r="F16" s="4">
        <v>1</v>
      </c>
      <c r="G16" s="24">
        <f>+F16*E16*D16*C16</f>
        <v>10.975609756097562</v>
      </c>
      <c r="H16" s="6">
        <v>1</v>
      </c>
      <c r="I16" s="4" t="s">
        <v>14</v>
      </c>
    </row>
    <row r="17" spans="1:9">
      <c r="A17" s="4">
        <v>4</v>
      </c>
      <c r="B17" s="7" t="s">
        <v>184</v>
      </c>
      <c r="C17" s="4">
        <v>2</v>
      </c>
      <c r="D17" s="4">
        <f>6.25/3.28</f>
        <v>1.9054878048780488</v>
      </c>
      <c r="E17" s="4">
        <v>1</v>
      </c>
      <c r="F17" s="4">
        <v>1</v>
      </c>
      <c r="G17" s="4">
        <f>+F17*E17*D17*C17</f>
        <v>3.8109756097560976</v>
      </c>
      <c r="H17" s="6">
        <v>1</v>
      </c>
      <c r="I17" s="4" t="s">
        <v>14</v>
      </c>
    </row>
    <row r="18" spans="1:9">
      <c r="A18" s="4"/>
      <c r="B18" s="7" t="s">
        <v>184</v>
      </c>
      <c r="C18" s="4">
        <v>2</v>
      </c>
      <c r="D18" s="4">
        <f>2.33/3.28</f>
        <v>0.71036585365853666</v>
      </c>
      <c r="E18" s="4">
        <v>1</v>
      </c>
      <c r="F18" s="4">
        <v>1</v>
      </c>
      <c r="G18" s="4">
        <f>+F18*E18*D18*C18</f>
        <v>1.4207317073170733</v>
      </c>
      <c r="H18" s="6">
        <v>1</v>
      </c>
      <c r="I18" s="4" t="s">
        <v>14</v>
      </c>
    </row>
    <row r="19" spans="1:9">
      <c r="A19" s="4"/>
      <c r="B19" s="7"/>
      <c r="C19" s="4"/>
      <c r="D19" s="4"/>
      <c r="E19" s="4"/>
      <c r="F19" s="4"/>
      <c r="G19" s="24">
        <f>SUM(G17:G18)</f>
        <v>5.2317073170731714</v>
      </c>
      <c r="H19" s="6">
        <v>1</v>
      </c>
      <c r="I19" s="4" t="s">
        <v>14</v>
      </c>
    </row>
    <row r="20" spans="1:9">
      <c r="A20" s="4">
        <v>5</v>
      </c>
      <c r="B20" s="7" t="s">
        <v>185</v>
      </c>
      <c r="C20" s="4">
        <v>2</v>
      </c>
      <c r="D20" s="4">
        <f>6.25/3.28</f>
        <v>1.9054878048780488</v>
      </c>
      <c r="E20" s="4">
        <v>1</v>
      </c>
      <c r="F20" s="4">
        <v>1</v>
      </c>
      <c r="G20" s="4">
        <f>+F20*E20*D20*C20</f>
        <v>3.8109756097560976</v>
      </c>
      <c r="H20" s="6">
        <v>1</v>
      </c>
      <c r="I20" s="4" t="s">
        <v>14</v>
      </c>
    </row>
    <row r="21" spans="1:9">
      <c r="A21" s="4"/>
      <c r="B21" s="7" t="s">
        <v>185</v>
      </c>
      <c r="C21" s="4">
        <v>2</v>
      </c>
      <c r="D21" s="4">
        <f>2.33/3.28</f>
        <v>0.71036585365853666</v>
      </c>
      <c r="E21" s="4">
        <v>1</v>
      </c>
      <c r="F21" s="4">
        <v>1</v>
      </c>
      <c r="G21" s="4">
        <f>+F21*E21*D21*C21</f>
        <v>1.4207317073170733</v>
      </c>
      <c r="H21" s="6">
        <v>1</v>
      </c>
      <c r="I21" s="4" t="s">
        <v>14</v>
      </c>
    </row>
    <row r="22" spans="1:9">
      <c r="A22" s="4"/>
      <c r="B22" s="7"/>
      <c r="C22" s="4"/>
      <c r="D22" s="4"/>
      <c r="E22" s="4"/>
      <c r="F22" s="4"/>
      <c r="G22" s="24">
        <f>SUM(G20:G21)</f>
        <v>5.2317073170731714</v>
      </c>
      <c r="H22" s="6">
        <v>1</v>
      </c>
      <c r="I22" s="4" t="s">
        <v>14</v>
      </c>
    </row>
    <row r="23" spans="1:9">
      <c r="A23" s="4">
        <v>6</v>
      </c>
      <c r="B23" s="7" t="s">
        <v>186</v>
      </c>
      <c r="C23" s="4">
        <v>1</v>
      </c>
      <c r="D23" s="4">
        <f>2/3.28</f>
        <v>0.6097560975609756</v>
      </c>
      <c r="E23" s="4">
        <f>2.33/3.28</f>
        <v>0.71036585365853666</v>
      </c>
      <c r="F23" s="4">
        <v>1</v>
      </c>
      <c r="G23" s="24">
        <f t="shared" ref="G23:G28" si="0">+F23*E23*D23*C23</f>
        <v>0.43314991076740039</v>
      </c>
      <c r="H23" s="6">
        <v>1</v>
      </c>
      <c r="I23" s="4" t="s">
        <v>91</v>
      </c>
    </row>
    <row r="24" spans="1:9">
      <c r="A24" s="4">
        <v>7</v>
      </c>
      <c r="B24" s="7" t="s">
        <v>187</v>
      </c>
      <c r="C24" s="4">
        <v>1</v>
      </c>
      <c r="D24" s="4">
        <f>2.33/3.28</f>
        <v>0.71036585365853666</v>
      </c>
      <c r="E24" s="4">
        <f>9/3.28</f>
        <v>2.7439024390243905</v>
      </c>
      <c r="F24" s="4">
        <v>1</v>
      </c>
      <c r="G24" s="24">
        <f t="shared" si="0"/>
        <v>1.949174598453302</v>
      </c>
      <c r="H24" s="6">
        <v>1</v>
      </c>
      <c r="I24" s="4" t="s">
        <v>91</v>
      </c>
    </row>
    <row r="25" spans="1:9">
      <c r="A25" s="4">
        <v>8</v>
      </c>
      <c r="B25" s="7" t="s">
        <v>188</v>
      </c>
      <c r="C25" s="4">
        <v>1</v>
      </c>
      <c r="D25" s="4">
        <f>19/3.28</f>
        <v>5.7926829268292686</v>
      </c>
      <c r="E25" s="4">
        <v>1</v>
      </c>
      <c r="F25" s="4">
        <v>1</v>
      </c>
      <c r="G25" s="24">
        <f t="shared" si="0"/>
        <v>5.7926829268292686</v>
      </c>
      <c r="H25" s="6">
        <v>1</v>
      </c>
      <c r="I25" s="4" t="s">
        <v>14</v>
      </c>
    </row>
    <row r="26" spans="1:9">
      <c r="A26" s="4">
        <v>9</v>
      </c>
      <c r="B26" s="7" t="s">
        <v>189</v>
      </c>
      <c r="C26" s="4">
        <v>2</v>
      </c>
      <c r="D26" s="4">
        <f>19/3.28</f>
        <v>5.7926829268292686</v>
      </c>
      <c r="E26" s="4">
        <v>1</v>
      </c>
      <c r="F26" s="4">
        <v>1</v>
      </c>
      <c r="G26" s="4">
        <f t="shared" si="0"/>
        <v>11.585365853658537</v>
      </c>
      <c r="H26" s="6">
        <v>1</v>
      </c>
      <c r="I26" s="4" t="s">
        <v>14</v>
      </c>
    </row>
    <row r="27" spans="1:9">
      <c r="A27" s="4"/>
      <c r="B27" s="7" t="s">
        <v>190</v>
      </c>
      <c r="C27" s="4">
        <v>3</v>
      </c>
      <c r="D27" s="4">
        <f>19.75/3.28</f>
        <v>6.0213414634146343</v>
      </c>
      <c r="E27" s="4">
        <v>1</v>
      </c>
      <c r="F27" s="4">
        <v>1</v>
      </c>
      <c r="G27" s="4">
        <f t="shared" si="0"/>
        <v>18.064024390243901</v>
      </c>
      <c r="H27" s="6">
        <v>1</v>
      </c>
      <c r="I27" s="4" t="s">
        <v>14</v>
      </c>
    </row>
    <row r="28" spans="1:9">
      <c r="A28" s="4"/>
      <c r="B28" s="7" t="s">
        <v>190</v>
      </c>
      <c r="C28" s="4">
        <v>3</v>
      </c>
      <c r="D28" s="4">
        <f>13.83/3.28</f>
        <v>4.2164634146341466</v>
      </c>
      <c r="E28" s="4">
        <v>1</v>
      </c>
      <c r="F28" s="4">
        <v>1</v>
      </c>
      <c r="G28" s="4">
        <f t="shared" si="0"/>
        <v>12.64939024390244</v>
      </c>
      <c r="H28" s="6">
        <v>1</v>
      </c>
      <c r="I28" s="4" t="s">
        <v>14</v>
      </c>
    </row>
    <row r="29" spans="1:9">
      <c r="A29" s="4"/>
      <c r="B29" s="7"/>
      <c r="C29" s="4"/>
      <c r="D29" s="4"/>
      <c r="E29" s="4"/>
      <c r="F29" s="4"/>
      <c r="G29" s="24">
        <f>SUM(G26:G28)</f>
        <v>42.298780487804876</v>
      </c>
      <c r="H29" s="6">
        <v>1</v>
      </c>
      <c r="I29" s="4" t="s">
        <v>14</v>
      </c>
    </row>
    <row r="30" spans="1:9">
      <c r="A30" s="4">
        <v>10</v>
      </c>
      <c r="B30" s="7" t="s">
        <v>191</v>
      </c>
      <c r="C30" s="4">
        <v>1</v>
      </c>
      <c r="D30" s="4">
        <f>19.75/3.28</f>
        <v>6.0213414634146343</v>
      </c>
      <c r="E30" s="4">
        <v>1</v>
      </c>
      <c r="F30" s="4">
        <v>1</v>
      </c>
      <c r="G30" s="4">
        <f>+F30*E30*D30*C30</f>
        <v>6.0213414634146343</v>
      </c>
      <c r="H30" s="6">
        <v>1</v>
      </c>
      <c r="I30" s="4" t="s">
        <v>14</v>
      </c>
    </row>
    <row r="31" spans="1:9">
      <c r="A31" s="4"/>
      <c r="B31" s="7" t="s">
        <v>191</v>
      </c>
      <c r="C31" s="4">
        <v>1</v>
      </c>
      <c r="D31" s="4">
        <f>19.75/3.28</f>
        <v>6.0213414634146343</v>
      </c>
      <c r="E31" s="4">
        <v>1</v>
      </c>
      <c r="F31" s="4">
        <v>1</v>
      </c>
      <c r="G31" s="4">
        <f>+F31*E31*D31*C31</f>
        <v>6.0213414634146343</v>
      </c>
      <c r="H31" s="6">
        <v>1</v>
      </c>
      <c r="I31" s="4" t="s">
        <v>14</v>
      </c>
    </row>
    <row r="32" spans="1:9">
      <c r="A32" s="4"/>
      <c r="B32" s="7" t="s">
        <v>191</v>
      </c>
      <c r="C32" s="4">
        <v>1</v>
      </c>
      <c r="D32" s="4">
        <v>4.2</v>
      </c>
      <c r="E32" s="4">
        <v>1</v>
      </c>
      <c r="F32" s="4">
        <v>1</v>
      </c>
      <c r="G32" s="4">
        <f>+F32*E32*D32*C32</f>
        <v>4.2</v>
      </c>
      <c r="H32" s="6">
        <v>1</v>
      </c>
      <c r="I32" s="4" t="s">
        <v>14</v>
      </c>
    </row>
    <row r="33" spans="1:9">
      <c r="A33" s="4"/>
      <c r="B33" s="7"/>
      <c r="C33" s="4"/>
      <c r="D33" s="4"/>
      <c r="E33" s="4"/>
      <c r="F33" s="4"/>
      <c r="G33" s="24">
        <f>SUM(G30:G32)</f>
        <v>16.242682926829268</v>
      </c>
      <c r="H33" s="6">
        <v>1</v>
      </c>
      <c r="I33" s="4" t="s">
        <v>14</v>
      </c>
    </row>
    <row r="34" spans="1:9">
      <c r="A34" s="4">
        <v>11</v>
      </c>
      <c r="B34" s="7" t="s">
        <v>192</v>
      </c>
      <c r="C34" s="4">
        <v>1</v>
      </c>
      <c r="D34" s="4">
        <f>19/3.28</f>
        <v>5.7926829268292686</v>
      </c>
      <c r="E34" s="4">
        <v>1</v>
      </c>
      <c r="F34" s="4">
        <v>1</v>
      </c>
      <c r="G34" s="4">
        <f>+F34*E34*D34*C34</f>
        <v>5.7926829268292686</v>
      </c>
      <c r="H34" s="6">
        <v>1</v>
      </c>
      <c r="I34" s="4" t="s">
        <v>14</v>
      </c>
    </row>
    <row r="35" spans="1:9">
      <c r="A35" s="4"/>
      <c r="B35" s="7" t="s">
        <v>193</v>
      </c>
      <c r="C35" s="4">
        <v>3</v>
      </c>
      <c r="D35" s="4">
        <f>19.75/3.28</f>
        <v>6.0213414634146343</v>
      </c>
      <c r="E35" s="4">
        <v>1</v>
      </c>
      <c r="F35" s="4">
        <v>1</v>
      </c>
      <c r="G35" s="4">
        <f>+F35*E35*D35*C35</f>
        <v>18.064024390243901</v>
      </c>
      <c r="H35" s="6">
        <v>1</v>
      </c>
      <c r="I35" s="4" t="s">
        <v>14</v>
      </c>
    </row>
    <row r="36" spans="1:9">
      <c r="A36" s="4"/>
      <c r="B36" s="7" t="s">
        <v>193</v>
      </c>
      <c r="C36" s="4">
        <v>3</v>
      </c>
      <c r="D36" s="4">
        <f>13.83/3.28</f>
        <v>4.2164634146341466</v>
      </c>
      <c r="E36" s="4">
        <v>1</v>
      </c>
      <c r="F36" s="4">
        <v>1</v>
      </c>
      <c r="G36" s="4">
        <f>+F36*E36*D36*C36</f>
        <v>12.64939024390244</v>
      </c>
      <c r="H36" s="6">
        <v>1</v>
      </c>
      <c r="I36" s="4" t="s">
        <v>14</v>
      </c>
    </row>
    <row r="37" spans="1:9">
      <c r="A37" s="4"/>
      <c r="B37" s="7"/>
      <c r="C37" s="4"/>
      <c r="D37" s="4"/>
      <c r="E37" s="4"/>
      <c r="F37" s="4"/>
      <c r="G37" s="24">
        <f>SUM(G34:G36)</f>
        <v>36.506097560975611</v>
      </c>
      <c r="H37" s="6">
        <v>1</v>
      </c>
      <c r="I37" s="4" t="s">
        <v>14</v>
      </c>
    </row>
    <row r="38" spans="1:9">
      <c r="A38" s="4">
        <v>12</v>
      </c>
      <c r="B38" s="7" t="s">
        <v>194</v>
      </c>
      <c r="C38" s="4">
        <v>2</v>
      </c>
      <c r="D38" s="4">
        <f>19.75/3.28</f>
        <v>6.0213414634146343</v>
      </c>
      <c r="E38" s="4">
        <v>1</v>
      </c>
      <c r="F38" s="4">
        <v>1</v>
      </c>
      <c r="G38" s="4">
        <f>+F38*E38*D38*C38</f>
        <v>12.042682926829269</v>
      </c>
      <c r="H38" s="6">
        <v>1</v>
      </c>
      <c r="I38" s="4" t="s">
        <v>14</v>
      </c>
    </row>
    <row r="39" spans="1:9">
      <c r="A39" s="4"/>
      <c r="B39" s="7" t="s">
        <v>194</v>
      </c>
      <c r="C39" s="4">
        <v>2</v>
      </c>
      <c r="D39" s="4">
        <f>19.75/3.28</f>
        <v>6.0213414634146343</v>
      </c>
      <c r="E39" s="4">
        <v>1</v>
      </c>
      <c r="F39" s="4">
        <v>1</v>
      </c>
      <c r="G39" s="4">
        <f>+F39*E39*D39*C39</f>
        <v>12.042682926829269</v>
      </c>
      <c r="H39" s="6">
        <v>1</v>
      </c>
      <c r="I39" s="4" t="s">
        <v>14</v>
      </c>
    </row>
    <row r="40" spans="1:9">
      <c r="A40" s="4"/>
      <c r="B40" s="7" t="s">
        <v>194</v>
      </c>
      <c r="C40" s="4">
        <v>2</v>
      </c>
      <c r="D40" s="4">
        <f>13.83/3.28</f>
        <v>4.2164634146341466</v>
      </c>
      <c r="E40" s="4">
        <v>1</v>
      </c>
      <c r="F40" s="4">
        <v>1</v>
      </c>
      <c r="G40" s="4">
        <f>+F40*E40*D40*C40</f>
        <v>8.4329268292682933</v>
      </c>
      <c r="H40" s="6">
        <v>1</v>
      </c>
      <c r="I40" s="4" t="s">
        <v>14</v>
      </c>
    </row>
    <row r="41" spans="1:9">
      <c r="A41" s="4"/>
      <c r="B41" s="7"/>
      <c r="C41" s="4"/>
      <c r="D41" s="4"/>
      <c r="E41" s="4"/>
      <c r="F41" s="4"/>
      <c r="G41" s="24">
        <f>SUM(G38:G40)</f>
        <v>32.518292682926827</v>
      </c>
      <c r="H41" s="6">
        <v>1</v>
      </c>
      <c r="I41" s="4" t="s">
        <v>14</v>
      </c>
    </row>
    <row r="42" spans="1:9">
      <c r="A42" s="4" t="s">
        <v>195</v>
      </c>
      <c r="B42" s="18" t="s">
        <v>196</v>
      </c>
      <c r="C42" s="4"/>
      <c r="D42" s="4"/>
      <c r="E42" s="4"/>
      <c r="F42" s="4"/>
      <c r="G42" s="4" t="s">
        <v>36</v>
      </c>
      <c r="H42" s="6" t="s">
        <v>36</v>
      </c>
      <c r="I42" s="4"/>
    </row>
    <row r="43" spans="1:9">
      <c r="A43" s="4">
        <v>1</v>
      </c>
      <c r="B43" s="7" t="s">
        <v>197</v>
      </c>
      <c r="C43" s="4">
        <v>1</v>
      </c>
      <c r="D43" s="4">
        <f>5.25/3.28</f>
        <v>1.6006097560975612</v>
      </c>
      <c r="E43" s="4">
        <v>1</v>
      </c>
      <c r="F43" s="4">
        <v>1</v>
      </c>
      <c r="G43" s="24">
        <f>+F43*E43*D43*C43</f>
        <v>1.6006097560975612</v>
      </c>
      <c r="H43" s="6">
        <v>1</v>
      </c>
      <c r="I43" s="4" t="s">
        <v>14</v>
      </c>
    </row>
    <row r="44" spans="1:9">
      <c r="A44" s="4"/>
      <c r="B44" s="7"/>
      <c r="C44" s="4"/>
      <c r="D44" s="4"/>
      <c r="E44" s="4"/>
      <c r="F44" s="4"/>
      <c r="G44" s="4" t="s">
        <v>36</v>
      </c>
      <c r="H44" s="6" t="s">
        <v>36</v>
      </c>
      <c r="I44" s="4"/>
    </row>
    <row r="45" spans="1:9">
      <c r="A45" s="4" t="s">
        <v>198</v>
      </c>
      <c r="B45" s="18" t="s">
        <v>199</v>
      </c>
      <c r="C45" s="4"/>
      <c r="D45" s="4"/>
      <c r="E45" s="4"/>
      <c r="F45" s="4"/>
      <c r="G45" s="4" t="s">
        <v>36</v>
      </c>
      <c r="H45" s="6" t="s">
        <v>36</v>
      </c>
      <c r="I45" s="4"/>
    </row>
    <row r="46" spans="1:9">
      <c r="A46" s="4">
        <v>1</v>
      </c>
      <c r="B46" s="7" t="s">
        <v>200</v>
      </c>
      <c r="C46" s="4">
        <v>1</v>
      </c>
      <c r="D46" s="4">
        <f>3.08/3.26</f>
        <v>0.94478527607361973</v>
      </c>
      <c r="E46" s="4">
        <v>1</v>
      </c>
      <c r="F46" s="4">
        <v>1</v>
      </c>
      <c r="G46" s="24">
        <f>+F46*E46*D46*C46</f>
        <v>0.94478527607361973</v>
      </c>
      <c r="H46" s="6">
        <v>1</v>
      </c>
      <c r="I46" s="4" t="s">
        <v>14</v>
      </c>
    </row>
    <row r="47" spans="1:9">
      <c r="A47" s="4">
        <v>2</v>
      </c>
      <c r="B47" s="7" t="s">
        <v>201</v>
      </c>
      <c r="C47" s="4">
        <v>1</v>
      </c>
      <c r="D47" s="4">
        <f>3.08/3.26</f>
        <v>0.94478527607361973</v>
      </c>
      <c r="E47" s="4">
        <v>1</v>
      </c>
      <c r="F47" s="4">
        <v>1</v>
      </c>
      <c r="G47" s="24">
        <f>+F47*E47*D47*C47</f>
        <v>0.94478527607361973</v>
      </c>
      <c r="H47" s="6">
        <v>1</v>
      </c>
      <c r="I47" s="4" t="s">
        <v>14</v>
      </c>
    </row>
    <row r="48" spans="1:9">
      <c r="A48" s="4"/>
      <c r="B48" s="7"/>
      <c r="C48" s="4"/>
      <c r="D48" s="4"/>
      <c r="E48" s="4"/>
      <c r="F48" s="4"/>
      <c r="G48" s="4" t="s">
        <v>36</v>
      </c>
      <c r="H48" s="6" t="s">
        <v>36</v>
      </c>
      <c r="I48" s="4"/>
    </row>
    <row r="49" spans="1:9">
      <c r="A49" s="4" t="s">
        <v>202</v>
      </c>
      <c r="B49" s="18" t="s">
        <v>49</v>
      </c>
      <c r="C49" s="4"/>
      <c r="D49" s="4"/>
      <c r="E49" s="4"/>
      <c r="F49" s="4"/>
      <c r="G49" s="4" t="s">
        <v>36</v>
      </c>
      <c r="H49" s="6" t="s">
        <v>36</v>
      </c>
      <c r="I49" s="4"/>
    </row>
    <row r="50" spans="1:9">
      <c r="A50" s="4">
        <v>1</v>
      </c>
      <c r="B50" s="7" t="s">
        <v>200</v>
      </c>
      <c r="C50" s="4">
        <v>1</v>
      </c>
      <c r="D50" s="4">
        <f>2.58/3.26</f>
        <v>0.79141104294478537</v>
      </c>
      <c r="E50" s="4">
        <v>1</v>
      </c>
      <c r="F50" s="4">
        <v>1</v>
      </c>
      <c r="G50" s="24">
        <f>+F50*E50*D50*C50</f>
        <v>0.79141104294478537</v>
      </c>
      <c r="H50" s="6">
        <v>1</v>
      </c>
      <c r="I50" s="4" t="s">
        <v>14</v>
      </c>
    </row>
    <row r="51" spans="1:9">
      <c r="A51" s="4">
        <v>2</v>
      </c>
      <c r="B51" s="7" t="s">
        <v>201</v>
      </c>
      <c r="C51" s="4">
        <v>1</v>
      </c>
      <c r="D51" s="4">
        <f>2.58/3.26</f>
        <v>0.79141104294478537</v>
      </c>
      <c r="E51" s="4">
        <v>1</v>
      </c>
      <c r="F51" s="4">
        <v>1</v>
      </c>
      <c r="G51" s="24">
        <f>+F51*E51*D51*C51</f>
        <v>0.79141104294478537</v>
      </c>
      <c r="H51" s="6">
        <v>1</v>
      </c>
      <c r="I51" s="4" t="s">
        <v>14</v>
      </c>
    </row>
    <row r="52" spans="1:9">
      <c r="A52" s="4"/>
      <c r="B52" s="7"/>
      <c r="C52" s="4"/>
      <c r="D52" s="4"/>
      <c r="E52" s="4"/>
      <c r="F52" s="4"/>
      <c r="G52" s="4" t="s">
        <v>36</v>
      </c>
      <c r="H52" s="6" t="s">
        <v>36</v>
      </c>
      <c r="I52" s="4"/>
    </row>
    <row r="53" spans="1:9">
      <c r="A53" s="4" t="s">
        <v>203</v>
      </c>
      <c r="B53" s="18" t="s">
        <v>204</v>
      </c>
      <c r="C53" s="4"/>
      <c r="D53" s="4"/>
      <c r="E53" s="4"/>
      <c r="F53" s="4"/>
      <c r="G53" s="4" t="s">
        <v>36</v>
      </c>
      <c r="H53" s="6" t="s">
        <v>36</v>
      </c>
      <c r="I53" s="4"/>
    </row>
    <row r="54" spans="1:9">
      <c r="A54" s="4">
        <v>1</v>
      </c>
      <c r="B54" s="7" t="s">
        <v>200</v>
      </c>
      <c r="C54" s="4">
        <v>1</v>
      </c>
      <c r="D54" s="4">
        <f>2.5/3.28</f>
        <v>0.76219512195121952</v>
      </c>
      <c r="E54" s="4">
        <v>1</v>
      </c>
      <c r="F54" s="4">
        <v>1</v>
      </c>
      <c r="G54" s="4">
        <f>+F54*E54*D54*C54</f>
        <v>0.76219512195121952</v>
      </c>
      <c r="H54" s="6">
        <v>1</v>
      </c>
      <c r="I54" s="4" t="s">
        <v>14</v>
      </c>
    </row>
    <row r="55" spans="1:9">
      <c r="A55" s="4" t="s">
        <v>36</v>
      </c>
      <c r="B55" s="7" t="s">
        <v>200</v>
      </c>
      <c r="C55" s="4">
        <v>1</v>
      </c>
      <c r="D55" s="4">
        <f>2.83/3.28</f>
        <v>0.86280487804878059</v>
      </c>
      <c r="E55" s="4">
        <v>1</v>
      </c>
      <c r="F55" s="4">
        <v>1</v>
      </c>
      <c r="G55" s="4">
        <f>+F55*E55*D55*C55</f>
        <v>0.86280487804878059</v>
      </c>
      <c r="H55" s="6">
        <v>1</v>
      </c>
      <c r="I55" s="4" t="s">
        <v>14</v>
      </c>
    </row>
    <row r="56" spans="1:9">
      <c r="A56" s="4"/>
      <c r="B56" s="7"/>
      <c r="C56" s="4"/>
      <c r="D56" s="4"/>
      <c r="E56" s="4"/>
      <c r="F56" s="4"/>
      <c r="G56" s="24">
        <f>SUM(G54:G55)</f>
        <v>1.625</v>
      </c>
      <c r="H56" s="6">
        <v>1</v>
      </c>
      <c r="I56" s="4" t="s">
        <v>14</v>
      </c>
    </row>
    <row r="57" spans="1:9">
      <c r="A57" s="4">
        <v>2</v>
      </c>
      <c r="B57" s="7" t="s">
        <v>201</v>
      </c>
      <c r="C57" s="4">
        <v>1</v>
      </c>
      <c r="D57" s="4">
        <f>2.5/3.28</f>
        <v>0.76219512195121952</v>
      </c>
      <c r="E57" s="4">
        <v>1</v>
      </c>
      <c r="F57" s="4">
        <v>1</v>
      </c>
      <c r="G57" s="4">
        <f>+F57*E57*D57*C57</f>
        <v>0.76219512195121952</v>
      </c>
      <c r="H57" s="6">
        <v>1</v>
      </c>
      <c r="I57" s="4" t="s">
        <v>14</v>
      </c>
    </row>
    <row r="58" spans="1:9">
      <c r="A58" s="4"/>
      <c r="B58" s="7" t="s">
        <v>201</v>
      </c>
      <c r="C58" s="4">
        <v>1</v>
      </c>
      <c r="D58" s="4">
        <f>2.83/3.28</f>
        <v>0.86280487804878059</v>
      </c>
      <c r="E58" s="4">
        <v>1</v>
      </c>
      <c r="F58" s="4">
        <v>1</v>
      </c>
      <c r="G58" s="4">
        <f>+F58*E58*D58*C58</f>
        <v>0.86280487804878059</v>
      </c>
      <c r="H58" s="6">
        <v>1</v>
      </c>
      <c r="I58" s="4" t="s">
        <v>14</v>
      </c>
    </row>
    <row r="59" spans="1:9">
      <c r="A59" s="4"/>
      <c r="B59" s="7"/>
      <c r="C59" s="4"/>
      <c r="D59" s="4"/>
      <c r="E59" s="4"/>
      <c r="F59" s="4"/>
      <c r="G59" s="24">
        <f>SUM(G57:G58)</f>
        <v>1.625</v>
      </c>
      <c r="H59" s="6">
        <v>1</v>
      </c>
      <c r="I59" s="4" t="s">
        <v>14</v>
      </c>
    </row>
    <row r="60" spans="1:9">
      <c r="A60" s="4"/>
      <c r="B60" s="7"/>
      <c r="C60" s="4"/>
      <c r="D60" s="4"/>
      <c r="E60" s="4"/>
      <c r="F60" s="4"/>
      <c r="G60" s="4" t="s">
        <v>36</v>
      </c>
      <c r="H60" s="6" t="s">
        <v>36</v>
      </c>
      <c r="I60" s="4"/>
    </row>
    <row r="61" spans="1:9">
      <c r="A61" s="4" t="s">
        <v>205</v>
      </c>
      <c r="B61" s="18" t="s">
        <v>116</v>
      </c>
      <c r="C61" s="4"/>
      <c r="D61" s="4"/>
      <c r="E61" s="4"/>
      <c r="F61" s="4"/>
      <c r="G61" s="4" t="s">
        <v>36</v>
      </c>
      <c r="H61" s="6" t="s">
        <v>36</v>
      </c>
      <c r="I61" s="4"/>
    </row>
    <row r="62" spans="1:9">
      <c r="A62" s="4"/>
      <c r="B62" s="7"/>
      <c r="C62" s="4"/>
      <c r="D62" s="4"/>
      <c r="E62" s="4"/>
      <c r="F62" s="4"/>
      <c r="G62" s="4" t="s">
        <v>36</v>
      </c>
      <c r="H62" s="6" t="s">
        <v>36</v>
      </c>
      <c r="I62" s="4"/>
    </row>
    <row r="63" spans="1:9">
      <c r="A63" s="4">
        <v>1</v>
      </c>
      <c r="B63" s="7" t="s">
        <v>206</v>
      </c>
      <c r="C63" s="4">
        <v>1</v>
      </c>
      <c r="D63" s="4">
        <f>6.16/3.28</f>
        <v>1.878048780487805</v>
      </c>
      <c r="E63" s="4">
        <f>6.91/3.28</f>
        <v>2.1067073170731709</v>
      </c>
      <c r="F63" s="4">
        <v>1</v>
      </c>
      <c r="G63" s="24">
        <f>+F63*E63*D63*C63</f>
        <v>3.9564991076740044</v>
      </c>
      <c r="H63" s="6">
        <v>1</v>
      </c>
      <c r="I63" s="4" t="s">
        <v>91</v>
      </c>
    </row>
    <row r="64" spans="1:9">
      <c r="A64" s="4">
        <v>2</v>
      </c>
      <c r="B64" s="7" t="s">
        <v>207</v>
      </c>
      <c r="C64" s="4">
        <v>1</v>
      </c>
      <c r="D64" s="4">
        <f>2.41/3.28</f>
        <v>0.73475609756097571</v>
      </c>
      <c r="E64" s="4">
        <v>1</v>
      </c>
      <c r="F64" s="4">
        <v>1</v>
      </c>
      <c r="G64" s="24">
        <f>+F64*E64*D64*C64</f>
        <v>0.73475609756097571</v>
      </c>
      <c r="H64" s="6">
        <v>1</v>
      </c>
      <c r="I64" s="4" t="s">
        <v>14</v>
      </c>
    </row>
    <row r="65" spans="1:9">
      <c r="A65" s="4"/>
      <c r="B65" s="7"/>
      <c r="C65" s="4"/>
      <c r="D65" s="4"/>
      <c r="E65" s="4"/>
      <c r="F65" s="4"/>
      <c r="G65" s="4" t="s">
        <v>36</v>
      </c>
      <c r="H65" s="6" t="s">
        <v>36</v>
      </c>
      <c r="I65" s="4"/>
    </row>
    <row r="66" spans="1:9">
      <c r="A66" s="4" t="s">
        <v>208</v>
      </c>
      <c r="B66" s="18" t="s">
        <v>51</v>
      </c>
      <c r="C66" s="4"/>
      <c r="D66" s="4"/>
      <c r="E66" s="4"/>
      <c r="F66" s="4"/>
      <c r="G66" s="4" t="s">
        <v>36</v>
      </c>
      <c r="H66" s="6" t="s">
        <v>36</v>
      </c>
      <c r="I66" s="4"/>
    </row>
    <row r="67" spans="1:9">
      <c r="A67" s="4"/>
      <c r="B67" s="7"/>
      <c r="C67" s="4"/>
      <c r="D67" s="4"/>
      <c r="E67" s="4"/>
      <c r="F67" s="4"/>
      <c r="G67" s="4" t="s">
        <v>36</v>
      </c>
      <c r="H67" s="6" t="s">
        <v>36</v>
      </c>
      <c r="I67" s="4"/>
    </row>
    <row r="68" spans="1:9">
      <c r="A68" s="4">
        <v>1</v>
      </c>
      <c r="B68" s="7" t="s">
        <v>209</v>
      </c>
      <c r="C68" s="4">
        <v>2</v>
      </c>
      <c r="D68" s="15">
        <v>0.36</v>
      </c>
      <c r="E68" s="4">
        <f>7/3.28</f>
        <v>2.1341463414634148</v>
      </c>
      <c r="F68" s="4">
        <v>1</v>
      </c>
      <c r="G68" s="4">
        <f>+F68*E68*D68*C68</f>
        <v>1.5365853658536586</v>
      </c>
      <c r="H68" s="6">
        <v>1</v>
      </c>
      <c r="I68" s="4" t="s">
        <v>91</v>
      </c>
    </row>
    <row r="69" spans="1:9">
      <c r="A69" s="4"/>
      <c r="B69" s="7" t="s">
        <v>210</v>
      </c>
      <c r="C69" s="4">
        <v>2</v>
      </c>
      <c r="D69" s="4">
        <f>1.25/3.28</f>
        <v>0.38109756097560976</v>
      </c>
      <c r="E69" s="4">
        <f>8/3.28</f>
        <v>2.4390243902439024</v>
      </c>
      <c r="F69" s="4">
        <v>1</v>
      </c>
      <c r="G69" s="4">
        <f>+F69*E69*D69*C69</f>
        <v>1.85901249256395</v>
      </c>
      <c r="H69" s="6">
        <v>1</v>
      </c>
      <c r="I69" s="4" t="s">
        <v>91</v>
      </c>
    </row>
    <row r="70" spans="1:9">
      <c r="A70" s="4"/>
      <c r="B70" s="7" t="s">
        <v>210</v>
      </c>
      <c r="C70" s="4">
        <v>1</v>
      </c>
      <c r="D70" s="4">
        <f>2/3.28</f>
        <v>0.6097560975609756</v>
      </c>
      <c r="E70" s="4">
        <f>1.41/3.28</f>
        <v>0.4298780487804878</v>
      </c>
      <c r="F70" s="4">
        <v>1</v>
      </c>
      <c r="G70" s="4">
        <f>+F70*E70*D70*C70</f>
        <v>0.26212076145151697</v>
      </c>
      <c r="H70" s="6">
        <v>1</v>
      </c>
      <c r="I70" s="4" t="s">
        <v>91</v>
      </c>
    </row>
    <row r="71" spans="1:9">
      <c r="A71" s="4"/>
      <c r="B71" s="7"/>
      <c r="C71" s="4"/>
      <c r="D71" s="4"/>
      <c r="E71" s="4"/>
      <c r="F71" s="4"/>
      <c r="G71" s="24">
        <f>SUM(G68:G70)</f>
        <v>3.6577186198691254</v>
      </c>
      <c r="H71" s="6">
        <v>1</v>
      </c>
      <c r="I71" s="4" t="s">
        <v>91</v>
      </c>
    </row>
    <row r="72" spans="1:9">
      <c r="A72" s="4">
        <v>2</v>
      </c>
      <c r="B72" s="7" t="s">
        <v>200</v>
      </c>
      <c r="C72" s="4">
        <v>1</v>
      </c>
      <c r="D72" s="4">
        <f>3.33/3.28</f>
        <v>1.0152439024390245</v>
      </c>
      <c r="E72" s="4">
        <v>1</v>
      </c>
      <c r="F72" s="4">
        <v>1</v>
      </c>
      <c r="G72" s="24">
        <f>+F72*E72*D72*C72</f>
        <v>1.0152439024390245</v>
      </c>
      <c r="H72" s="6">
        <v>1</v>
      </c>
      <c r="I72" s="4" t="s">
        <v>14</v>
      </c>
    </row>
    <row r="73" spans="1:9">
      <c r="A73" s="4"/>
      <c r="B73" s="7" t="s">
        <v>211</v>
      </c>
      <c r="C73" s="4">
        <v>1</v>
      </c>
      <c r="D73" s="4">
        <f>3.33/3.28</f>
        <v>1.0152439024390245</v>
      </c>
      <c r="E73" s="4">
        <v>1</v>
      </c>
      <c r="F73" s="4">
        <v>1</v>
      </c>
      <c r="G73" s="24">
        <f>+F73*E73*D73*C73</f>
        <v>1.0152439024390245</v>
      </c>
      <c r="H73" s="6">
        <v>1</v>
      </c>
      <c r="I73" s="4" t="s">
        <v>14</v>
      </c>
    </row>
    <row r="74" spans="1:9">
      <c r="A74" s="4"/>
      <c r="B74" s="7"/>
      <c r="C74" s="4"/>
      <c r="D74" s="4"/>
      <c r="E74" s="4"/>
      <c r="F74" s="4"/>
      <c r="G74" s="5" t="s">
        <v>36</v>
      </c>
      <c r="H74" s="6" t="s">
        <v>36</v>
      </c>
      <c r="I74" s="4" t="s">
        <v>36</v>
      </c>
    </row>
    <row r="75" spans="1:9" ht="28.8">
      <c r="A75" s="4">
        <v>3</v>
      </c>
      <c r="B75" s="7" t="s">
        <v>212</v>
      </c>
      <c r="C75" s="4">
        <v>1</v>
      </c>
      <c r="D75" s="4">
        <f>8.41/3.28</f>
        <v>2.5640243902439028</v>
      </c>
      <c r="E75" s="4">
        <v>1</v>
      </c>
      <c r="F75" s="4">
        <v>1</v>
      </c>
      <c r="G75" s="4">
        <f>+F75*E75*D75*C75</f>
        <v>2.5640243902439028</v>
      </c>
      <c r="H75" s="6">
        <v>1</v>
      </c>
      <c r="I75" s="4" t="s">
        <v>14</v>
      </c>
    </row>
    <row r="76" spans="1:9">
      <c r="A76" s="4"/>
      <c r="B76" s="7" t="s">
        <v>213</v>
      </c>
      <c r="C76" s="4">
        <v>1</v>
      </c>
      <c r="D76" s="4">
        <f>5.75/3.28</f>
        <v>1.753048780487805</v>
      </c>
      <c r="E76" s="4">
        <v>1</v>
      </c>
      <c r="F76" s="4">
        <v>1</v>
      </c>
      <c r="G76" s="4">
        <f>+F76*E76*D76*C76</f>
        <v>1.753048780487805</v>
      </c>
      <c r="H76" s="6">
        <v>1</v>
      </c>
      <c r="I76" s="4" t="s">
        <v>14</v>
      </c>
    </row>
    <row r="77" spans="1:9">
      <c r="A77" s="4"/>
      <c r="B77" s="7" t="s">
        <v>214</v>
      </c>
      <c r="C77" s="4">
        <v>2</v>
      </c>
      <c r="D77" s="4">
        <f>7.58/3.28</f>
        <v>2.3109756097560976</v>
      </c>
      <c r="E77" s="4">
        <v>1</v>
      </c>
      <c r="F77" s="4">
        <v>1</v>
      </c>
      <c r="G77" s="4">
        <f>+F77*E77*D77*C77</f>
        <v>4.6219512195121952</v>
      </c>
      <c r="H77" s="6">
        <v>1</v>
      </c>
      <c r="I77" s="4" t="s">
        <v>14</v>
      </c>
    </row>
    <row r="78" spans="1:9">
      <c r="A78" s="4"/>
      <c r="B78" s="7" t="s">
        <v>215</v>
      </c>
      <c r="C78" s="4">
        <v>1</v>
      </c>
      <c r="D78" s="4">
        <v>2.75</v>
      </c>
      <c r="E78" s="4">
        <v>1</v>
      </c>
      <c r="F78" s="4">
        <v>1</v>
      </c>
      <c r="G78" s="4">
        <f>+F78*E78*D78*C78</f>
        <v>2.75</v>
      </c>
      <c r="H78" s="6">
        <v>1</v>
      </c>
      <c r="I78" s="4" t="s">
        <v>14</v>
      </c>
    </row>
    <row r="79" spans="1:9">
      <c r="A79" s="4"/>
      <c r="B79" s="7" t="s">
        <v>216</v>
      </c>
      <c r="C79" s="4">
        <v>1</v>
      </c>
      <c r="D79" s="4">
        <f>5.83/3.28</f>
        <v>1.777439024390244</v>
      </c>
      <c r="E79" s="4">
        <v>1</v>
      </c>
      <c r="F79" s="4">
        <v>1</v>
      </c>
      <c r="G79" s="4">
        <f>+F79*E79*D79*C79</f>
        <v>1.777439024390244</v>
      </c>
      <c r="H79" s="6">
        <v>1</v>
      </c>
      <c r="I79" s="4" t="s">
        <v>14</v>
      </c>
    </row>
    <row r="80" spans="1:9">
      <c r="A80" s="4"/>
      <c r="B80" s="7"/>
      <c r="C80" s="4"/>
      <c r="D80" s="4"/>
      <c r="E80" s="4"/>
      <c r="F80" s="4"/>
      <c r="G80" s="24">
        <f>SUM(G75:G79)</f>
        <v>13.466463414634147</v>
      </c>
      <c r="H80" s="6">
        <v>1</v>
      </c>
      <c r="I80" s="4" t="s">
        <v>14</v>
      </c>
    </row>
    <row r="81" spans="1:9">
      <c r="A81" s="4">
        <v>4</v>
      </c>
      <c r="B81" s="7" t="s">
        <v>217</v>
      </c>
      <c r="C81" s="4">
        <v>1</v>
      </c>
      <c r="D81" s="4">
        <f>9/3.28</f>
        <v>2.7439024390243905</v>
      </c>
      <c r="E81" s="4">
        <v>1</v>
      </c>
      <c r="F81" s="4">
        <v>1</v>
      </c>
      <c r="G81" s="4">
        <f t="shared" ref="G81:G97" si="1">+F81*E81*D81*C81</f>
        <v>2.7439024390243905</v>
      </c>
      <c r="H81" s="6">
        <v>1</v>
      </c>
      <c r="I81" s="4" t="s">
        <v>14</v>
      </c>
    </row>
    <row r="82" spans="1:9">
      <c r="A82" s="4"/>
      <c r="B82" s="7" t="s">
        <v>218</v>
      </c>
      <c r="C82" s="4">
        <v>2</v>
      </c>
      <c r="D82" s="4">
        <f>5.75/3.28</f>
        <v>1.753048780487805</v>
      </c>
      <c r="E82" s="4">
        <v>1</v>
      </c>
      <c r="F82" s="4">
        <v>1</v>
      </c>
      <c r="G82" s="4">
        <f t="shared" si="1"/>
        <v>3.50609756097561</v>
      </c>
      <c r="H82" s="6">
        <v>1</v>
      </c>
      <c r="I82" s="4" t="s">
        <v>14</v>
      </c>
    </row>
    <row r="83" spans="1:9" ht="28.8">
      <c r="A83" s="4"/>
      <c r="B83" s="7" t="s">
        <v>219</v>
      </c>
      <c r="C83" s="4">
        <v>2</v>
      </c>
      <c r="D83" s="4">
        <f>6.5/3.28</f>
        <v>1.9817073170731709</v>
      </c>
      <c r="E83" s="4">
        <v>1</v>
      </c>
      <c r="F83" s="4">
        <v>1</v>
      </c>
      <c r="G83" s="4">
        <f t="shared" si="1"/>
        <v>3.9634146341463419</v>
      </c>
      <c r="H83" s="6">
        <v>1</v>
      </c>
      <c r="I83" s="4" t="s">
        <v>14</v>
      </c>
    </row>
    <row r="84" spans="1:9">
      <c r="A84" s="4"/>
      <c r="B84" s="7" t="s">
        <v>218</v>
      </c>
      <c r="C84" s="4">
        <v>1</v>
      </c>
      <c r="D84" s="4">
        <f>2/3.28</f>
        <v>0.6097560975609756</v>
      </c>
      <c r="E84" s="4">
        <v>1</v>
      </c>
      <c r="F84" s="4">
        <v>1</v>
      </c>
      <c r="G84" s="4">
        <f t="shared" si="1"/>
        <v>0.6097560975609756</v>
      </c>
      <c r="H84" s="6">
        <v>1</v>
      </c>
      <c r="I84" s="4" t="s">
        <v>14</v>
      </c>
    </row>
    <row r="85" spans="1:9">
      <c r="A85" s="4"/>
      <c r="B85" s="7" t="s">
        <v>220</v>
      </c>
      <c r="C85" s="4">
        <v>1</v>
      </c>
      <c r="D85" s="4">
        <f>2/3.28</f>
        <v>0.6097560975609756</v>
      </c>
      <c r="E85" s="4">
        <v>1</v>
      </c>
      <c r="F85" s="4">
        <v>1</v>
      </c>
      <c r="G85" s="4">
        <f t="shared" si="1"/>
        <v>0.6097560975609756</v>
      </c>
      <c r="H85" s="6">
        <v>1</v>
      </c>
      <c r="I85" s="4" t="s">
        <v>14</v>
      </c>
    </row>
    <row r="86" spans="1:9">
      <c r="A86" s="4"/>
      <c r="B86" s="7" t="s">
        <v>218</v>
      </c>
      <c r="C86" s="4">
        <v>2</v>
      </c>
      <c r="D86" s="4">
        <f>7.58/3.28</f>
        <v>2.3109756097560976</v>
      </c>
      <c r="E86" s="4">
        <v>1</v>
      </c>
      <c r="F86" s="4">
        <v>1</v>
      </c>
      <c r="G86" s="4">
        <f t="shared" si="1"/>
        <v>4.6219512195121952</v>
      </c>
      <c r="H86" s="6">
        <v>1</v>
      </c>
      <c r="I86" s="4" t="s">
        <v>14</v>
      </c>
    </row>
    <row r="87" spans="1:9">
      <c r="A87" s="4"/>
      <c r="B87" s="7" t="s">
        <v>218</v>
      </c>
      <c r="C87" s="4">
        <v>2</v>
      </c>
      <c r="D87" s="4">
        <f>5/3.28</f>
        <v>1.524390243902439</v>
      </c>
      <c r="E87" s="4">
        <v>1</v>
      </c>
      <c r="F87" s="4">
        <v>1</v>
      </c>
      <c r="G87" s="4">
        <f t="shared" si="1"/>
        <v>3.0487804878048781</v>
      </c>
      <c r="H87" s="6">
        <v>1</v>
      </c>
      <c r="I87" s="4" t="s">
        <v>14</v>
      </c>
    </row>
    <row r="88" spans="1:9">
      <c r="A88" s="4"/>
      <c r="B88" s="7" t="s">
        <v>221</v>
      </c>
      <c r="C88" s="4">
        <v>1</v>
      </c>
      <c r="D88" s="4">
        <f>2.83/3.28</f>
        <v>0.86280487804878059</v>
      </c>
      <c r="E88" s="4">
        <v>1</v>
      </c>
      <c r="F88" s="4">
        <v>1</v>
      </c>
      <c r="G88" s="4">
        <f t="shared" si="1"/>
        <v>0.86280487804878059</v>
      </c>
      <c r="H88" s="6">
        <v>1</v>
      </c>
      <c r="I88" s="4" t="s">
        <v>14</v>
      </c>
    </row>
    <row r="89" spans="1:9">
      <c r="A89" s="4"/>
      <c r="B89" s="7" t="s">
        <v>222</v>
      </c>
      <c r="C89" s="4">
        <v>1</v>
      </c>
      <c r="D89" s="4">
        <f>2/3.28</f>
        <v>0.6097560975609756</v>
      </c>
      <c r="E89" s="4">
        <v>1</v>
      </c>
      <c r="F89" s="4">
        <v>1</v>
      </c>
      <c r="G89" s="4">
        <f t="shared" si="1"/>
        <v>0.6097560975609756</v>
      </c>
      <c r="H89" s="6">
        <v>1</v>
      </c>
      <c r="I89" s="4" t="s">
        <v>14</v>
      </c>
    </row>
    <row r="90" spans="1:9">
      <c r="A90" s="4"/>
      <c r="B90" s="7" t="s">
        <v>218</v>
      </c>
      <c r="C90" s="4">
        <v>2</v>
      </c>
      <c r="D90" s="4">
        <f>6.75/3.28</f>
        <v>2.0579268292682928</v>
      </c>
      <c r="E90" s="4">
        <v>1</v>
      </c>
      <c r="F90" s="4">
        <v>1</v>
      </c>
      <c r="G90" s="4">
        <f t="shared" si="1"/>
        <v>4.1158536585365857</v>
      </c>
      <c r="H90" s="6">
        <v>1</v>
      </c>
      <c r="I90" s="4" t="s">
        <v>14</v>
      </c>
    </row>
    <row r="91" spans="1:9">
      <c r="A91" s="4"/>
      <c r="B91" s="7" t="s">
        <v>221</v>
      </c>
      <c r="C91" s="4">
        <v>1</v>
      </c>
      <c r="D91" s="4">
        <f>6.83/3.28</f>
        <v>2.0823170731707319</v>
      </c>
      <c r="E91" s="4">
        <v>1</v>
      </c>
      <c r="F91" s="4">
        <v>1</v>
      </c>
      <c r="G91" s="4">
        <f t="shared" si="1"/>
        <v>2.0823170731707319</v>
      </c>
      <c r="H91" s="6">
        <v>1</v>
      </c>
      <c r="I91" s="4" t="s">
        <v>14</v>
      </c>
    </row>
    <row r="92" spans="1:9">
      <c r="A92" s="4"/>
      <c r="B92" s="7" t="s">
        <v>221</v>
      </c>
      <c r="C92" s="4">
        <v>1</v>
      </c>
      <c r="D92" s="4">
        <f>2/3.28</f>
        <v>0.6097560975609756</v>
      </c>
      <c r="E92" s="4">
        <v>1</v>
      </c>
      <c r="F92" s="4">
        <v>1</v>
      </c>
      <c r="G92" s="4">
        <f t="shared" si="1"/>
        <v>0.6097560975609756</v>
      </c>
      <c r="H92" s="6">
        <v>1</v>
      </c>
      <c r="I92" s="4" t="s">
        <v>14</v>
      </c>
    </row>
    <row r="93" spans="1:9">
      <c r="A93" s="4"/>
      <c r="B93" s="7" t="s">
        <v>218</v>
      </c>
      <c r="C93" s="4">
        <v>2</v>
      </c>
      <c r="D93" s="4">
        <f>7/3.28</f>
        <v>2.1341463414634148</v>
      </c>
      <c r="E93" s="4">
        <v>1</v>
      </c>
      <c r="F93" s="4">
        <v>1</v>
      </c>
      <c r="G93" s="4">
        <f t="shared" si="1"/>
        <v>4.2682926829268295</v>
      </c>
      <c r="H93" s="6">
        <v>1</v>
      </c>
      <c r="I93" s="4" t="s">
        <v>14</v>
      </c>
    </row>
    <row r="94" spans="1:9">
      <c r="A94" s="4"/>
      <c r="B94" s="7" t="s">
        <v>218</v>
      </c>
      <c r="C94" s="4">
        <v>2</v>
      </c>
      <c r="D94" s="4">
        <f>6.16/3.28</f>
        <v>1.878048780487805</v>
      </c>
      <c r="E94" s="4">
        <v>1</v>
      </c>
      <c r="F94" s="4">
        <v>1</v>
      </c>
      <c r="G94" s="4">
        <f t="shared" si="1"/>
        <v>3.75609756097561</v>
      </c>
      <c r="H94" s="6">
        <v>1</v>
      </c>
      <c r="I94" s="4" t="s">
        <v>14</v>
      </c>
    </row>
    <row r="95" spans="1:9">
      <c r="A95" s="4"/>
      <c r="B95" s="7" t="s">
        <v>221</v>
      </c>
      <c r="C95" s="4">
        <v>1</v>
      </c>
      <c r="D95" s="4">
        <f>2/3.28</f>
        <v>0.6097560975609756</v>
      </c>
      <c r="E95" s="4">
        <v>1</v>
      </c>
      <c r="F95" s="4">
        <v>1</v>
      </c>
      <c r="G95" s="4">
        <f t="shared" si="1"/>
        <v>0.6097560975609756</v>
      </c>
      <c r="H95" s="6">
        <v>1</v>
      </c>
      <c r="I95" s="4" t="s">
        <v>14</v>
      </c>
    </row>
    <row r="96" spans="1:9">
      <c r="A96" s="4"/>
      <c r="B96" s="7" t="s">
        <v>221</v>
      </c>
      <c r="C96" s="4">
        <v>1</v>
      </c>
      <c r="D96" s="4">
        <f>2.83/3.28</f>
        <v>0.86280487804878059</v>
      </c>
      <c r="E96" s="4">
        <v>1</v>
      </c>
      <c r="F96" s="4">
        <v>1</v>
      </c>
      <c r="G96" s="4">
        <f t="shared" si="1"/>
        <v>0.86280487804878059</v>
      </c>
      <c r="H96" s="6">
        <v>1</v>
      </c>
      <c r="I96" s="4" t="s">
        <v>14</v>
      </c>
    </row>
    <row r="97" spans="1:9">
      <c r="A97" s="4"/>
      <c r="B97" s="7" t="s">
        <v>223</v>
      </c>
      <c r="C97" s="4">
        <v>1</v>
      </c>
      <c r="D97" s="4">
        <f>9/3.28</f>
        <v>2.7439024390243905</v>
      </c>
      <c r="E97" s="4">
        <v>1</v>
      </c>
      <c r="F97" s="4">
        <v>1</v>
      </c>
      <c r="G97" s="4">
        <f t="shared" si="1"/>
        <v>2.7439024390243905</v>
      </c>
      <c r="H97" s="6">
        <v>1</v>
      </c>
      <c r="I97" s="4" t="s">
        <v>14</v>
      </c>
    </row>
    <row r="98" spans="1:9">
      <c r="A98" s="4"/>
      <c r="B98" s="7"/>
      <c r="C98" s="4"/>
      <c r="D98" s="4"/>
      <c r="E98" s="4"/>
      <c r="F98" s="4"/>
      <c r="G98" s="24">
        <f>SUM(G81:G97)</f>
        <v>39.624999999999993</v>
      </c>
      <c r="H98" s="6">
        <v>1</v>
      </c>
      <c r="I98" s="4" t="s">
        <v>14</v>
      </c>
    </row>
    <row r="99" spans="1:9">
      <c r="A99" s="4">
        <v>5</v>
      </c>
      <c r="B99" s="7" t="s">
        <v>224</v>
      </c>
      <c r="C99" s="4">
        <v>1</v>
      </c>
      <c r="D99" s="4">
        <f>9/3.28</f>
        <v>2.7439024390243905</v>
      </c>
      <c r="E99" s="4">
        <v>1</v>
      </c>
      <c r="F99" s="4">
        <v>1</v>
      </c>
      <c r="G99" s="4">
        <f t="shared" ref="G99:G111" si="2">+F99*E99*D99*C99</f>
        <v>2.7439024390243905</v>
      </c>
      <c r="H99" s="6">
        <v>1</v>
      </c>
      <c r="I99" s="4" t="s">
        <v>14</v>
      </c>
    </row>
    <row r="100" spans="1:9">
      <c r="A100" s="4"/>
      <c r="B100" s="7" t="s">
        <v>225</v>
      </c>
      <c r="C100" s="4">
        <v>1</v>
      </c>
      <c r="D100" s="4">
        <f>5.75/3.28</f>
        <v>1.753048780487805</v>
      </c>
      <c r="E100" s="4">
        <v>1</v>
      </c>
      <c r="F100" s="4">
        <v>1</v>
      </c>
      <c r="G100" s="4">
        <f t="shared" si="2"/>
        <v>1.753048780487805</v>
      </c>
      <c r="H100" s="6">
        <v>1</v>
      </c>
      <c r="I100" s="4" t="s">
        <v>14</v>
      </c>
    </row>
    <row r="101" spans="1:9">
      <c r="A101" s="4"/>
      <c r="B101" s="7" t="s">
        <v>225</v>
      </c>
      <c r="C101" s="4">
        <v>1</v>
      </c>
      <c r="D101" s="4">
        <f>6.5/3.28</f>
        <v>1.9817073170731709</v>
      </c>
      <c r="E101" s="4">
        <v>1</v>
      </c>
      <c r="F101" s="4">
        <v>1</v>
      </c>
      <c r="G101" s="4">
        <f t="shared" si="2"/>
        <v>1.9817073170731709</v>
      </c>
      <c r="H101" s="6">
        <v>1</v>
      </c>
      <c r="I101" s="4" t="s">
        <v>14</v>
      </c>
    </row>
    <row r="102" spans="1:9">
      <c r="A102" s="4"/>
      <c r="B102" s="7" t="s">
        <v>226</v>
      </c>
      <c r="C102" s="4">
        <v>1</v>
      </c>
      <c r="D102" s="4">
        <f>2/3.28</f>
        <v>0.6097560975609756</v>
      </c>
      <c r="E102" s="4">
        <v>1</v>
      </c>
      <c r="F102" s="4">
        <v>1</v>
      </c>
      <c r="G102" s="4">
        <f t="shared" si="2"/>
        <v>0.6097560975609756</v>
      </c>
      <c r="H102" s="6">
        <v>1</v>
      </c>
      <c r="I102" s="4" t="s">
        <v>14</v>
      </c>
    </row>
    <row r="103" spans="1:9">
      <c r="A103" s="4"/>
      <c r="B103" s="7" t="s">
        <v>225</v>
      </c>
      <c r="C103" s="4">
        <v>1</v>
      </c>
      <c r="D103" s="4">
        <f>7.58/3.28</f>
        <v>2.3109756097560976</v>
      </c>
      <c r="E103" s="4">
        <v>1</v>
      </c>
      <c r="F103" s="4">
        <v>1</v>
      </c>
      <c r="G103" s="4">
        <f t="shared" si="2"/>
        <v>2.3109756097560976</v>
      </c>
      <c r="H103" s="6">
        <v>1</v>
      </c>
      <c r="I103" s="4" t="s">
        <v>14</v>
      </c>
    </row>
    <row r="104" spans="1:9">
      <c r="A104" s="4"/>
      <c r="B104" s="7" t="s">
        <v>225</v>
      </c>
      <c r="C104" s="4">
        <v>1</v>
      </c>
      <c r="D104" s="4">
        <f>5/3.28</f>
        <v>1.524390243902439</v>
      </c>
      <c r="E104" s="4">
        <v>1</v>
      </c>
      <c r="F104" s="4">
        <v>1</v>
      </c>
      <c r="G104" s="4">
        <f t="shared" si="2"/>
        <v>1.524390243902439</v>
      </c>
      <c r="H104" s="6">
        <v>1</v>
      </c>
      <c r="I104" s="4" t="s">
        <v>14</v>
      </c>
    </row>
    <row r="105" spans="1:9">
      <c r="A105" s="4"/>
      <c r="B105" s="7" t="s">
        <v>226</v>
      </c>
      <c r="C105" s="4">
        <v>1</v>
      </c>
      <c r="D105" s="4">
        <f>2/3.28</f>
        <v>0.6097560975609756</v>
      </c>
      <c r="E105" s="4">
        <v>1</v>
      </c>
      <c r="F105" s="4">
        <v>1</v>
      </c>
      <c r="G105" s="4">
        <f t="shared" si="2"/>
        <v>0.6097560975609756</v>
      </c>
      <c r="H105" s="6">
        <v>1</v>
      </c>
      <c r="I105" s="4" t="s">
        <v>14</v>
      </c>
    </row>
    <row r="106" spans="1:9">
      <c r="A106" s="4"/>
      <c r="B106" s="7" t="s">
        <v>225</v>
      </c>
      <c r="C106" s="4">
        <v>1</v>
      </c>
      <c r="D106" s="4">
        <f>6.75/3.28</f>
        <v>2.0579268292682928</v>
      </c>
      <c r="E106" s="4">
        <v>1</v>
      </c>
      <c r="F106" s="4">
        <v>1</v>
      </c>
      <c r="G106" s="4">
        <f t="shared" si="2"/>
        <v>2.0579268292682928</v>
      </c>
      <c r="H106" s="6">
        <v>1</v>
      </c>
      <c r="I106" s="4" t="s">
        <v>14</v>
      </c>
    </row>
    <row r="107" spans="1:9">
      <c r="A107" s="4"/>
      <c r="B107" s="7" t="s">
        <v>226</v>
      </c>
      <c r="C107" s="4">
        <v>1</v>
      </c>
      <c r="D107" s="4">
        <f>2/3.28</f>
        <v>0.6097560975609756</v>
      </c>
      <c r="E107" s="4">
        <v>1</v>
      </c>
      <c r="F107" s="4">
        <v>1</v>
      </c>
      <c r="G107" s="4">
        <f t="shared" si="2"/>
        <v>0.6097560975609756</v>
      </c>
      <c r="H107" s="6">
        <v>1</v>
      </c>
      <c r="I107" s="4" t="s">
        <v>14</v>
      </c>
    </row>
    <row r="108" spans="1:9">
      <c r="A108" s="4"/>
      <c r="B108" s="7" t="s">
        <v>225</v>
      </c>
      <c r="C108" s="4">
        <v>1</v>
      </c>
      <c r="D108" s="4">
        <f>7/3.28</f>
        <v>2.1341463414634148</v>
      </c>
      <c r="E108" s="4">
        <v>1</v>
      </c>
      <c r="F108" s="4">
        <v>1</v>
      </c>
      <c r="G108" s="4">
        <f t="shared" si="2"/>
        <v>2.1341463414634148</v>
      </c>
      <c r="H108" s="6">
        <v>1</v>
      </c>
      <c r="I108" s="4" t="s">
        <v>14</v>
      </c>
    </row>
    <row r="109" spans="1:9">
      <c r="A109" s="4"/>
      <c r="B109" s="7" t="s">
        <v>225</v>
      </c>
      <c r="C109" s="4">
        <v>1</v>
      </c>
      <c r="D109" s="4">
        <f>6.16/3.28</f>
        <v>1.878048780487805</v>
      </c>
      <c r="E109" s="4">
        <v>1</v>
      </c>
      <c r="F109" s="4">
        <v>1</v>
      </c>
      <c r="G109" s="4">
        <f t="shared" si="2"/>
        <v>1.878048780487805</v>
      </c>
      <c r="H109" s="6">
        <v>1</v>
      </c>
      <c r="I109" s="4" t="s">
        <v>14</v>
      </c>
    </row>
    <row r="110" spans="1:9">
      <c r="A110" s="4"/>
      <c r="B110" s="7" t="s">
        <v>226</v>
      </c>
      <c r="C110" s="4">
        <v>1</v>
      </c>
      <c r="D110" s="4">
        <f>2/3.28</f>
        <v>0.6097560975609756</v>
      </c>
      <c r="E110" s="4">
        <v>1</v>
      </c>
      <c r="F110" s="4">
        <v>1</v>
      </c>
      <c r="G110" s="4">
        <f t="shared" si="2"/>
        <v>0.6097560975609756</v>
      </c>
      <c r="H110" s="6">
        <v>1</v>
      </c>
      <c r="I110" s="4" t="s">
        <v>14</v>
      </c>
    </row>
    <row r="111" spans="1:9">
      <c r="A111" s="4"/>
      <c r="B111" s="7" t="s">
        <v>227</v>
      </c>
      <c r="C111" s="4">
        <v>1</v>
      </c>
      <c r="D111" s="4">
        <f>9/3.28</f>
        <v>2.7439024390243905</v>
      </c>
      <c r="E111" s="4">
        <v>1</v>
      </c>
      <c r="F111" s="4">
        <v>1</v>
      </c>
      <c r="G111" s="4">
        <f t="shared" si="2"/>
        <v>2.7439024390243905</v>
      </c>
      <c r="H111" s="6">
        <v>1</v>
      </c>
      <c r="I111" s="4" t="s">
        <v>14</v>
      </c>
    </row>
    <row r="112" spans="1:9">
      <c r="A112" s="4"/>
      <c r="B112" s="7"/>
      <c r="C112" s="4"/>
      <c r="D112" s="4"/>
      <c r="E112" s="4"/>
      <c r="F112" s="4"/>
      <c r="G112" s="24">
        <f>SUM(G99:G111)</f>
        <v>21.567073170731703</v>
      </c>
      <c r="H112" s="6">
        <v>1</v>
      </c>
      <c r="I112" s="4" t="s">
        <v>14</v>
      </c>
    </row>
    <row r="113" spans="1:9">
      <c r="A113" s="4">
        <v>6</v>
      </c>
      <c r="B113" s="7" t="s">
        <v>228</v>
      </c>
      <c r="C113" s="4">
        <v>1</v>
      </c>
      <c r="D113" s="4">
        <f>5.75/3.28</f>
        <v>1.753048780487805</v>
      </c>
      <c r="E113" s="4">
        <v>1</v>
      </c>
      <c r="F113" s="4">
        <v>1</v>
      </c>
      <c r="G113" s="4">
        <f t="shared" ref="G113:G120" si="3">+F113*E113*D113*C113</f>
        <v>1.753048780487805</v>
      </c>
      <c r="H113" s="6">
        <v>1</v>
      </c>
      <c r="I113" s="4" t="s">
        <v>14</v>
      </c>
    </row>
    <row r="114" spans="1:9">
      <c r="A114" s="4"/>
      <c r="B114" s="7" t="s">
        <v>228</v>
      </c>
      <c r="C114" s="4">
        <v>1</v>
      </c>
      <c r="D114" s="4">
        <f>6.5/3.28</f>
        <v>1.9817073170731709</v>
      </c>
      <c r="E114" s="4">
        <v>1</v>
      </c>
      <c r="F114" s="4">
        <v>1</v>
      </c>
      <c r="G114" s="4">
        <f t="shared" si="3"/>
        <v>1.9817073170731709</v>
      </c>
      <c r="H114" s="6">
        <v>1</v>
      </c>
      <c r="I114" s="4" t="s">
        <v>14</v>
      </c>
    </row>
    <row r="115" spans="1:9">
      <c r="A115" s="4"/>
      <c r="B115" s="7" t="s">
        <v>229</v>
      </c>
      <c r="C115" s="4">
        <v>1</v>
      </c>
      <c r="D115" s="15">
        <v>0.6</v>
      </c>
      <c r="E115" s="4">
        <v>1</v>
      </c>
      <c r="F115" s="4">
        <v>1</v>
      </c>
      <c r="G115" s="4">
        <f t="shared" si="3"/>
        <v>0.6</v>
      </c>
      <c r="H115" s="6">
        <v>1</v>
      </c>
      <c r="I115" s="4" t="s">
        <v>14</v>
      </c>
    </row>
    <row r="116" spans="1:9">
      <c r="A116" s="4"/>
      <c r="B116" s="7" t="s">
        <v>228</v>
      </c>
      <c r="C116" s="4">
        <v>1</v>
      </c>
      <c r="D116" s="15">
        <v>2.2559999999999998</v>
      </c>
      <c r="E116" s="4">
        <v>1</v>
      </c>
      <c r="F116" s="4">
        <v>1</v>
      </c>
      <c r="G116" s="4">
        <f t="shared" si="3"/>
        <v>2.2559999999999998</v>
      </c>
      <c r="H116" s="6">
        <v>1</v>
      </c>
      <c r="I116" s="4" t="s">
        <v>14</v>
      </c>
    </row>
    <row r="117" spans="1:9">
      <c r="A117" s="4"/>
      <c r="B117" s="7" t="s">
        <v>228</v>
      </c>
      <c r="C117" s="4">
        <v>1</v>
      </c>
      <c r="D117" s="15">
        <v>1.52</v>
      </c>
      <c r="E117" s="4">
        <v>1</v>
      </c>
      <c r="F117" s="4">
        <v>1</v>
      </c>
      <c r="G117" s="4">
        <f t="shared" si="3"/>
        <v>1.52</v>
      </c>
      <c r="H117" s="6">
        <v>1</v>
      </c>
      <c r="I117" s="4" t="s">
        <v>14</v>
      </c>
    </row>
    <row r="118" spans="1:9">
      <c r="A118" s="4"/>
      <c r="B118" s="7" t="s">
        <v>228</v>
      </c>
      <c r="C118" s="4">
        <v>1</v>
      </c>
      <c r="D118" s="15">
        <v>2.0499999999999998</v>
      </c>
      <c r="E118" s="4">
        <v>1</v>
      </c>
      <c r="F118" s="4">
        <v>1</v>
      </c>
      <c r="G118" s="4">
        <f t="shared" si="3"/>
        <v>2.0499999999999998</v>
      </c>
      <c r="H118" s="6">
        <v>1</v>
      </c>
      <c r="I118" s="4" t="s">
        <v>14</v>
      </c>
    </row>
    <row r="119" spans="1:9">
      <c r="A119" s="4"/>
      <c r="B119" s="7" t="s">
        <v>228</v>
      </c>
      <c r="C119" s="4">
        <v>1</v>
      </c>
      <c r="D119" s="15">
        <v>2.13</v>
      </c>
      <c r="E119" s="4">
        <v>1</v>
      </c>
      <c r="F119" s="4">
        <v>1</v>
      </c>
      <c r="G119" s="4">
        <f t="shared" si="3"/>
        <v>2.13</v>
      </c>
      <c r="H119" s="6">
        <v>1</v>
      </c>
      <c r="I119" s="4" t="s">
        <v>14</v>
      </c>
    </row>
    <row r="120" spans="1:9">
      <c r="A120" s="4"/>
      <c r="B120" s="7" t="s">
        <v>228</v>
      </c>
      <c r="C120" s="4">
        <v>1</v>
      </c>
      <c r="D120" s="15">
        <v>1.8</v>
      </c>
      <c r="E120" s="4">
        <v>1</v>
      </c>
      <c r="F120" s="4">
        <v>1</v>
      </c>
      <c r="G120" s="4">
        <f t="shared" si="3"/>
        <v>1.8</v>
      </c>
      <c r="H120" s="6">
        <v>1</v>
      </c>
      <c r="I120" s="4" t="s">
        <v>14</v>
      </c>
    </row>
    <row r="121" spans="1:9">
      <c r="A121" s="4"/>
      <c r="B121" s="7"/>
      <c r="C121" s="4"/>
      <c r="D121" s="4"/>
      <c r="E121" s="4"/>
      <c r="F121" s="4"/>
      <c r="G121" s="24">
        <f>SUM(G113:G120)</f>
        <v>14.090756097560973</v>
      </c>
      <c r="H121" s="6">
        <v>1</v>
      </c>
      <c r="I121" s="4" t="s">
        <v>14</v>
      </c>
    </row>
    <row r="122" spans="1:9" ht="28.8">
      <c r="A122" s="4">
        <v>7</v>
      </c>
      <c r="B122" s="8" t="s">
        <v>230</v>
      </c>
      <c r="C122" s="4">
        <v>1</v>
      </c>
      <c r="D122" s="4">
        <f>2/3.28</f>
        <v>0.6097560975609756</v>
      </c>
      <c r="E122" s="4">
        <v>1</v>
      </c>
      <c r="F122" s="4">
        <v>1</v>
      </c>
      <c r="G122" s="4">
        <f t="shared" ref="G122:G127" si="4">+F122*E122*D122*C122</f>
        <v>0.6097560975609756</v>
      </c>
      <c r="H122" s="6">
        <v>1</v>
      </c>
      <c r="I122" s="4" t="s">
        <v>14</v>
      </c>
    </row>
    <row r="123" spans="1:9" ht="28.8">
      <c r="A123" s="4"/>
      <c r="B123" s="8" t="s">
        <v>231</v>
      </c>
      <c r="C123" s="4">
        <v>1</v>
      </c>
      <c r="D123" s="4">
        <f>2.83/3.28</f>
        <v>0.86280487804878059</v>
      </c>
      <c r="E123" s="4">
        <v>1</v>
      </c>
      <c r="F123" s="4">
        <v>1</v>
      </c>
      <c r="G123" s="4">
        <f t="shared" si="4"/>
        <v>0.86280487804878059</v>
      </c>
      <c r="H123" s="6">
        <v>1</v>
      </c>
      <c r="I123" s="4" t="s">
        <v>14</v>
      </c>
    </row>
    <row r="124" spans="1:9" ht="28.8">
      <c r="A124" s="4"/>
      <c r="B124" s="8" t="s">
        <v>231</v>
      </c>
      <c r="C124" s="4">
        <v>1</v>
      </c>
      <c r="D124" s="4">
        <f>6.83/3.28</f>
        <v>2.0823170731707319</v>
      </c>
      <c r="E124" s="4">
        <v>1</v>
      </c>
      <c r="F124" s="4">
        <v>1</v>
      </c>
      <c r="G124" s="4">
        <f t="shared" si="4"/>
        <v>2.0823170731707319</v>
      </c>
      <c r="H124" s="6">
        <v>1</v>
      </c>
      <c r="I124" s="4" t="s">
        <v>14</v>
      </c>
    </row>
    <row r="125" spans="1:9" ht="28.8">
      <c r="A125" s="4"/>
      <c r="B125" s="8" t="s">
        <v>231</v>
      </c>
      <c r="C125" s="4">
        <v>1</v>
      </c>
      <c r="D125" s="4">
        <f>2.83/3.28</f>
        <v>0.86280487804878059</v>
      </c>
      <c r="E125" s="4">
        <v>1</v>
      </c>
      <c r="F125" s="4">
        <v>1</v>
      </c>
      <c r="G125" s="4">
        <f t="shared" si="4"/>
        <v>0.86280487804878059</v>
      </c>
      <c r="H125" s="6">
        <v>1</v>
      </c>
      <c r="I125" s="4" t="s">
        <v>14</v>
      </c>
    </row>
    <row r="126" spans="1:9" ht="28.8">
      <c r="A126" s="4"/>
      <c r="B126" s="8" t="s">
        <v>232</v>
      </c>
      <c r="C126" s="4">
        <v>1</v>
      </c>
      <c r="D126" s="4">
        <f>8.66/3.28</f>
        <v>2.6402439024390247</v>
      </c>
      <c r="E126" s="4">
        <v>1</v>
      </c>
      <c r="F126" s="4">
        <v>1</v>
      </c>
      <c r="G126" s="4">
        <f t="shared" si="4"/>
        <v>2.6402439024390247</v>
      </c>
      <c r="H126" s="6">
        <v>1</v>
      </c>
      <c r="I126" s="4" t="s">
        <v>14</v>
      </c>
    </row>
    <row r="127" spans="1:9" ht="28.8">
      <c r="A127" s="4"/>
      <c r="B127" s="8" t="s">
        <v>232</v>
      </c>
      <c r="C127" s="4">
        <v>1</v>
      </c>
      <c r="D127" s="4">
        <f>6.5/3.28</f>
        <v>1.9817073170731709</v>
      </c>
      <c r="E127" s="4">
        <v>1</v>
      </c>
      <c r="F127" s="4">
        <v>1</v>
      </c>
      <c r="G127" s="4">
        <f t="shared" si="4"/>
        <v>1.9817073170731709</v>
      </c>
      <c r="H127" s="6">
        <v>1</v>
      </c>
      <c r="I127" s="4" t="s">
        <v>14</v>
      </c>
    </row>
    <row r="128" spans="1:9">
      <c r="A128" s="4"/>
      <c r="B128" s="7"/>
      <c r="C128" s="4"/>
      <c r="D128" s="4"/>
      <c r="E128" s="4"/>
      <c r="F128" s="4"/>
      <c r="G128" s="24">
        <f>SUM(G122:G127)</f>
        <v>9.0396341463414647</v>
      </c>
      <c r="H128" s="6">
        <v>1</v>
      </c>
      <c r="I128" s="4" t="s">
        <v>14</v>
      </c>
    </row>
    <row r="129" spans="1:9">
      <c r="A129" s="4">
        <v>8</v>
      </c>
      <c r="B129" s="7" t="s">
        <v>233</v>
      </c>
      <c r="C129" s="4">
        <v>1</v>
      </c>
      <c r="D129" s="4">
        <f>3.25/3.28</f>
        <v>0.99085365853658547</v>
      </c>
      <c r="E129" s="4">
        <v>0.72</v>
      </c>
      <c r="F129" s="4">
        <v>1</v>
      </c>
      <c r="G129" s="24">
        <f>+F129*E129*D129*C129</f>
        <v>0.71341463414634154</v>
      </c>
      <c r="H129" s="6">
        <v>1</v>
      </c>
      <c r="I129" s="4" t="s">
        <v>91</v>
      </c>
    </row>
    <row r="130" spans="1:9">
      <c r="A130" s="4">
        <v>9</v>
      </c>
      <c r="B130" s="7" t="s">
        <v>234</v>
      </c>
      <c r="C130" s="4">
        <v>1</v>
      </c>
      <c r="D130" s="4">
        <f>3.25/3.28</f>
        <v>0.99085365853658547</v>
      </c>
      <c r="E130" s="4">
        <f>1/3.28</f>
        <v>0.3048780487804878</v>
      </c>
      <c r="F130" s="4">
        <v>1</v>
      </c>
      <c r="G130" s="24">
        <f>+F130*E130*D130*C130</f>
        <v>0.30208953004164191</v>
      </c>
      <c r="H130" s="6">
        <v>1</v>
      </c>
      <c r="I130" s="4" t="s">
        <v>91</v>
      </c>
    </row>
    <row r="131" spans="1:9">
      <c r="A131" s="4"/>
      <c r="B131" s="7"/>
      <c r="C131" s="4"/>
      <c r="D131" s="4"/>
      <c r="E131" s="4"/>
      <c r="F131" s="4"/>
      <c r="G131" s="5"/>
      <c r="H131" s="6"/>
      <c r="I131" s="4"/>
    </row>
    <row r="132" spans="1:9">
      <c r="A132" s="4">
        <v>10</v>
      </c>
      <c r="B132" s="7" t="s">
        <v>235</v>
      </c>
      <c r="C132" s="4">
        <v>1</v>
      </c>
      <c r="D132" s="4">
        <f>7.25/3.28</f>
        <v>2.2103658536585367</v>
      </c>
      <c r="E132" s="4">
        <f>1.5/3.28</f>
        <v>0.45731707317073172</v>
      </c>
      <c r="F132" s="4">
        <v>1</v>
      </c>
      <c r="G132" s="4">
        <f>+F132*E132*D132*C132</f>
        <v>1.0108380428316479</v>
      </c>
      <c r="H132" s="6">
        <v>1</v>
      </c>
      <c r="I132" s="4" t="s">
        <v>91</v>
      </c>
    </row>
    <row r="133" spans="1:9">
      <c r="A133" s="4"/>
      <c r="B133" s="7" t="s">
        <v>235</v>
      </c>
      <c r="C133" s="4">
        <v>1</v>
      </c>
      <c r="D133" s="4">
        <f>1.66/3.28</f>
        <v>0.50609756097560976</v>
      </c>
      <c r="E133" s="4">
        <f>9.16/3.28</f>
        <v>2.7926829268292686</v>
      </c>
      <c r="F133" s="4">
        <v>1</v>
      </c>
      <c r="G133" s="4">
        <f>+F133*E133*D133*C133</f>
        <v>1.4133700178465201</v>
      </c>
      <c r="H133" s="6">
        <v>1</v>
      </c>
      <c r="I133" s="4" t="s">
        <v>91</v>
      </c>
    </row>
    <row r="134" spans="1:9">
      <c r="A134" s="4"/>
      <c r="B134" s="7" t="s">
        <v>235</v>
      </c>
      <c r="C134" s="4">
        <v>1</v>
      </c>
      <c r="D134" s="4">
        <f>7.5/3.28</f>
        <v>2.2865853658536586</v>
      </c>
      <c r="E134" s="4">
        <f>1.75/3.28</f>
        <v>0.53353658536585369</v>
      </c>
      <c r="F134" s="4">
        <v>1</v>
      </c>
      <c r="G134" s="4">
        <f>+F134*E134*D134*C134</f>
        <v>1.2199769482450924</v>
      </c>
      <c r="H134" s="6">
        <v>1</v>
      </c>
      <c r="I134" s="4" t="s">
        <v>91</v>
      </c>
    </row>
    <row r="135" spans="1:9">
      <c r="A135" s="4"/>
      <c r="B135" s="7" t="s">
        <v>235</v>
      </c>
      <c r="C135" s="4">
        <v>1</v>
      </c>
      <c r="D135" s="4">
        <f>4.08/3.28</f>
        <v>1.2439024390243902</v>
      </c>
      <c r="E135" s="4">
        <f>1.58/3.28</f>
        <v>0.48170731707317077</v>
      </c>
      <c r="F135" s="4">
        <v>1</v>
      </c>
      <c r="G135" s="4">
        <f>+F135*E135*D135*C135</f>
        <v>0.59919690660321245</v>
      </c>
      <c r="H135" s="6">
        <v>1</v>
      </c>
      <c r="I135" s="4" t="s">
        <v>91</v>
      </c>
    </row>
    <row r="136" spans="1:9">
      <c r="A136" s="4"/>
      <c r="B136" s="7" t="s">
        <v>235</v>
      </c>
      <c r="C136" s="4">
        <v>1</v>
      </c>
      <c r="D136" s="4">
        <f>2/3.28</f>
        <v>0.6097560975609756</v>
      </c>
      <c r="E136" s="4">
        <f>1.58/3.28</f>
        <v>0.48170731707317077</v>
      </c>
      <c r="F136" s="4">
        <v>1</v>
      </c>
      <c r="G136" s="4">
        <f>+F136*E136*D136*C136</f>
        <v>0.29372397382510412</v>
      </c>
      <c r="H136" s="6">
        <v>1</v>
      </c>
      <c r="I136" s="4" t="s">
        <v>91</v>
      </c>
    </row>
    <row r="137" spans="1:9">
      <c r="A137" s="4"/>
      <c r="B137" s="7"/>
      <c r="C137" s="4"/>
      <c r="D137" s="4"/>
      <c r="E137" s="4"/>
      <c r="F137" s="4"/>
      <c r="G137" s="24">
        <f>SUM(G132:G136)</f>
        <v>4.5371058893515768</v>
      </c>
      <c r="H137" s="6">
        <v>1</v>
      </c>
      <c r="I137" s="4" t="s">
        <v>91</v>
      </c>
    </row>
    <row r="138" spans="1:9">
      <c r="A138" s="4">
        <v>11</v>
      </c>
      <c r="B138" s="7" t="s">
        <v>236</v>
      </c>
      <c r="C138" s="4">
        <v>1</v>
      </c>
      <c r="D138" s="4">
        <f>4.25/3.28</f>
        <v>1.2957317073170733</v>
      </c>
      <c r="E138" s="4">
        <f>2.5/3.28</f>
        <v>0.76219512195121952</v>
      </c>
      <c r="F138" s="4">
        <v>1</v>
      </c>
      <c r="G138" s="4">
        <f>+F138*E138*D138*C138</f>
        <v>0.9876003866745986</v>
      </c>
      <c r="H138" s="6">
        <v>1</v>
      </c>
      <c r="I138" s="4" t="s">
        <v>91</v>
      </c>
    </row>
    <row r="139" spans="1:9">
      <c r="A139" s="4"/>
      <c r="B139" s="7" t="s">
        <v>236</v>
      </c>
      <c r="C139" s="4">
        <v>1</v>
      </c>
      <c r="D139" s="4">
        <f>8.5/3.28</f>
        <v>2.5914634146341466</v>
      </c>
      <c r="E139" s="4">
        <f>1.58/3.28</f>
        <v>0.48170731707317077</v>
      </c>
      <c r="F139" s="4">
        <v>1</v>
      </c>
      <c r="G139" s="4">
        <f>+F139*E139*D139*C139</f>
        <v>1.2483268887566927</v>
      </c>
      <c r="H139" s="6">
        <v>1</v>
      </c>
      <c r="I139" s="4" t="s">
        <v>91</v>
      </c>
    </row>
    <row r="140" spans="1:9">
      <c r="A140" s="4"/>
      <c r="B140" s="7" t="s">
        <v>237</v>
      </c>
      <c r="C140" s="4">
        <v>1</v>
      </c>
      <c r="D140" s="4">
        <f>3.25/3.28</f>
        <v>0.99085365853658547</v>
      </c>
      <c r="E140" s="4">
        <f>1/3.28</f>
        <v>0.3048780487804878</v>
      </c>
      <c r="F140" s="4">
        <v>1</v>
      </c>
      <c r="G140" s="4">
        <f>+F140*E140*D140*C140</f>
        <v>0.30208953004164191</v>
      </c>
      <c r="H140" s="6">
        <v>1</v>
      </c>
      <c r="I140" s="4" t="s">
        <v>91</v>
      </c>
    </row>
    <row r="141" spans="1:9">
      <c r="A141" s="4"/>
      <c r="B141" s="7"/>
      <c r="C141" s="4"/>
      <c r="D141" s="4"/>
      <c r="E141" s="4"/>
      <c r="F141" s="4"/>
      <c r="G141" s="24">
        <f>SUM(G138:G140)</f>
        <v>2.5380168054729331</v>
      </c>
      <c r="H141" s="6">
        <v>1</v>
      </c>
      <c r="I141" s="4" t="s">
        <v>91</v>
      </c>
    </row>
    <row r="142" spans="1:9" ht="28.8">
      <c r="A142" s="4">
        <v>12</v>
      </c>
      <c r="B142" s="7" t="s">
        <v>238</v>
      </c>
      <c r="C142" s="4">
        <v>1</v>
      </c>
      <c r="D142" s="4">
        <f>7.25/3.28</f>
        <v>2.2103658536585367</v>
      </c>
      <c r="E142" s="4">
        <f>1.5/3.28</f>
        <v>0.45731707317073172</v>
      </c>
      <c r="F142" s="4">
        <v>1</v>
      </c>
      <c r="G142" s="4">
        <f t="shared" ref="G142:G147" si="5">+F142*E142*D142*C142</f>
        <v>1.0108380428316479</v>
      </c>
      <c r="H142" s="6">
        <v>1</v>
      </c>
      <c r="I142" s="4" t="s">
        <v>91</v>
      </c>
    </row>
    <row r="143" spans="1:9" ht="28.8">
      <c r="A143" s="4"/>
      <c r="B143" s="7" t="s">
        <v>238</v>
      </c>
      <c r="C143" s="4">
        <v>1</v>
      </c>
      <c r="D143" s="4">
        <f>8.5/3.28</f>
        <v>2.5914634146341466</v>
      </c>
      <c r="E143" s="4">
        <f>0.75/3.28</f>
        <v>0.22865853658536586</v>
      </c>
      <c r="F143" s="4">
        <v>1</v>
      </c>
      <c r="G143" s="4">
        <f t="shared" si="5"/>
        <v>0.59256023200475916</v>
      </c>
      <c r="H143" s="6">
        <v>1</v>
      </c>
      <c r="I143" s="4" t="s">
        <v>91</v>
      </c>
    </row>
    <row r="144" spans="1:9" ht="28.8">
      <c r="A144" s="4"/>
      <c r="B144" s="7" t="s">
        <v>238</v>
      </c>
      <c r="C144" s="4">
        <v>1</v>
      </c>
      <c r="D144" s="4">
        <f>7.25/3.28</f>
        <v>2.2103658536585367</v>
      </c>
      <c r="E144" s="4">
        <f>0.75/3.28</f>
        <v>0.22865853658536586</v>
      </c>
      <c r="F144" s="4">
        <v>1</v>
      </c>
      <c r="G144" s="4">
        <f t="shared" si="5"/>
        <v>0.50541902141582395</v>
      </c>
      <c r="H144" s="6">
        <v>1</v>
      </c>
      <c r="I144" s="4" t="s">
        <v>91</v>
      </c>
    </row>
    <row r="145" spans="1:9" ht="28.8">
      <c r="A145" s="4"/>
      <c r="B145" s="7" t="s">
        <v>238</v>
      </c>
      <c r="C145" s="4">
        <v>1</v>
      </c>
      <c r="D145" s="4">
        <f>9.2/3.28</f>
        <v>2.8048780487804876</v>
      </c>
      <c r="E145" s="4">
        <f>0.75/3.28</f>
        <v>0.22865853658536586</v>
      </c>
      <c r="F145" s="4">
        <v>1</v>
      </c>
      <c r="G145" s="4">
        <f t="shared" si="5"/>
        <v>0.64135930993456269</v>
      </c>
      <c r="H145" s="6">
        <v>1</v>
      </c>
      <c r="I145" s="4" t="s">
        <v>91</v>
      </c>
    </row>
    <row r="146" spans="1:9">
      <c r="A146" s="4"/>
      <c r="B146" s="7" t="s">
        <v>239</v>
      </c>
      <c r="C146" s="4">
        <v>1</v>
      </c>
      <c r="D146" s="4">
        <f>11.75/3.28</f>
        <v>3.5823170731707319</v>
      </c>
      <c r="E146" s="4">
        <f>0.75/3.28</f>
        <v>0.22865853658536586</v>
      </c>
      <c r="F146" s="4">
        <v>1</v>
      </c>
      <c r="G146" s="4">
        <f t="shared" si="5"/>
        <v>0.81912737953599057</v>
      </c>
      <c r="H146" s="6">
        <v>1</v>
      </c>
      <c r="I146" s="4" t="s">
        <v>91</v>
      </c>
    </row>
    <row r="147" spans="1:9">
      <c r="A147" s="4"/>
      <c r="B147" s="7" t="s">
        <v>239</v>
      </c>
      <c r="C147" s="4">
        <v>1</v>
      </c>
      <c r="D147" s="4">
        <f>8.5/3.28</f>
        <v>2.5914634146341466</v>
      </c>
      <c r="E147" s="4">
        <f>0.75/3.28</f>
        <v>0.22865853658536586</v>
      </c>
      <c r="F147" s="4">
        <v>1</v>
      </c>
      <c r="G147" s="4">
        <f t="shared" si="5"/>
        <v>0.59256023200475916</v>
      </c>
      <c r="H147" s="6">
        <v>1</v>
      </c>
      <c r="I147" s="4" t="s">
        <v>91</v>
      </c>
    </row>
    <row r="148" spans="1:9">
      <c r="A148" s="4"/>
      <c r="B148" s="7"/>
      <c r="C148" s="4"/>
      <c r="D148" s="4"/>
      <c r="E148" s="4"/>
      <c r="F148" s="4"/>
      <c r="G148" s="24">
        <f>SUM(G142:G147)</f>
        <v>4.161864217727544</v>
      </c>
      <c r="H148" s="6">
        <v>1</v>
      </c>
      <c r="I148" s="4" t="s">
        <v>91</v>
      </c>
    </row>
    <row r="149" spans="1:9">
      <c r="A149" s="4">
        <v>13</v>
      </c>
      <c r="B149" s="7" t="s">
        <v>240</v>
      </c>
      <c r="C149" s="4">
        <v>1</v>
      </c>
      <c r="D149" s="4">
        <f>10.25/3.28</f>
        <v>3.125</v>
      </c>
      <c r="E149" s="15">
        <v>0.5</v>
      </c>
      <c r="F149" s="4">
        <v>1</v>
      </c>
      <c r="G149" s="4">
        <f t="shared" ref="G149:G155" si="6">+F149*E149*D149*C149</f>
        <v>1.5625</v>
      </c>
      <c r="H149" s="6">
        <v>1</v>
      </c>
      <c r="I149" s="4" t="s">
        <v>91</v>
      </c>
    </row>
    <row r="150" spans="1:9">
      <c r="A150" s="4"/>
      <c r="B150" s="7" t="s">
        <v>240</v>
      </c>
      <c r="C150" s="4">
        <v>1</v>
      </c>
      <c r="D150" s="4">
        <f>8.5/3.28</f>
        <v>2.5914634146341466</v>
      </c>
      <c r="E150" s="4">
        <f>1.58/3.28</f>
        <v>0.48170731707317077</v>
      </c>
      <c r="F150" s="4">
        <v>1</v>
      </c>
      <c r="G150" s="4">
        <f t="shared" si="6"/>
        <v>1.2483268887566927</v>
      </c>
      <c r="H150" s="6">
        <v>1</v>
      </c>
      <c r="I150" s="4" t="s">
        <v>91</v>
      </c>
    </row>
    <row r="151" spans="1:9">
      <c r="A151" s="4"/>
      <c r="B151" s="7" t="s">
        <v>240</v>
      </c>
      <c r="C151" s="4">
        <v>1</v>
      </c>
      <c r="D151" s="4">
        <f>7.25/3.28</f>
        <v>2.2103658536585367</v>
      </c>
      <c r="E151" s="4">
        <f>1.5/3.28</f>
        <v>0.45731707317073172</v>
      </c>
      <c r="F151" s="4">
        <v>1</v>
      </c>
      <c r="G151" s="4">
        <f t="shared" si="6"/>
        <v>1.0108380428316479</v>
      </c>
      <c r="H151" s="6">
        <v>1</v>
      </c>
      <c r="I151" s="4" t="s">
        <v>91</v>
      </c>
    </row>
    <row r="152" spans="1:9">
      <c r="A152" s="4"/>
      <c r="B152" s="7" t="s">
        <v>240</v>
      </c>
      <c r="C152" s="4">
        <v>1</v>
      </c>
      <c r="D152" s="4">
        <f>1.66/3.28</f>
        <v>0.50609756097560976</v>
      </c>
      <c r="E152" s="4">
        <f>9.16/3.28</f>
        <v>2.7926829268292686</v>
      </c>
      <c r="F152" s="4">
        <v>1</v>
      </c>
      <c r="G152" s="4">
        <f t="shared" si="6"/>
        <v>1.4133700178465201</v>
      </c>
      <c r="H152" s="6">
        <v>1</v>
      </c>
      <c r="I152" s="4" t="s">
        <v>91</v>
      </c>
    </row>
    <row r="153" spans="1:9">
      <c r="A153" s="4"/>
      <c r="B153" s="7" t="s">
        <v>240</v>
      </c>
      <c r="C153" s="4">
        <v>1</v>
      </c>
      <c r="D153" s="4">
        <f>7.5/3.28</f>
        <v>2.2865853658536586</v>
      </c>
      <c r="E153" s="4">
        <f>1.75/3.28</f>
        <v>0.53353658536585369</v>
      </c>
      <c r="F153" s="4">
        <v>1</v>
      </c>
      <c r="G153" s="4">
        <f t="shared" si="6"/>
        <v>1.2199769482450924</v>
      </c>
      <c r="H153" s="6">
        <v>1</v>
      </c>
      <c r="I153" s="4" t="s">
        <v>91</v>
      </c>
    </row>
    <row r="154" spans="1:9">
      <c r="A154" s="4"/>
      <c r="B154" s="7" t="s">
        <v>240</v>
      </c>
      <c r="C154" s="4">
        <v>1</v>
      </c>
      <c r="D154" s="4">
        <f>4.08/3.28</f>
        <v>1.2439024390243902</v>
      </c>
      <c r="E154" s="4">
        <f>1.58/3.28</f>
        <v>0.48170731707317077</v>
      </c>
      <c r="F154" s="4">
        <v>1</v>
      </c>
      <c r="G154" s="4">
        <f t="shared" si="6"/>
        <v>0.59919690660321245</v>
      </c>
      <c r="H154" s="6">
        <v>1</v>
      </c>
      <c r="I154" s="4" t="s">
        <v>91</v>
      </c>
    </row>
    <row r="155" spans="1:9">
      <c r="A155" s="4"/>
      <c r="B155" s="7" t="s">
        <v>240</v>
      </c>
      <c r="C155" s="4">
        <v>1</v>
      </c>
      <c r="D155" s="15">
        <v>0.5</v>
      </c>
      <c r="E155" s="4">
        <f>1.58/3.28</f>
        <v>0.48170731707317077</v>
      </c>
      <c r="F155" s="4">
        <v>1</v>
      </c>
      <c r="G155" s="4">
        <f t="shared" si="6"/>
        <v>0.24085365853658539</v>
      </c>
      <c r="H155" s="6">
        <v>1</v>
      </c>
      <c r="I155" s="4" t="s">
        <v>91</v>
      </c>
    </row>
    <row r="156" spans="1:9">
      <c r="A156" s="4"/>
      <c r="B156" s="7"/>
      <c r="C156" s="4"/>
      <c r="D156" s="4"/>
      <c r="E156" s="4"/>
      <c r="F156" s="4"/>
      <c r="G156" s="24">
        <f>SUM(G149:G155)</f>
        <v>7.2950624628197511</v>
      </c>
      <c r="H156" s="6">
        <v>1</v>
      </c>
      <c r="I156" s="4" t="s">
        <v>91</v>
      </c>
    </row>
    <row r="157" spans="1:9">
      <c r="A157" s="4">
        <v>14</v>
      </c>
      <c r="B157" s="7" t="s">
        <v>241</v>
      </c>
      <c r="C157" s="4">
        <v>1</v>
      </c>
      <c r="D157" s="15">
        <v>2.5910000000000002</v>
      </c>
      <c r="E157" s="15">
        <v>0.22800000000000001</v>
      </c>
      <c r="F157" s="4">
        <v>1</v>
      </c>
      <c r="G157" s="4">
        <f t="shared" ref="G157:G162" si="7">+F157*E157*D157*C157</f>
        <v>0.59074800000000005</v>
      </c>
      <c r="H157" s="6">
        <v>1</v>
      </c>
      <c r="I157" s="4" t="s">
        <v>91</v>
      </c>
    </row>
    <row r="158" spans="1:9">
      <c r="A158" s="4"/>
      <c r="B158" s="7" t="s">
        <v>241</v>
      </c>
      <c r="C158" s="4">
        <v>1</v>
      </c>
      <c r="D158" s="15">
        <v>2.21</v>
      </c>
      <c r="E158" s="15">
        <v>0.4</v>
      </c>
      <c r="F158" s="4">
        <v>1</v>
      </c>
      <c r="G158" s="4">
        <f t="shared" si="7"/>
        <v>0.88400000000000001</v>
      </c>
      <c r="H158" s="6">
        <v>1</v>
      </c>
      <c r="I158" s="4" t="s">
        <v>91</v>
      </c>
    </row>
    <row r="159" spans="1:9">
      <c r="A159" s="4"/>
      <c r="B159" s="7" t="s">
        <v>241</v>
      </c>
      <c r="C159" s="4">
        <v>1</v>
      </c>
      <c r="D159" s="15">
        <v>2.21</v>
      </c>
      <c r="E159" s="15">
        <v>0.22</v>
      </c>
      <c r="F159" s="4">
        <v>1</v>
      </c>
      <c r="G159" s="4">
        <f t="shared" si="7"/>
        <v>0.48620000000000002</v>
      </c>
      <c r="H159" s="6">
        <v>1</v>
      </c>
      <c r="I159" s="4" t="s">
        <v>91</v>
      </c>
    </row>
    <row r="160" spans="1:9">
      <c r="A160" s="4"/>
      <c r="B160" s="7" t="s">
        <v>241</v>
      </c>
      <c r="C160" s="4">
        <v>1</v>
      </c>
      <c r="D160" s="15">
        <v>2.8</v>
      </c>
      <c r="E160" s="15">
        <v>0.22</v>
      </c>
      <c r="F160" s="4">
        <v>1</v>
      </c>
      <c r="G160" s="4">
        <f t="shared" si="7"/>
        <v>0.61599999999999999</v>
      </c>
      <c r="H160" s="6">
        <v>1</v>
      </c>
      <c r="I160" s="4" t="s">
        <v>91</v>
      </c>
    </row>
    <row r="161" spans="1:9">
      <c r="A161" s="4"/>
      <c r="B161" s="7" t="s">
        <v>241</v>
      </c>
      <c r="C161" s="4">
        <v>1</v>
      </c>
      <c r="D161" s="15">
        <v>3.58</v>
      </c>
      <c r="E161" s="15">
        <v>0.22</v>
      </c>
      <c r="F161" s="4">
        <v>1</v>
      </c>
      <c r="G161" s="4">
        <f t="shared" si="7"/>
        <v>0.78759999999999997</v>
      </c>
      <c r="H161" s="6">
        <v>1</v>
      </c>
      <c r="I161" s="4" t="s">
        <v>91</v>
      </c>
    </row>
    <row r="162" spans="1:9">
      <c r="A162" s="4"/>
      <c r="B162" s="7" t="s">
        <v>241</v>
      </c>
      <c r="C162" s="4">
        <v>1</v>
      </c>
      <c r="D162" s="15">
        <v>2.59</v>
      </c>
      <c r="E162" s="15">
        <v>0.22</v>
      </c>
      <c r="F162" s="4">
        <v>1</v>
      </c>
      <c r="G162" s="4">
        <f t="shared" si="7"/>
        <v>0.56979999999999997</v>
      </c>
      <c r="H162" s="6">
        <v>1</v>
      </c>
      <c r="I162" s="4" t="s">
        <v>91</v>
      </c>
    </row>
    <row r="163" spans="1:9">
      <c r="A163" s="4"/>
      <c r="B163" s="7"/>
      <c r="C163" s="4"/>
      <c r="D163" s="4"/>
      <c r="E163" s="4"/>
      <c r="F163" s="4"/>
      <c r="G163" s="24">
        <f>SUM(G157:G162)</f>
        <v>3.9343479999999995</v>
      </c>
      <c r="H163" s="6">
        <v>1</v>
      </c>
      <c r="I163" s="4" t="s">
        <v>91</v>
      </c>
    </row>
    <row r="164" spans="1:9">
      <c r="A164" s="4">
        <v>15</v>
      </c>
      <c r="B164" s="7" t="s">
        <v>242</v>
      </c>
      <c r="C164" s="15">
        <v>1</v>
      </c>
      <c r="D164" s="15">
        <v>1.1100000000000001</v>
      </c>
      <c r="E164" s="4">
        <v>1</v>
      </c>
      <c r="F164" s="4">
        <v>1</v>
      </c>
      <c r="G164" s="4">
        <f>+F164*E164*D164*C164</f>
        <v>1.1100000000000001</v>
      </c>
      <c r="H164" s="6">
        <v>1</v>
      </c>
      <c r="I164" s="4" t="s">
        <v>14</v>
      </c>
    </row>
    <row r="165" spans="1:9">
      <c r="A165" s="4"/>
      <c r="B165" s="7" t="s">
        <v>242</v>
      </c>
      <c r="C165" s="15">
        <v>1</v>
      </c>
      <c r="D165" s="15">
        <v>1.1100000000000001</v>
      </c>
      <c r="E165" s="4">
        <v>1</v>
      </c>
      <c r="F165" s="4">
        <v>1</v>
      </c>
      <c r="G165" s="4">
        <f>+F165*E165*D165*C165</f>
        <v>1.1100000000000001</v>
      </c>
      <c r="H165" s="6">
        <v>1</v>
      </c>
      <c r="I165" s="4" t="s">
        <v>14</v>
      </c>
    </row>
    <row r="166" spans="1:9">
      <c r="A166" s="4"/>
      <c r="B166" s="7" t="s">
        <v>242</v>
      </c>
      <c r="C166" s="15">
        <v>1</v>
      </c>
      <c r="D166" s="15">
        <v>0.81</v>
      </c>
      <c r="E166" s="4">
        <v>1</v>
      </c>
      <c r="F166" s="4">
        <v>1</v>
      </c>
      <c r="G166" s="4">
        <f>+F166*E166*D166*C166</f>
        <v>0.81</v>
      </c>
      <c r="H166" s="6">
        <v>1</v>
      </c>
      <c r="I166" s="4" t="s">
        <v>14</v>
      </c>
    </row>
    <row r="167" spans="1:9">
      <c r="A167" s="4"/>
      <c r="B167" s="7" t="s">
        <v>242</v>
      </c>
      <c r="C167" s="15">
        <v>1</v>
      </c>
      <c r="D167" s="15">
        <v>0.81</v>
      </c>
      <c r="E167" s="4">
        <v>1</v>
      </c>
      <c r="F167" s="4">
        <v>1</v>
      </c>
      <c r="G167" s="4">
        <f>+F167*E167*D167*C167</f>
        <v>0.81</v>
      </c>
      <c r="H167" s="6">
        <v>1</v>
      </c>
      <c r="I167" s="4" t="s">
        <v>14</v>
      </c>
    </row>
    <row r="168" spans="1:9">
      <c r="A168" s="4"/>
      <c r="B168" s="7"/>
      <c r="C168" s="4"/>
      <c r="D168" s="4"/>
      <c r="E168" s="4"/>
      <c r="F168" s="4"/>
      <c r="G168" s="24">
        <f>SUM(G164:G167)</f>
        <v>3.8400000000000003</v>
      </c>
      <c r="H168" s="6">
        <v>1</v>
      </c>
      <c r="I168" s="4" t="s">
        <v>14</v>
      </c>
    </row>
    <row r="169" spans="1:9">
      <c r="A169" s="4">
        <v>16</v>
      </c>
      <c r="B169" s="7" t="s">
        <v>243</v>
      </c>
      <c r="C169" s="15">
        <v>1</v>
      </c>
      <c r="D169" s="15">
        <v>1.1100000000000001</v>
      </c>
      <c r="E169" s="4">
        <v>1</v>
      </c>
      <c r="F169" s="4">
        <v>1</v>
      </c>
      <c r="G169" s="4">
        <f>+F169*E169*D169*C169</f>
        <v>1.1100000000000001</v>
      </c>
      <c r="H169" s="6">
        <v>1</v>
      </c>
      <c r="I169" s="4" t="s">
        <v>14</v>
      </c>
    </row>
    <row r="170" spans="1:9">
      <c r="A170" s="4"/>
      <c r="B170" s="7" t="s">
        <v>243</v>
      </c>
      <c r="C170" s="15">
        <v>1</v>
      </c>
      <c r="D170" s="15">
        <v>0.81</v>
      </c>
      <c r="E170" s="4">
        <v>1</v>
      </c>
      <c r="F170" s="4">
        <v>1</v>
      </c>
      <c r="G170" s="4">
        <f>+F170*E170*D170*C170</f>
        <v>0.81</v>
      </c>
      <c r="H170" s="6">
        <v>1</v>
      </c>
      <c r="I170" s="4" t="s">
        <v>14</v>
      </c>
    </row>
    <row r="171" spans="1:9">
      <c r="A171" s="4"/>
      <c r="B171" s="7"/>
      <c r="C171" s="4"/>
      <c r="D171" s="4"/>
      <c r="E171" s="4"/>
      <c r="F171" s="4"/>
      <c r="G171" s="24">
        <f>SUM(G169:G170)</f>
        <v>1.9200000000000002</v>
      </c>
      <c r="H171" s="6">
        <v>1</v>
      </c>
      <c r="I171" s="4" t="s">
        <v>14</v>
      </c>
    </row>
    <row r="172" spans="1:9" ht="28.8">
      <c r="A172" s="4">
        <v>17</v>
      </c>
      <c r="B172" s="7" t="s">
        <v>244</v>
      </c>
      <c r="C172" s="15">
        <v>1</v>
      </c>
      <c r="D172" s="4">
        <f>3.66/3.28</f>
        <v>1.1158536585365855</v>
      </c>
      <c r="E172" s="4">
        <v>1</v>
      </c>
      <c r="F172" s="4">
        <v>1</v>
      </c>
      <c r="G172" s="4">
        <f>+F172*E172*D172*C172</f>
        <v>1.1158536585365855</v>
      </c>
      <c r="H172" s="6">
        <v>1</v>
      </c>
      <c r="I172" s="4" t="s">
        <v>14</v>
      </c>
    </row>
    <row r="173" spans="1:9" ht="28.8">
      <c r="A173" s="4"/>
      <c r="B173" s="7" t="s">
        <v>244</v>
      </c>
      <c r="C173" s="15">
        <v>1</v>
      </c>
      <c r="D173" s="4">
        <f>3.66/3.28</f>
        <v>1.1158536585365855</v>
      </c>
      <c r="E173" s="4">
        <v>1</v>
      </c>
      <c r="F173" s="4">
        <v>1</v>
      </c>
      <c r="G173" s="4">
        <f>+F173*E173*D173*C173</f>
        <v>1.1158536585365855</v>
      </c>
      <c r="H173" s="6">
        <v>1</v>
      </c>
      <c r="I173" s="4" t="s">
        <v>14</v>
      </c>
    </row>
    <row r="174" spans="1:9" ht="28.8">
      <c r="A174" s="4"/>
      <c r="B174" s="7" t="s">
        <v>244</v>
      </c>
      <c r="C174" s="15">
        <v>1</v>
      </c>
      <c r="D174" s="4">
        <f>2.66/3.28</f>
        <v>0.81097560975609762</v>
      </c>
      <c r="E174" s="4">
        <v>1</v>
      </c>
      <c r="F174" s="4">
        <v>1</v>
      </c>
      <c r="G174" s="4">
        <f>+F174*E174*D174*C174</f>
        <v>0.81097560975609762</v>
      </c>
      <c r="H174" s="6">
        <v>1</v>
      </c>
      <c r="I174" s="4" t="s">
        <v>14</v>
      </c>
    </row>
    <row r="175" spans="1:9" ht="28.8">
      <c r="A175" s="4"/>
      <c r="B175" s="7" t="s">
        <v>244</v>
      </c>
      <c r="C175" s="15">
        <v>1</v>
      </c>
      <c r="D175" s="4">
        <f>2.66/3.28</f>
        <v>0.81097560975609762</v>
      </c>
      <c r="E175" s="4">
        <v>1</v>
      </c>
      <c r="F175" s="4">
        <v>1</v>
      </c>
      <c r="G175" s="4">
        <f>+F175*E175*D175*C175</f>
        <v>0.81097560975609762</v>
      </c>
      <c r="H175" s="6">
        <v>1</v>
      </c>
      <c r="I175" s="4" t="s">
        <v>14</v>
      </c>
    </row>
    <row r="176" spans="1:9">
      <c r="A176" s="4"/>
      <c r="B176" s="7"/>
      <c r="C176" s="4"/>
      <c r="D176" s="4"/>
      <c r="E176" s="4"/>
      <c r="F176" s="4"/>
      <c r="G176" s="24">
        <f>SUM(G172:G175)</f>
        <v>3.8536585365853662</v>
      </c>
      <c r="H176" s="6">
        <v>1</v>
      </c>
      <c r="I176" s="4" t="s">
        <v>14</v>
      </c>
    </row>
    <row r="178" spans="1:9" ht="37.799999999999997" customHeight="1">
      <c r="A178" s="211" t="s">
        <v>9</v>
      </c>
      <c r="B178" s="211"/>
      <c r="C178" s="211"/>
      <c r="D178" s="211"/>
      <c r="E178" s="211"/>
      <c r="F178" s="1"/>
      <c r="G178" s="1"/>
    </row>
    <row r="179" spans="1:9" ht="28.8" customHeight="1">
      <c r="A179" s="209" t="s">
        <v>10</v>
      </c>
      <c r="B179" s="209"/>
      <c r="C179" s="209"/>
      <c r="D179" s="209"/>
      <c r="E179" s="209"/>
      <c r="F179" s="209"/>
      <c r="G179" s="209"/>
      <c r="H179" s="209"/>
      <c r="I179" s="209"/>
    </row>
    <row r="180" spans="1:9" ht="28.8" customHeight="1">
      <c r="A180" s="210" t="s">
        <v>245</v>
      </c>
      <c r="B180" s="210"/>
      <c r="C180" s="210"/>
      <c r="D180" s="210"/>
      <c r="E180" s="210"/>
      <c r="F180" s="36"/>
      <c r="G180" s="36"/>
      <c r="H180" s="36"/>
      <c r="I180" s="2"/>
    </row>
    <row r="181" spans="1:9">
      <c r="B181"/>
    </row>
    <row r="182" spans="1:9" s="39" customFormat="1" ht="13.8">
      <c r="A182" s="38" t="s">
        <v>83</v>
      </c>
      <c r="B182" s="38" t="s">
        <v>174</v>
      </c>
      <c r="C182" s="38" t="s">
        <v>175</v>
      </c>
      <c r="D182" s="38" t="s">
        <v>85</v>
      </c>
      <c r="E182" s="38" t="s">
        <v>87</v>
      </c>
      <c r="F182" s="38" t="s">
        <v>88</v>
      </c>
      <c r="G182" s="38" t="s">
        <v>6</v>
      </c>
      <c r="H182" s="38" t="s">
        <v>7</v>
      </c>
      <c r="I182" s="38" t="s">
        <v>176</v>
      </c>
    </row>
    <row r="183" spans="1:9">
      <c r="A183" s="4"/>
      <c r="B183" s="4"/>
      <c r="C183" s="4"/>
      <c r="D183" s="4"/>
      <c r="E183" s="4"/>
      <c r="F183" s="4"/>
      <c r="G183" s="4"/>
      <c r="H183" s="4"/>
      <c r="I183" s="4"/>
    </row>
    <row r="184" spans="1:9">
      <c r="A184" s="40" t="s">
        <v>177</v>
      </c>
      <c r="B184" s="41" t="s">
        <v>246</v>
      </c>
      <c r="C184" s="4"/>
      <c r="D184" s="4"/>
      <c r="E184" s="4"/>
      <c r="F184" s="4"/>
      <c r="G184" s="4"/>
      <c r="H184" s="4"/>
      <c r="I184" s="4"/>
    </row>
    <row r="185" spans="1:9">
      <c r="A185" s="40">
        <v>1</v>
      </c>
      <c r="B185" s="40" t="s">
        <v>200</v>
      </c>
      <c r="C185" s="4">
        <v>1</v>
      </c>
      <c r="D185" s="15">
        <v>0.9</v>
      </c>
      <c r="E185" s="4">
        <v>1</v>
      </c>
      <c r="F185" s="4">
        <v>1</v>
      </c>
      <c r="G185" s="4">
        <f>+F185*E185*D185*C185</f>
        <v>0.9</v>
      </c>
      <c r="H185" s="6">
        <v>1</v>
      </c>
      <c r="I185" s="4" t="s">
        <v>14</v>
      </c>
    </row>
    <row r="186" spans="1:9">
      <c r="A186" s="40"/>
      <c r="B186" s="40" t="s">
        <v>247</v>
      </c>
      <c r="C186" s="4">
        <v>1</v>
      </c>
      <c r="D186" s="4">
        <f>3/3.28</f>
        <v>0.91463414634146345</v>
      </c>
      <c r="E186" s="4">
        <v>1</v>
      </c>
      <c r="F186" s="4">
        <v>1</v>
      </c>
      <c r="G186" s="4">
        <f>+F186*E186*D186*C186</f>
        <v>0.91463414634146345</v>
      </c>
      <c r="H186" s="6">
        <v>1</v>
      </c>
      <c r="I186" s="4" t="s">
        <v>14</v>
      </c>
    </row>
    <row r="187" spans="1:9">
      <c r="A187" s="40"/>
      <c r="B187" s="40"/>
      <c r="C187" s="4"/>
      <c r="D187" s="4"/>
      <c r="E187" s="4"/>
      <c r="F187" s="4"/>
      <c r="G187" s="24">
        <f>SUM(G185:G186)</f>
        <v>1.8146341463414635</v>
      </c>
      <c r="H187" s="6">
        <v>1</v>
      </c>
      <c r="I187" s="4" t="s">
        <v>14</v>
      </c>
    </row>
    <row r="188" spans="1:9">
      <c r="A188" s="40">
        <v>2</v>
      </c>
      <c r="B188" s="40" t="s">
        <v>201</v>
      </c>
      <c r="C188" s="4">
        <v>1</v>
      </c>
      <c r="D188" s="4">
        <f>3.58/3.28</f>
        <v>1.0914634146341464</v>
      </c>
      <c r="E188" s="4">
        <v>1</v>
      </c>
      <c r="F188" s="4">
        <v>1</v>
      </c>
      <c r="G188" s="4">
        <f>+F188*E188*D188*C188</f>
        <v>1.0914634146341464</v>
      </c>
      <c r="H188" s="6">
        <v>1</v>
      </c>
      <c r="I188" s="4" t="s">
        <v>14</v>
      </c>
    </row>
    <row r="189" spans="1:9">
      <c r="A189" s="40"/>
      <c r="B189" s="40" t="s">
        <v>248</v>
      </c>
      <c r="C189" s="4">
        <v>1</v>
      </c>
      <c r="D189" s="4">
        <f>3/3.28</f>
        <v>0.91463414634146345</v>
      </c>
      <c r="E189" s="4">
        <v>1</v>
      </c>
      <c r="F189" s="4">
        <v>1</v>
      </c>
      <c r="G189" s="4">
        <f>+F189*E189*D189*C189</f>
        <v>0.91463414634146345</v>
      </c>
      <c r="H189" s="6">
        <v>1</v>
      </c>
      <c r="I189" s="4" t="s">
        <v>14</v>
      </c>
    </row>
    <row r="190" spans="1:9">
      <c r="A190" s="40"/>
      <c r="B190" s="40"/>
      <c r="C190" s="4"/>
      <c r="D190" s="4"/>
      <c r="E190" s="4"/>
      <c r="F190" s="4"/>
      <c r="G190" s="5">
        <f>SUM(G188:G189)</f>
        <v>2.00609756097561</v>
      </c>
      <c r="H190" s="6">
        <v>1</v>
      </c>
      <c r="I190" s="4" t="s">
        <v>14</v>
      </c>
    </row>
    <row r="191" spans="1:9">
      <c r="A191" s="40"/>
      <c r="B191" s="40"/>
      <c r="C191" s="4"/>
      <c r="D191" s="4"/>
      <c r="E191" s="4"/>
      <c r="F191" s="4"/>
      <c r="G191" s="5"/>
      <c r="H191" s="6"/>
      <c r="I191" s="4"/>
    </row>
    <row r="192" spans="1:9">
      <c r="A192" s="40" t="s">
        <v>195</v>
      </c>
      <c r="B192" s="41" t="s">
        <v>249</v>
      </c>
      <c r="C192" s="4"/>
      <c r="D192" s="4"/>
      <c r="E192" s="4"/>
      <c r="F192" s="4"/>
      <c r="G192" s="4" t="s">
        <v>36</v>
      </c>
      <c r="H192" s="6" t="s">
        <v>36</v>
      </c>
      <c r="I192" s="4"/>
    </row>
    <row r="193" spans="1:9">
      <c r="A193" s="40">
        <v>1</v>
      </c>
      <c r="B193" s="40" t="s">
        <v>200</v>
      </c>
      <c r="C193" s="4">
        <v>1</v>
      </c>
      <c r="D193" s="4">
        <v>0.79</v>
      </c>
      <c r="E193" s="4">
        <v>1</v>
      </c>
      <c r="F193" s="4">
        <v>1</v>
      </c>
      <c r="G193" s="24">
        <f>+F193*E193*D193*C193</f>
        <v>0.79</v>
      </c>
      <c r="H193" s="6">
        <v>1</v>
      </c>
      <c r="I193" s="4" t="s">
        <v>14</v>
      </c>
    </row>
    <row r="194" spans="1:9">
      <c r="A194" s="40">
        <v>2</v>
      </c>
      <c r="B194" s="40" t="s">
        <v>201</v>
      </c>
      <c r="C194" s="4">
        <v>1</v>
      </c>
      <c r="D194" s="4">
        <v>0.79</v>
      </c>
      <c r="E194" s="4">
        <v>1</v>
      </c>
      <c r="F194" s="4">
        <v>1</v>
      </c>
      <c r="G194" s="24">
        <f>+F194*E194*D194*C194</f>
        <v>0.79</v>
      </c>
      <c r="H194" s="6">
        <v>1</v>
      </c>
      <c r="I194" s="4" t="s">
        <v>14</v>
      </c>
    </row>
    <row r="195" spans="1:9">
      <c r="A195" s="40">
        <v>3</v>
      </c>
      <c r="B195" s="40" t="s">
        <v>12</v>
      </c>
      <c r="C195" s="4">
        <v>1</v>
      </c>
      <c r="D195" s="4">
        <v>0.79</v>
      </c>
      <c r="E195" s="4">
        <v>1</v>
      </c>
      <c r="F195" s="4">
        <v>1</v>
      </c>
      <c r="G195" s="24">
        <f>+F195*E195*D195*C195</f>
        <v>0.79</v>
      </c>
      <c r="H195" s="6">
        <v>1</v>
      </c>
      <c r="I195" s="4" t="s">
        <v>14</v>
      </c>
    </row>
    <row r="196" spans="1:9">
      <c r="A196" s="40"/>
      <c r="B196" s="40"/>
      <c r="C196" s="4"/>
      <c r="D196" s="4"/>
      <c r="E196" s="4"/>
      <c r="F196" s="4"/>
      <c r="G196" s="5" t="s">
        <v>36</v>
      </c>
      <c r="H196" s="6" t="s">
        <v>36</v>
      </c>
      <c r="I196" s="4" t="s">
        <v>36</v>
      </c>
    </row>
    <row r="197" spans="1:9">
      <c r="A197" s="40"/>
      <c r="B197" s="40"/>
      <c r="C197" s="4"/>
      <c r="D197" s="4"/>
      <c r="E197" s="4"/>
      <c r="F197" s="4"/>
      <c r="G197" s="4" t="s">
        <v>36</v>
      </c>
      <c r="H197" s="6" t="s">
        <v>36</v>
      </c>
      <c r="I197" s="4"/>
    </row>
    <row r="198" spans="1:9">
      <c r="A198" s="40" t="s">
        <v>198</v>
      </c>
      <c r="B198" s="41" t="s">
        <v>250</v>
      </c>
      <c r="C198" s="4"/>
      <c r="D198" s="4"/>
      <c r="E198" s="4"/>
      <c r="F198" s="4"/>
      <c r="G198" s="4" t="s">
        <v>36</v>
      </c>
      <c r="H198" s="6" t="s">
        <v>36</v>
      </c>
      <c r="I198" s="4"/>
    </row>
    <row r="199" spans="1:9">
      <c r="A199" s="40">
        <v>1</v>
      </c>
      <c r="B199" s="40" t="s">
        <v>209</v>
      </c>
      <c r="C199" s="4">
        <v>2</v>
      </c>
      <c r="D199" s="15">
        <v>0.2</v>
      </c>
      <c r="E199" s="43">
        <v>0.05</v>
      </c>
      <c r="F199" s="4">
        <v>1</v>
      </c>
      <c r="G199" s="24">
        <f>+F199*E199*D199*C199</f>
        <v>2.0000000000000004E-2</v>
      </c>
      <c r="H199" s="6">
        <v>1</v>
      </c>
      <c r="I199" s="4" t="s">
        <v>91</v>
      </c>
    </row>
    <row r="200" spans="1:9">
      <c r="A200" s="40"/>
      <c r="B200" s="40"/>
      <c r="C200" s="4"/>
      <c r="D200" s="4"/>
      <c r="E200" s="4"/>
      <c r="F200" s="4"/>
      <c r="G200" s="4" t="s">
        <v>36</v>
      </c>
      <c r="H200" s="6" t="s">
        <v>36</v>
      </c>
      <c r="I200" s="4"/>
    </row>
    <row r="201" spans="1:9">
      <c r="A201" s="40" t="s">
        <v>202</v>
      </c>
      <c r="B201" s="41" t="s">
        <v>251</v>
      </c>
      <c r="C201" s="4"/>
      <c r="D201" s="4"/>
      <c r="E201" s="4"/>
      <c r="F201" s="4"/>
      <c r="G201" s="4" t="s">
        <v>36</v>
      </c>
      <c r="H201" s="6" t="s">
        <v>36</v>
      </c>
      <c r="I201" s="4"/>
    </row>
    <row r="202" spans="1:9">
      <c r="A202" s="40">
        <v>1</v>
      </c>
      <c r="B202" s="40" t="s">
        <v>252</v>
      </c>
      <c r="C202" s="4">
        <v>1</v>
      </c>
      <c r="D202" s="15">
        <v>1.57</v>
      </c>
      <c r="E202" s="4">
        <v>1</v>
      </c>
      <c r="F202" s="4">
        <v>1</v>
      </c>
      <c r="G202" s="4">
        <f>+F202*E202*D202*C202</f>
        <v>1.57</v>
      </c>
      <c r="H202" s="6">
        <v>1</v>
      </c>
      <c r="I202" s="4" t="s">
        <v>14</v>
      </c>
    </row>
    <row r="203" spans="1:9">
      <c r="A203" s="40"/>
      <c r="B203" s="40" t="s">
        <v>252</v>
      </c>
      <c r="C203" s="4">
        <v>1</v>
      </c>
      <c r="D203" s="15">
        <v>0.78</v>
      </c>
      <c r="E203" s="4">
        <v>1</v>
      </c>
      <c r="F203" s="4">
        <v>1</v>
      </c>
      <c r="G203" s="4">
        <f>+F203*E203*D203*C203</f>
        <v>0.78</v>
      </c>
      <c r="H203" s="6">
        <v>1</v>
      </c>
      <c r="I203" s="4" t="s">
        <v>14</v>
      </c>
    </row>
    <row r="204" spans="1:9">
      <c r="A204" s="40"/>
      <c r="B204" s="40"/>
      <c r="C204" s="4"/>
      <c r="D204" s="4"/>
      <c r="E204" s="4"/>
      <c r="F204" s="4"/>
      <c r="G204" s="24">
        <f>SUM(G202:G203)</f>
        <v>2.35</v>
      </c>
      <c r="H204" s="6">
        <v>1</v>
      </c>
      <c r="I204" s="4" t="s">
        <v>14</v>
      </c>
    </row>
    <row r="205" spans="1:9" ht="24.6">
      <c r="A205" s="40">
        <v>2</v>
      </c>
      <c r="B205" s="42" t="s">
        <v>230</v>
      </c>
      <c r="C205" s="4">
        <v>2</v>
      </c>
      <c r="D205" s="15">
        <v>1.57</v>
      </c>
      <c r="E205" s="4">
        <v>1</v>
      </c>
      <c r="F205" s="4">
        <v>1</v>
      </c>
      <c r="G205" s="4">
        <f t="shared" ref="G205:G211" si="8">+F205*E205*D205*C205</f>
        <v>3.14</v>
      </c>
      <c r="H205" s="6">
        <v>1</v>
      </c>
      <c r="I205" s="4" t="s">
        <v>14</v>
      </c>
    </row>
    <row r="206" spans="1:9" ht="24.6">
      <c r="A206" s="40"/>
      <c r="B206" s="42" t="s">
        <v>231</v>
      </c>
      <c r="C206" s="4">
        <v>1</v>
      </c>
      <c r="D206" s="15">
        <v>0.6</v>
      </c>
      <c r="E206" s="4">
        <v>1</v>
      </c>
      <c r="F206" s="4">
        <v>1</v>
      </c>
      <c r="G206" s="4">
        <f t="shared" si="8"/>
        <v>0.6</v>
      </c>
      <c r="H206" s="6">
        <v>1</v>
      </c>
      <c r="I206" s="4" t="s">
        <v>14</v>
      </c>
    </row>
    <row r="207" spans="1:9" ht="24.6">
      <c r="A207" s="40"/>
      <c r="B207" s="42" t="s">
        <v>231</v>
      </c>
      <c r="C207" s="4">
        <v>2</v>
      </c>
      <c r="D207" s="15">
        <v>0.91</v>
      </c>
      <c r="E207" s="4">
        <v>1</v>
      </c>
      <c r="F207" s="4">
        <v>1</v>
      </c>
      <c r="G207" s="4">
        <f t="shared" si="8"/>
        <v>1.82</v>
      </c>
      <c r="H207" s="6">
        <v>1</v>
      </c>
      <c r="I207" s="4" t="s">
        <v>253</v>
      </c>
    </row>
    <row r="208" spans="1:9" ht="24.6">
      <c r="A208" s="40"/>
      <c r="B208" s="42" t="s">
        <v>231</v>
      </c>
      <c r="C208" s="4">
        <v>1</v>
      </c>
      <c r="D208" s="4">
        <f>2/3.28</f>
        <v>0.6097560975609756</v>
      </c>
      <c r="E208" s="4">
        <v>1</v>
      </c>
      <c r="F208" s="4">
        <v>1</v>
      </c>
      <c r="G208" s="4">
        <f t="shared" si="8"/>
        <v>0.6097560975609756</v>
      </c>
      <c r="H208" s="6">
        <v>1</v>
      </c>
      <c r="I208" s="4" t="s">
        <v>14</v>
      </c>
    </row>
    <row r="209" spans="1:9" ht="24.6">
      <c r="A209" s="40"/>
      <c r="B209" s="42" t="s">
        <v>231</v>
      </c>
      <c r="C209" s="4">
        <v>4</v>
      </c>
      <c r="D209" s="4">
        <f>2.16/3.28</f>
        <v>0.65853658536585369</v>
      </c>
      <c r="E209" s="4">
        <v>1</v>
      </c>
      <c r="F209" s="4">
        <v>1</v>
      </c>
      <c r="G209" s="4">
        <f t="shared" si="8"/>
        <v>2.6341463414634148</v>
      </c>
      <c r="H209" s="6">
        <v>1</v>
      </c>
      <c r="I209" s="4" t="s">
        <v>14</v>
      </c>
    </row>
    <row r="210" spans="1:9" ht="24.6">
      <c r="A210" s="40"/>
      <c r="B210" s="42" t="s">
        <v>230</v>
      </c>
      <c r="C210" s="4">
        <v>2</v>
      </c>
      <c r="D210" s="4">
        <f>2.25/3.28</f>
        <v>0.68597560975609762</v>
      </c>
      <c r="E210" s="4">
        <v>1</v>
      </c>
      <c r="F210" s="4">
        <v>1</v>
      </c>
      <c r="G210" s="4">
        <f t="shared" si="8"/>
        <v>1.3719512195121952</v>
      </c>
      <c r="H210" s="6">
        <v>1</v>
      </c>
      <c r="I210" s="4" t="s">
        <v>14</v>
      </c>
    </row>
    <row r="211" spans="1:9" ht="24.6">
      <c r="A211" s="40"/>
      <c r="B211" s="42" t="s">
        <v>231</v>
      </c>
      <c r="C211" s="4">
        <v>4</v>
      </c>
      <c r="D211" s="4">
        <f>3.75/3.28</f>
        <v>1.1432926829268293</v>
      </c>
      <c r="E211" s="4">
        <v>1</v>
      </c>
      <c r="F211" s="4">
        <v>1</v>
      </c>
      <c r="G211" s="4">
        <f t="shared" si="8"/>
        <v>4.5731707317073171</v>
      </c>
      <c r="H211" s="6">
        <v>1</v>
      </c>
      <c r="I211" s="4" t="s">
        <v>14</v>
      </c>
    </row>
    <row r="212" spans="1:9">
      <c r="A212" s="40">
        <v>5</v>
      </c>
      <c r="B212" s="40" t="s">
        <v>244</v>
      </c>
      <c r="C212" s="4">
        <v>2</v>
      </c>
      <c r="D212" s="4">
        <v>1.1100000000000001</v>
      </c>
      <c r="E212" s="4">
        <v>1</v>
      </c>
      <c r="F212" s="4">
        <v>1</v>
      </c>
      <c r="G212" s="4">
        <f>+F212*E212*D212*C212</f>
        <v>2.2200000000000002</v>
      </c>
      <c r="H212" s="6">
        <v>1</v>
      </c>
      <c r="I212" s="4" t="s">
        <v>14</v>
      </c>
    </row>
    <row r="213" spans="1:9">
      <c r="A213" s="40"/>
      <c r="B213" s="40"/>
      <c r="C213" s="4"/>
      <c r="D213" s="4"/>
      <c r="E213" s="4"/>
      <c r="F213" s="4"/>
      <c r="G213" s="24">
        <f>SUM(G205:G212)</f>
        <v>16.969024390243902</v>
      </c>
      <c r="H213" s="6">
        <v>1</v>
      </c>
      <c r="I213" s="4" t="s">
        <v>14</v>
      </c>
    </row>
    <row r="214" spans="1:9">
      <c r="A214" s="40">
        <v>3</v>
      </c>
      <c r="B214" s="40" t="s">
        <v>242</v>
      </c>
      <c r="C214" s="4">
        <v>3</v>
      </c>
      <c r="D214" s="15">
        <v>1.1100000000000001</v>
      </c>
      <c r="E214" s="4">
        <v>1</v>
      </c>
      <c r="F214" s="4">
        <v>1</v>
      </c>
      <c r="G214" s="4">
        <f>+F214*E214*D214*C214</f>
        <v>3.33</v>
      </c>
      <c r="H214" s="6">
        <v>1</v>
      </c>
      <c r="I214" s="4" t="s">
        <v>14</v>
      </c>
    </row>
    <row r="215" spans="1:9">
      <c r="A215" s="40"/>
      <c r="B215" s="40" t="s">
        <v>242</v>
      </c>
      <c r="C215" s="4">
        <v>3</v>
      </c>
      <c r="D215" s="4">
        <f>3.66/3.28</f>
        <v>1.1158536585365855</v>
      </c>
      <c r="E215" s="4">
        <v>1</v>
      </c>
      <c r="F215" s="4">
        <v>1</v>
      </c>
      <c r="G215" s="4">
        <f>+F215*E215*D215*C215</f>
        <v>3.3475609756097562</v>
      </c>
      <c r="H215" s="6">
        <v>1</v>
      </c>
      <c r="I215" s="4" t="s">
        <v>14</v>
      </c>
    </row>
    <row r="216" spans="1:9">
      <c r="A216" s="40"/>
      <c r="B216" s="40"/>
      <c r="C216" s="4"/>
      <c r="D216" s="4"/>
      <c r="E216" s="4"/>
      <c r="F216" s="4"/>
      <c r="G216" s="24">
        <f>SUM(G214:G215)</f>
        <v>6.6775609756097563</v>
      </c>
      <c r="H216" s="6">
        <v>1</v>
      </c>
      <c r="I216" s="4" t="s">
        <v>14</v>
      </c>
    </row>
    <row r="217" spans="1:9">
      <c r="A217" s="40" t="s">
        <v>203</v>
      </c>
      <c r="B217" s="41" t="s">
        <v>196</v>
      </c>
      <c r="C217" s="4"/>
      <c r="D217" s="4"/>
      <c r="E217" s="4"/>
      <c r="F217" s="4"/>
      <c r="G217" s="4" t="s">
        <v>36</v>
      </c>
      <c r="H217" s="6" t="s">
        <v>36</v>
      </c>
      <c r="I217" s="4"/>
    </row>
    <row r="218" spans="1:9">
      <c r="A218" s="40">
        <v>1</v>
      </c>
      <c r="B218" s="42" t="s">
        <v>254</v>
      </c>
      <c r="C218" s="4">
        <v>1</v>
      </c>
      <c r="D218" s="15">
        <v>2.74</v>
      </c>
      <c r="E218" s="4">
        <v>1</v>
      </c>
      <c r="F218" s="4">
        <v>1</v>
      </c>
      <c r="G218" s="24">
        <f>+F218*E218*D218*C218</f>
        <v>2.74</v>
      </c>
      <c r="H218" s="6">
        <v>1</v>
      </c>
      <c r="I218" s="4" t="s">
        <v>14</v>
      </c>
    </row>
    <row r="219" spans="1:9">
      <c r="A219" s="40"/>
      <c r="B219" s="40" t="s">
        <v>193</v>
      </c>
      <c r="C219" s="4">
        <v>1</v>
      </c>
      <c r="D219" s="15">
        <v>2.74</v>
      </c>
      <c r="E219" s="4">
        <v>1</v>
      </c>
      <c r="F219" s="4">
        <v>1</v>
      </c>
      <c r="G219" s="4">
        <f>+F219*E219*D219*C219</f>
        <v>2.74</v>
      </c>
      <c r="H219" s="6">
        <v>1</v>
      </c>
      <c r="I219" s="4" t="s">
        <v>36</v>
      </c>
    </row>
    <row r="220" spans="1:9">
      <c r="A220" s="40"/>
      <c r="B220" s="40" t="s">
        <v>255</v>
      </c>
      <c r="C220" s="4">
        <v>1</v>
      </c>
      <c r="D220" s="15">
        <v>0.45</v>
      </c>
      <c r="E220" s="4">
        <v>1</v>
      </c>
      <c r="F220" s="4">
        <v>1</v>
      </c>
      <c r="G220" s="4">
        <f>+F220*E220*D220*C220</f>
        <v>0.45</v>
      </c>
      <c r="H220" s="6">
        <v>1</v>
      </c>
      <c r="I220" s="4" t="s">
        <v>36</v>
      </c>
    </row>
    <row r="221" spans="1:9">
      <c r="A221" s="40"/>
      <c r="B221" s="40"/>
      <c r="C221" s="4"/>
      <c r="D221" s="4"/>
      <c r="E221" s="4"/>
      <c r="F221" s="4"/>
      <c r="G221" s="24">
        <f>SUM(G219:G220)</f>
        <v>3.1900000000000004</v>
      </c>
      <c r="H221" s="10">
        <v>1</v>
      </c>
      <c r="I221" s="5" t="s">
        <v>14</v>
      </c>
    </row>
    <row r="222" spans="1:9">
      <c r="A222" s="40"/>
      <c r="B222" s="40" t="s">
        <v>68</v>
      </c>
      <c r="C222" s="4">
        <v>1</v>
      </c>
      <c r="D222" s="15">
        <v>0.45</v>
      </c>
      <c r="E222" s="4">
        <v>1</v>
      </c>
      <c r="F222" s="4">
        <v>1</v>
      </c>
      <c r="G222" s="24">
        <f>+F222*E222*D222*C222</f>
        <v>0.45</v>
      </c>
      <c r="H222" s="10">
        <v>1</v>
      </c>
      <c r="I222" s="5" t="s">
        <v>14</v>
      </c>
    </row>
    <row r="223" spans="1:9">
      <c r="A223" s="4"/>
      <c r="B223" s="4"/>
      <c r="C223" s="4"/>
      <c r="D223" s="4"/>
      <c r="E223" s="4"/>
      <c r="F223" s="4"/>
      <c r="G223" s="4"/>
      <c r="H223" s="4"/>
      <c r="I223" s="4" t="s">
        <v>36</v>
      </c>
    </row>
    <row r="224" spans="1:9">
      <c r="A224" s="4" t="s">
        <v>205</v>
      </c>
      <c r="B224" s="41" t="s">
        <v>256</v>
      </c>
      <c r="C224" s="4"/>
      <c r="D224" s="4"/>
      <c r="E224" s="4"/>
      <c r="F224" s="4"/>
      <c r="G224" s="4"/>
      <c r="H224" s="4"/>
      <c r="I224" s="4"/>
    </row>
    <row r="225" spans="1:9">
      <c r="A225" s="4">
        <v>1</v>
      </c>
      <c r="B225" s="40" t="s">
        <v>257</v>
      </c>
      <c r="C225" s="4">
        <v>2</v>
      </c>
      <c r="D225" s="15">
        <v>1.48</v>
      </c>
      <c r="E225" s="4">
        <v>1</v>
      </c>
      <c r="F225" s="4">
        <v>1</v>
      </c>
      <c r="G225" s="4">
        <f>F225*E225*D225*C225</f>
        <v>2.96</v>
      </c>
      <c r="H225" s="6">
        <v>1</v>
      </c>
      <c r="I225" s="4" t="s">
        <v>14</v>
      </c>
    </row>
    <row r="226" spans="1:9">
      <c r="A226" s="4"/>
      <c r="B226" s="40" t="s">
        <v>257</v>
      </c>
      <c r="C226" s="4">
        <v>2</v>
      </c>
      <c r="D226" s="4">
        <v>0.40500000000000003</v>
      </c>
      <c r="E226" s="4">
        <v>1</v>
      </c>
      <c r="F226" s="4">
        <v>1</v>
      </c>
      <c r="G226" s="4">
        <f>F226*E226*D226*C226</f>
        <v>0.81</v>
      </c>
      <c r="H226" s="6">
        <v>1</v>
      </c>
      <c r="I226" s="4" t="s">
        <v>14</v>
      </c>
    </row>
    <row r="227" spans="1:9">
      <c r="A227" s="4"/>
      <c r="B227" s="40"/>
      <c r="C227" s="4"/>
      <c r="D227" s="4"/>
      <c r="E227" s="4"/>
      <c r="F227" s="4"/>
      <c r="G227" s="24">
        <f>SUM(G225:G226)</f>
        <v>3.77</v>
      </c>
      <c r="H227" s="6">
        <v>1</v>
      </c>
      <c r="I227" s="4" t="s">
        <v>14</v>
      </c>
    </row>
    <row r="228" spans="1:9">
      <c r="A228" s="4">
        <v>2</v>
      </c>
      <c r="B228" s="40" t="s">
        <v>258</v>
      </c>
      <c r="C228" s="4">
        <v>4</v>
      </c>
      <c r="D228" s="15">
        <v>1.48</v>
      </c>
      <c r="E228" s="4">
        <v>1</v>
      </c>
      <c r="F228" s="4">
        <v>1</v>
      </c>
      <c r="G228" s="4">
        <f>F228*E228*D228*C228</f>
        <v>5.92</v>
      </c>
      <c r="H228" s="6">
        <v>1</v>
      </c>
      <c r="I228" s="4" t="s">
        <v>14</v>
      </c>
    </row>
    <row r="229" spans="1:9">
      <c r="A229" s="4"/>
      <c r="B229" s="40" t="s">
        <v>258</v>
      </c>
      <c r="C229" s="4">
        <v>4</v>
      </c>
      <c r="D229" s="4">
        <v>0.40500000000000003</v>
      </c>
      <c r="E229" s="4">
        <v>1</v>
      </c>
      <c r="F229" s="4">
        <v>1</v>
      </c>
      <c r="G229" s="4">
        <f>F229*E229*D229*C229</f>
        <v>1.62</v>
      </c>
      <c r="H229" s="6">
        <v>1</v>
      </c>
      <c r="I229" s="4" t="s">
        <v>14</v>
      </c>
    </row>
    <row r="230" spans="1:9">
      <c r="A230" s="4"/>
      <c r="B230" s="40"/>
      <c r="C230" s="4"/>
      <c r="D230" s="4"/>
      <c r="E230" s="4"/>
      <c r="F230" s="4"/>
      <c r="G230" s="24">
        <f>SUM(G228:G229)</f>
        <v>7.54</v>
      </c>
      <c r="H230" s="6">
        <v>1</v>
      </c>
      <c r="I230" s="4" t="s">
        <v>14</v>
      </c>
    </row>
    <row r="231" spans="1:9">
      <c r="A231" s="4">
        <v>3</v>
      </c>
      <c r="B231" s="40" t="s">
        <v>259</v>
      </c>
      <c r="C231" s="4">
        <v>4</v>
      </c>
      <c r="D231" s="15">
        <v>1.48</v>
      </c>
      <c r="E231" s="4">
        <v>1</v>
      </c>
      <c r="F231" s="4">
        <v>1</v>
      </c>
      <c r="G231" s="4">
        <f>F231*E231*D231*C231</f>
        <v>5.92</v>
      </c>
      <c r="H231" s="6">
        <v>1</v>
      </c>
      <c r="I231" s="4" t="s">
        <v>14</v>
      </c>
    </row>
    <row r="232" spans="1:9">
      <c r="A232" s="4"/>
      <c r="B232" s="40" t="s">
        <v>259</v>
      </c>
      <c r="C232" s="4">
        <v>4</v>
      </c>
      <c r="D232" s="4">
        <v>0.40500000000000003</v>
      </c>
      <c r="E232" s="4">
        <v>1</v>
      </c>
      <c r="F232" s="4">
        <v>1</v>
      </c>
      <c r="G232" s="4">
        <f>F232*E232*D232*C232</f>
        <v>1.62</v>
      </c>
      <c r="H232" s="6">
        <v>1</v>
      </c>
      <c r="I232" s="4" t="s">
        <v>14</v>
      </c>
    </row>
    <row r="233" spans="1:9">
      <c r="A233" s="4"/>
      <c r="B233" s="4"/>
      <c r="C233" s="4"/>
      <c r="D233" s="4"/>
      <c r="E233" s="4"/>
      <c r="F233" s="4"/>
      <c r="G233" s="24">
        <f>SUM(G231:G232)</f>
        <v>7.54</v>
      </c>
      <c r="H233" s="6">
        <v>1</v>
      </c>
      <c r="I233" s="4" t="s">
        <v>14</v>
      </c>
    </row>
    <row r="235" spans="1:9" ht="37.799999999999997" customHeight="1">
      <c r="A235" s="211" t="s">
        <v>9</v>
      </c>
      <c r="B235" s="211"/>
      <c r="C235" s="211"/>
      <c r="D235" s="211"/>
      <c r="E235" s="211"/>
      <c r="F235" s="1"/>
      <c r="G235" s="1"/>
    </row>
    <row r="236" spans="1:9" ht="28.8" customHeight="1">
      <c r="A236" s="209" t="s">
        <v>10</v>
      </c>
      <c r="B236" s="209"/>
      <c r="C236" s="209"/>
      <c r="D236" s="209"/>
      <c r="E236" s="209"/>
      <c r="F236" s="209"/>
      <c r="G236" s="209"/>
      <c r="H236" s="209"/>
      <c r="I236" s="209"/>
    </row>
    <row r="237" spans="1:9" ht="28.8" customHeight="1">
      <c r="A237" s="210" t="s">
        <v>260</v>
      </c>
      <c r="B237" s="210"/>
      <c r="C237" s="210"/>
      <c r="D237" s="210"/>
      <c r="E237" s="210"/>
      <c r="F237" s="36"/>
      <c r="G237" s="36"/>
      <c r="H237" s="36"/>
      <c r="I237" s="2"/>
    </row>
    <row r="238" spans="1:9">
      <c r="B238"/>
    </row>
    <row r="239" spans="1:9" s="9" customFormat="1">
      <c r="A239" s="5" t="s">
        <v>83</v>
      </c>
      <c r="B239" s="5" t="s">
        <v>174</v>
      </c>
      <c r="C239" s="5" t="s">
        <v>175</v>
      </c>
      <c r="D239" s="5" t="s">
        <v>85</v>
      </c>
      <c r="E239" s="5" t="s">
        <v>87</v>
      </c>
      <c r="F239" s="5" t="s">
        <v>88</v>
      </c>
      <c r="G239" s="5" t="s">
        <v>6</v>
      </c>
      <c r="H239" s="5" t="s">
        <v>7</v>
      </c>
      <c r="I239" s="5" t="s">
        <v>176</v>
      </c>
    </row>
    <row r="240" spans="1:9" s="9" customFormat="1">
      <c r="A240" s="5"/>
      <c r="B240" s="5" t="s">
        <v>261</v>
      </c>
      <c r="C240" s="5"/>
      <c r="D240" s="5"/>
      <c r="E240" s="5"/>
      <c r="F240" s="5"/>
      <c r="G240" s="5"/>
      <c r="H240" s="5"/>
      <c r="I240" s="5"/>
    </row>
    <row r="241" spans="1:9">
      <c r="A241" s="4"/>
      <c r="B241" s="4" t="s">
        <v>262</v>
      </c>
      <c r="C241" s="4">
        <v>6</v>
      </c>
      <c r="D241" s="15">
        <v>1.98</v>
      </c>
      <c r="E241" s="15">
        <v>0.25</v>
      </c>
      <c r="F241" s="4">
        <v>1</v>
      </c>
      <c r="G241" s="24">
        <f>F241*E241*D241*C241</f>
        <v>2.9699999999999998</v>
      </c>
      <c r="H241" s="6">
        <v>1</v>
      </c>
      <c r="I241" s="4" t="s">
        <v>91</v>
      </c>
    </row>
    <row r="242" spans="1:9">
      <c r="A242" s="4"/>
      <c r="B242" s="4"/>
      <c r="C242" s="4"/>
      <c r="D242" s="4"/>
      <c r="E242" s="4"/>
      <c r="F242" s="4"/>
      <c r="G242" s="4"/>
      <c r="H242" s="4"/>
      <c r="I242" s="4"/>
    </row>
  </sheetData>
  <mergeCells count="11">
    <mergeCell ref="A179:I179"/>
    <mergeCell ref="A180:E180"/>
    <mergeCell ref="A235:E235"/>
    <mergeCell ref="A236:I236"/>
    <mergeCell ref="A237:E237"/>
    <mergeCell ref="A178:E178"/>
    <mergeCell ref="A1:E1"/>
    <mergeCell ref="A2:I2"/>
    <mergeCell ref="A3:E3"/>
    <mergeCell ref="A4:I4"/>
    <mergeCell ref="C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830F-65AF-4228-B10F-CC666A19AEB3}">
  <dimension ref="A2:M145"/>
  <sheetViews>
    <sheetView topLeftCell="A47" workbookViewId="0">
      <selection activeCell="I117" sqref="I117"/>
    </sheetView>
  </sheetViews>
  <sheetFormatPr defaultRowHeight="14.4"/>
  <cols>
    <col min="2" max="2" width="33.109375" customWidth="1"/>
  </cols>
  <sheetData>
    <row r="2" spans="1:10" ht="21">
      <c r="A2" s="211" t="s">
        <v>9</v>
      </c>
      <c r="B2" s="211"/>
      <c r="C2" s="211"/>
      <c r="D2" s="211"/>
      <c r="E2" s="211"/>
      <c r="F2" s="211"/>
    </row>
    <row r="3" spans="1:10">
      <c r="A3" s="209" t="s">
        <v>10</v>
      </c>
      <c r="B3" s="209"/>
      <c r="C3" s="209"/>
      <c r="D3" s="209"/>
      <c r="E3" s="209"/>
      <c r="F3" s="209"/>
      <c r="G3" s="209"/>
      <c r="H3" s="209"/>
    </row>
    <row r="4" spans="1:10">
      <c r="A4" s="2"/>
      <c r="B4" s="213" t="s">
        <v>375</v>
      </c>
      <c r="C4" s="213"/>
      <c r="D4" s="213"/>
      <c r="E4" s="213"/>
      <c r="F4" s="2"/>
      <c r="G4" s="2"/>
      <c r="H4" s="2"/>
    </row>
    <row r="5" spans="1:10">
      <c r="A5" s="110"/>
    </row>
    <row r="6" spans="1:10" s="110" customFormat="1" ht="52.8">
      <c r="A6" s="114" t="s">
        <v>376</v>
      </c>
      <c r="B6" s="114" t="s">
        <v>377</v>
      </c>
      <c r="C6" s="114" t="s">
        <v>378</v>
      </c>
      <c r="D6" s="114" t="s">
        <v>85</v>
      </c>
      <c r="E6" s="114" t="s">
        <v>379</v>
      </c>
      <c r="F6" s="114" t="s">
        <v>88</v>
      </c>
      <c r="G6" s="114" t="s">
        <v>380</v>
      </c>
      <c r="H6" s="115" t="s">
        <v>7</v>
      </c>
      <c r="I6" s="115" t="s">
        <v>381</v>
      </c>
      <c r="J6" s="116" t="s">
        <v>8</v>
      </c>
    </row>
    <row r="7" spans="1:10" s="110" customFormat="1" ht="28.8">
      <c r="A7" s="117" t="s">
        <v>382</v>
      </c>
      <c r="B7" s="114" t="s">
        <v>383</v>
      </c>
      <c r="C7" s="114"/>
      <c r="D7" s="114"/>
      <c r="E7" s="114"/>
      <c r="F7" s="114"/>
      <c r="G7" s="114"/>
      <c r="H7" s="115"/>
      <c r="I7" s="115"/>
      <c r="J7" s="116"/>
    </row>
    <row r="8" spans="1:10" s="110" customFormat="1">
      <c r="A8" s="118"/>
      <c r="B8" s="111" t="s">
        <v>384</v>
      </c>
      <c r="C8" s="118"/>
      <c r="D8" s="118"/>
      <c r="E8" s="118"/>
      <c r="F8" s="118"/>
      <c r="G8" s="118"/>
      <c r="H8" s="118"/>
      <c r="I8" s="118"/>
      <c r="J8" s="118"/>
    </row>
    <row r="9" spans="1:10" s="110" customFormat="1">
      <c r="A9" s="118"/>
      <c r="B9" s="111" t="s">
        <v>385</v>
      </c>
      <c r="C9" s="118"/>
      <c r="D9" s="118"/>
      <c r="E9" s="118"/>
      <c r="F9" s="118"/>
      <c r="G9" s="118"/>
      <c r="H9" s="118"/>
      <c r="I9" s="118"/>
      <c r="J9" s="118"/>
    </row>
    <row r="10" spans="1:10" s="110" customFormat="1">
      <c r="A10" s="118"/>
      <c r="B10" s="118" t="s">
        <v>386</v>
      </c>
      <c r="C10" s="118"/>
      <c r="D10" s="118"/>
      <c r="E10" s="118"/>
      <c r="F10" s="118"/>
      <c r="G10" s="118"/>
      <c r="H10" s="118"/>
      <c r="I10" s="118"/>
      <c r="J10" s="118"/>
    </row>
    <row r="11" spans="1:10" s="110" customFormat="1">
      <c r="A11" s="118">
        <v>1</v>
      </c>
      <c r="B11" s="112" t="s">
        <v>387</v>
      </c>
      <c r="C11" s="119">
        <v>2</v>
      </c>
      <c r="D11" s="119">
        <v>1.6</v>
      </c>
      <c r="E11" s="119"/>
      <c r="F11" s="120"/>
      <c r="G11" s="121">
        <v>3.2</v>
      </c>
      <c r="H11" s="122">
        <v>1</v>
      </c>
      <c r="I11" s="121">
        <v>3.2</v>
      </c>
      <c r="J11" s="118"/>
    </row>
    <row r="12" spans="1:10" s="110" customFormat="1">
      <c r="A12" s="118">
        <v>2</v>
      </c>
      <c r="B12" s="112" t="s">
        <v>388</v>
      </c>
      <c r="C12" s="119">
        <v>2</v>
      </c>
      <c r="D12" s="119">
        <v>1.62</v>
      </c>
      <c r="E12" s="119"/>
      <c r="F12" s="120"/>
      <c r="G12" s="121">
        <v>3.24</v>
      </c>
      <c r="H12" s="122">
        <v>1</v>
      </c>
      <c r="I12" s="121">
        <v>3.24</v>
      </c>
      <c r="J12" s="118"/>
    </row>
    <row r="13" spans="1:10" s="110" customFormat="1">
      <c r="A13" s="118"/>
      <c r="B13" s="111" t="s">
        <v>389</v>
      </c>
      <c r="C13" s="123"/>
      <c r="D13" s="123"/>
      <c r="E13" s="123"/>
      <c r="F13" s="123"/>
      <c r="G13" s="123"/>
      <c r="H13" s="118"/>
      <c r="I13" s="118"/>
      <c r="J13" s="118"/>
    </row>
    <row r="14" spans="1:10" s="110" customFormat="1">
      <c r="A14" s="118">
        <v>3</v>
      </c>
      <c r="B14" s="112" t="s">
        <v>387</v>
      </c>
      <c r="C14" s="119">
        <v>2</v>
      </c>
      <c r="D14" s="123">
        <v>1.83</v>
      </c>
      <c r="E14" s="123"/>
      <c r="F14" s="120"/>
      <c r="G14" s="121">
        <v>3.66</v>
      </c>
      <c r="H14" s="122">
        <v>1</v>
      </c>
      <c r="I14" s="121">
        <v>3.66</v>
      </c>
      <c r="J14" s="118"/>
    </row>
    <row r="15" spans="1:10" s="110" customFormat="1">
      <c r="A15" s="118"/>
      <c r="B15" s="111" t="s">
        <v>390</v>
      </c>
      <c r="C15" s="123"/>
      <c r="D15" s="123"/>
      <c r="E15" s="123"/>
      <c r="F15" s="123"/>
      <c r="G15" s="123"/>
      <c r="H15" s="118"/>
      <c r="I15" s="118"/>
      <c r="J15" s="118"/>
    </row>
    <row r="16" spans="1:10" s="110" customFormat="1">
      <c r="A16" s="118">
        <v>5</v>
      </c>
      <c r="B16" s="112" t="s">
        <v>387</v>
      </c>
      <c r="C16" s="119">
        <v>2</v>
      </c>
      <c r="D16" s="123">
        <v>2.2200000000000002</v>
      </c>
      <c r="E16" s="123"/>
      <c r="F16" s="120"/>
      <c r="G16" s="121">
        <v>4.4400000000000004</v>
      </c>
      <c r="H16" s="122">
        <v>1</v>
      </c>
      <c r="I16" s="121">
        <v>4.4400000000000004</v>
      </c>
      <c r="J16" s="118"/>
    </row>
    <row r="17" spans="1:13" s="110" customFormat="1">
      <c r="A17" s="118">
        <v>6</v>
      </c>
      <c r="B17" s="112" t="s">
        <v>388</v>
      </c>
      <c r="C17" s="119">
        <v>2</v>
      </c>
      <c r="D17" s="119">
        <v>1.6</v>
      </c>
      <c r="E17" s="119"/>
      <c r="F17" s="120"/>
      <c r="G17" s="121">
        <v>3.2</v>
      </c>
      <c r="H17" s="122">
        <v>1</v>
      </c>
      <c r="I17" s="121">
        <v>3.2</v>
      </c>
      <c r="J17" s="118"/>
    </row>
    <row r="18" spans="1:13" s="110" customFormat="1">
      <c r="A18" s="118"/>
      <c r="B18" s="111" t="s">
        <v>391</v>
      </c>
      <c r="C18" s="123"/>
      <c r="D18" s="123"/>
      <c r="E18" s="123"/>
      <c r="F18" s="123"/>
      <c r="G18" s="121" t="s">
        <v>392</v>
      </c>
      <c r="H18" s="118"/>
      <c r="I18" s="118"/>
      <c r="J18" s="118"/>
    </row>
    <row r="19" spans="1:13" s="110" customFormat="1">
      <c r="A19" s="118">
        <v>7</v>
      </c>
      <c r="B19" s="112" t="s">
        <v>387</v>
      </c>
      <c r="C19" s="119">
        <v>2</v>
      </c>
      <c r="D19" s="123">
        <v>3.75</v>
      </c>
      <c r="E19" s="123"/>
      <c r="F19" s="120"/>
      <c r="G19" s="121">
        <v>7.5</v>
      </c>
      <c r="H19" s="122">
        <v>1</v>
      </c>
      <c r="I19" s="121">
        <v>7.5</v>
      </c>
      <c r="J19" s="118"/>
    </row>
    <row r="20" spans="1:13" s="110" customFormat="1">
      <c r="A20" s="118">
        <v>8</v>
      </c>
      <c r="B20" s="112" t="s">
        <v>388</v>
      </c>
      <c r="C20" s="119">
        <v>2</v>
      </c>
      <c r="D20" s="119">
        <v>1.6</v>
      </c>
      <c r="E20" s="119"/>
      <c r="F20" s="120"/>
      <c r="G20" s="121">
        <v>3.2</v>
      </c>
      <c r="H20" s="122">
        <v>1</v>
      </c>
      <c r="I20" s="121">
        <v>3.2</v>
      </c>
      <c r="J20" s="118"/>
      <c r="L20" s="124"/>
    </row>
    <row r="21" spans="1:13" s="110" customFormat="1">
      <c r="A21" s="118"/>
      <c r="B21" s="118"/>
      <c r="C21" s="123"/>
      <c r="D21" s="123"/>
      <c r="E21" s="123"/>
      <c r="F21" s="123"/>
      <c r="G21" s="123"/>
      <c r="H21" s="118"/>
      <c r="I21" s="118"/>
      <c r="J21" s="118"/>
      <c r="K21" s="125"/>
      <c r="L21" s="126"/>
    </row>
    <row r="22" spans="1:13" s="110" customFormat="1">
      <c r="A22" s="118"/>
      <c r="B22" s="111"/>
      <c r="C22" s="123"/>
      <c r="D22" s="123"/>
      <c r="E22" s="123"/>
      <c r="F22" s="127"/>
      <c r="G22" s="139">
        <f>SUM(G11:G20)</f>
        <v>28.44</v>
      </c>
      <c r="H22" s="122">
        <v>1</v>
      </c>
      <c r="I22" s="140">
        <f>G22</f>
        <v>28.44</v>
      </c>
      <c r="J22" s="111" t="s">
        <v>393</v>
      </c>
      <c r="K22" s="128"/>
      <c r="L22" s="126"/>
      <c r="M22" s="129"/>
    </row>
    <row r="23" spans="1:13" s="110" customFormat="1" ht="28.8">
      <c r="A23" s="117" t="s">
        <v>382</v>
      </c>
      <c r="B23" s="111" t="s">
        <v>394</v>
      </c>
      <c r="C23" s="123"/>
      <c r="D23" s="123"/>
      <c r="E23" s="123"/>
      <c r="F23" s="127"/>
      <c r="G23" s="127"/>
      <c r="H23" s="122"/>
      <c r="I23" s="127"/>
      <c r="J23" s="111"/>
      <c r="K23" s="128"/>
      <c r="L23" s="126"/>
      <c r="M23" s="129"/>
    </row>
    <row r="24" spans="1:13" s="110" customFormat="1">
      <c r="A24" s="118"/>
      <c r="B24" s="111" t="s">
        <v>385</v>
      </c>
      <c r="C24" s="118"/>
      <c r="D24" s="118"/>
      <c r="E24" s="118"/>
      <c r="F24" s="118"/>
      <c r="G24" s="118"/>
      <c r="H24" s="118"/>
      <c r="I24" s="118"/>
      <c r="J24" s="118"/>
    </row>
    <row r="25" spans="1:13" s="110" customFormat="1">
      <c r="A25" s="118"/>
      <c r="B25" s="118" t="s">
        <v>386</v>
      </c>
      <c r="C25" s="118"/>
      <c r="D25" s="118"/>
      <c r="E25" s="118"/>
      <c r="F25" s="118"/>
      <c r="G25" s="118"/>
      <c r="H25" s="118"/>
      <c r="I25" s="118"/>
      <c r="J25" s="118"/>
    </row>
    <row r="26" spans="1:13" s="110" customFormat="1">
      <c r="A26" s="118">
        <v>1</v>
      </c>
      <c r="B26" s="112" t="s">
        <v>387</v>
      </c>
      <c r="C26" s="119">
        <v>2</v>
      </c>
      <c r="D26" s="119">
        <v>1.6</v>
      </c>
      <c r="E26" s="119"/>
      <c r="F26" s="120"/>
      <c r="G26" s="121">
        <v>3.2</v>
      </c>
      <c r="H26" s="122">
        <v>1</v>
      </c>
      <c r="I26" s="121">
        <v>3.2</v>
      </c>
      <c r="J26" s="118"/>
    </row>
    <row r="27" spans="1:13" s="110" customFormat="1">
      <c r="A27" s="118">
        <v>2</v>
      </c>
      <c r="B27" s="112" t="s">
        <v>388</v>
      </c>
      <c r="C27" s="119">
        <v>2</v>
      </c>
      <c r="D27" s="119">
        <v>1.62</v>
      </c>
      <c r="E27" s="119"/>
      <c r="F27" s="120"/>
      <c r="G27" s="121">
        <v>3.24</v>
      </c>
      <c r="H27" s="122">
        <v>1</v>
      </c>
      <c r="I27" s="121">
        <v>3.24</v>
      </c>
      <c r="J27" s="118"/>
    </row>
    <row r="28" spans="1:13" s="110" customFormat="1">
      <c r="A28" s="118"/>
      <c r="B28" s="111" t="s">
        <v>389</v>
      </c>
      <c r="C28" s="123"/>
      <c r="D28" s="123"/>
      <c r="E28" s="123"/>
      <c r="F28" s="123"/>
      <c r="G28" s="123"/>
      <c r="H28" s="118"/>
      <c r="I28" s="118"/>
      <c r="J28" s="118"/>
    </row>
    <row r="29" spans="1:13" s="110" customFormat="1">
      <c r="A29" s="118">
        <v>3</v>
      </c>
      <c r="B29" s="112" t="s">
        <v>387</v>
      </c>
      <c r="C29" s="119">
        <v>2</v>
      </c>
      <c r="D29" s="123">
        <v>1.83</v>
      </c>
      <c r="E29" s="123"/>
      <c r="F29" s="120"/>
      <c r="G29" s="121">
        <v>3.66</v>
      </c>
      <c r="H29" s="122">
        <v>1</v>
      </c>
      <c r="I29" s="121">
        <v>3.66</v>
      </c>
      <c r="J29" s="118"/>
    </row>
    <row r="30" spans="1:13" s="110" customFormat="1">
      <c r="A30" s="118"/>
      <c r="B30" s="111" t="s">
        <v>390</v>
      </c>
      <c r="C30" s="123"/>
      <c r="D30" s="123"/>
      <c r="E30" s="123"/>
      <c r="F30" s="123"/>
      <c r="G30" s="123"/>
      <c r="H30" s="118"/>
      <c r="I30" s="118"/>
      <c r="J30" s="118"/>
    </row>
    <row r="31" spans="1:13" s="110" customFormat="1">
      <c r="A31" s="118">
        <v>5</v>
      </c>
      <c r="B31" s="112" t="s">
        <v>387</v>
      </c>
      <c r="C31" s="119">
        <v>2</v>
      </c>
      <c r="D31" s="123">
        <v>2.2200000000000002</v>
      </c>
      <c r="E31" s="123"/>
      <c r="F31" s="120"/>
      <c r="G31" s="121">
        <v>4.4400000000000004</v>
      </c>
      <c r="H31" s="122">
        <v>1</v>
      </c>
      <c r="I31" s="121">
        <v>4.4400000000000004</v>
      </c>
      <c r="J31" s="118"/>
    </row>
    <row r="32" spans="1:13" s="110" customFormat="1">
      <c r="A32" s="118">
        <v>6</v>
      </c>
      <c r="B32" s="112" t="s">
        <v>388</v>
      </c>
      <c r="C32" s="119">
        <v>2</v>
      </c>
      <c r="D32" s="119">
        <v>1.6</v>
      </c>
      <c r="E32" s="119"/>
      <c r="F32" s="120"/>
      <c r="G32" s="121">
        <v>3.2</v>
      </c>
      <c r="H32" s="122">
        <v>1</v>
      </c>
      <c r="I32" s="121">
        <v>3.2</v>
      </c>
      <c r="J32" s="118"/>
    </row>
    <row r="33" spans="1:13" s="110" customFormat="1">
      <c r="A33" s="118"/>
      <c r="B33" s="118"/>
      <c r="C33" s="123"/>
      <c r="D33" s="123"/>
      <c r="E33" s="123"/>
      <c r="F33" s="123"/>
      <c r="G33" s="123"/>
      <c r="H33" s="118"/>
      <c r="I33" s="118"/>
      <c r="J33" s="118"/>
      <c r="K33" s="125"/>
      <c r="L33" s="126"/>
    </row>
    <row r="34" spans="1:13" s="110" customFormat="1">
      <c r="A34" s="118"/>
      <c r="B34" s="111"/>
      <c r="C34" s="123"/>
      <c r="D34" s="123"/>
      <c r="E34" s="123"/>
      <c r="F34" s="127"/>
      <c r="G34" s="139">
        <f>SUM(G26:G32)</f>
        <v>17.740000000000002</v>
      </c>
      <c r="H34" s="122">
        <v>1</v>
      </c>
      <c r="I34" s="140">
        <f>G34</f>
        <v>17.740000000000002</v>
      </c>
      <c r="J34" s="111" t="s">
        <v>393</v>
      </c>
      <c r="K34" s="128"/>
      <c r="L34" s="126"/>
      <c r="M34" s="129"/>
    </row>
    <row r="35" spans="1:13" s="110" customFormat="1" ht="28.8">
      <c r="A35" s="117" t="s">
        <v>382</v>
      </c>
      <c r="B35" s="111" t="s">
        <v>395</v>
      </c>
      <c r="C35" s="123"/>
      <c r="D35" s="123"/>
      <c r="E35" s="123"/>
      <c r="F35" s="127"/>
      <c r="G35" s="127"/>
      <c r="H35" s="122"/>
      <c r="I35" s="127"/>
      <c r="J35" s="111"/>
      <c r="K35" s="128"/>
      <c r="L35" s="126"/>
      <c r="M35" s="129"/>
    </row>
    <row r="36" spans="1:13" s="110" customFormat="1">
      <c r="A36" s="118"/>
      <c r="B36" s="111" t="s">
        <v>385</v>
      </c>
      <c r="C36" s="118"/>
      <c r="D36" s="118"/>
      <c r="E36" s="118"/>
      <c r="F36" s="118"/>
      <c r="G36" s="118"/>
      <c r="H36" s="118"/>
      <c r="I36" s="118"/>
      <c r="J36" s="118"/>
    </row>
    <row r="37" spans="1:13" s="110" customFormat="1">
      <c r="A37" s="118"/>
      <c r="B37" s="118" t="s">
        <v>386</v>
      </c>
      <c r="C37" s="118"/>
      <c r="D37" s="118"/>
      <c r="E37" s="118"/>
      <c r="F37" s="118"/>
      <c r="G37" s="118"/>
      <c r="H37" s="118"/>
      <c r="I37" s="118"/>
      <c r="J37" s="118"/>
    </row>
    <row r="38" spans="1:13" s="110" customFormat="1">
      <c r="A38" s="118">
        <v>1</v>
      </c>
      <c r="B38" s="112" t="s">
        <v>387</v>
      </c>
      <c r="C38" s="119">
        <v>1</v>
      </c>
      <c r="D38" s="119">
        <v>1.6</v>
      </c>
      <c r="E38" s="119"/>
      <c r="F38" s="120"/>
      <c r="G38" s="121">
        <v>1.6</v>
      </c>
      <c r="H38" s="122">
        <v>1</v>
      </c>
      <c r="I38" s="121">
        <v>1.6</v>
      </c>
      <c r="J38" s="118"/>
    </row>
    <row r="39" spans="1:13" s="110" customFormat="1">
      <c r="A39" s="118"/>
      <c r="B39" s="111" t="s">
        <v>389</v>
      </c>
      <c r="C39" s="123"/>
      <c r="D39" s="123"/>
      <c r="E39" s="123"/>
      <c r="F39" s="123"/>
      <c r="G39" s="123"/>
      <c r="H39" s="118"/>
      <c r="I39" s="118"/>
      <c r="J39" s="118"/>
    </row>
    <row r="40" spans="1:13" s="110" customFormat="1">
      <c r="A40" s="118">
        <v>2</v>
      </c>
      <c r="B40" s="112" t="s">
        <v>387</v>
      </c>
      <c r="C40" s="119">
        <v>1</v>
      </c>
      <c r="D40" s="123">
        <v>1.83</v>
      </c>
      <c r="E40" s="123"/>
      <c r="F40" s="120"/>
      <c r="G40" s="121">
        <v>1.83</v>
      </c>
      <c r="H40" s="122">
        <v>1</v>
      </c>
      <c r="I40" s="121">
        <v>1.83</v>
      </c>
      <c r="J40" s="118"/>
    </row>
    <row r="41" spans="1:13" s="110" customFormat="1">
      <c r="A41" s="118"/>
      <c r="B41" s="111" t="s">
        <v>390</v>
      </c>
      <c r="C41" s="123"/>
      <c r="D41" s="123"/>
      <c r="E41" s="123"/>
      <c r="F41" s="123"/>
      <c r="G41" s="123"/>
      <c r="H41" s="118"/>
      <c r="I41" s="118"/>
      <c r="J41" s="118"/>
    </row>
    <row r="42" spans="1:13" s="110" customFormat="1">
      <c r="A42" s="118">
        <v>3</v>
      </c>
      <c r="B42" s="112" t="s">
        <v>387</v>
      </c>
      <c r="C42" s="119">
        <v>1</v>
      </c>
      <c r="D42" s="123">
        <v>2.2200000000000002</v>
      </c>
      <c r="E42" s="123"/>
      <c r="F42" s="120"/>
      <c r="G42" s="121">
        <v>2.2200000000000002</v>
      </c>
      <c r="H42" s="122">
        <v>1</v>
      </c>
      <c r="I42" s="121">
        <v>2.2200000000000002</v>
      </c>
      <c r="J42" s="118"/>
    </row>
    <row r="43" spans="1:13" s="110" customFormat="1">
      <c r="A43" s="118"/>
      <c r="B43" s="118"/>
      <c r="C43" s="123"/>
      <c r="D43" s="123"/>
      <c r="E43" s="123"/>
      <c r="F43" s="123"/>
      <c r="G43" s="123"/>
      <c r="H43" s="118"/>
      <c r="I43" s="118"/>
      <c r="J43" s="118"/>
      <c r="K43" s="125"/>
      <c r="L43" s="126"/>
    </row>
    <row r="44" spans="1:13" s="110" customFormat="1">
      <c r="A44" s="118"/>
      <c r="B44" s="111"/>
      <c r="C44" s="123"/>
      <c r="D44" s="123"/>
      <c r="E44" s="123"/>
      <c r="F44" s="127"/>
      <c r="G44" s="139">
        <f>SUM(G38:G42)</f>
        <v>5.65</v>
      </c>
      <c r="H44" s="122">
        <v>1</v>
      </c>
      <c r="I44" s="140">
        <f>G44</f>
        <v>5.65</v>
      </c>
      <c r="J44" s="111" t="s">
        <v>393</v>
      </c>
      <c r="K44" s="128"/>
      <c r="L44" s="126"/>
      <c r="M44" s="129"/>
    </row>
    <row r="45" spans="1:13" s="110" customFormat="1" ht="28.8">
      <c r="A45" s="117" t="s">
        <v>382</v>
      </c>
      <c r="B45" s="111" t="s">
        <v>396</v>
      </c>
      <c r="C45" s="123"/>
      <c r="D45" s="123"/>
      <c r="E45" s="123"/>
      <c r="F45" s="127"/>
      <c r="G45" s="127"/>
      <c r="H45" s="122"/>
      <c r="I45" s="127"/>
      <c r="J45" s="111"/>
      <c r="K45" s="128"/>
      <c r="L45" s="126"/>
      <c r="M45" s="129"/>
    </row>
    <row r="46" spans="1:13" s="110" customFormat="1">
      <c r="A46" s="118"/>
      <c r="B46" s="111" t="s">
        <v>385</v>
      </c>
      <c r="C46" s="118"/>
      <c r="D46" s="118"/>
      <c r="E46" s="118"/>
      <c r="F46" s="118"/>
      <c r="G46" s="118"/>
      <c r="H46" s="118"/>
      <c r="I46" s="118"/>
      <c r="J46" s="118"/>
    </row>
    <row r="47" spans="1:13" s="110" customFormat="1">
      <c r="A47" s="118"/>
      <c r="B47" s="118" t="s">
        <v>386</v>
      </c>
      <c r="C47" s="118"/>
      <c r="D47" s="118"/>
      <c r="E47" s="118"/>
      <c r="F47" s="118"/>
      <c r="G47" s="118"/>
      <c r="H47" s="118"/>
      <c r="I47" s="118"/>
      <c r="J47" s="118"/>
    </row>
    <row r="48" spans="1:13" s="110" customFormat="1">
      <c r="A48" s="118">
        <v>1</v>
      </c>
      <c r="B48" s="112" t="s">
        <v>387</v>
      </c>
      <c r="C48" s="119">
        <v>1</v>
      </c>
      <c r="D48" s="119">
        <v>1.6</v>
      </c>
      <c r="E48" s="119"/>
      <c r="F48" s="120"/>
      <c r="G48" s="121">
        <v>1.6</v>
      </c>
      <c r="H48" s="122">
        <v>1</v>
      </c>
      <c r="I48" s="121">
        <v>1.6</v>
      </c>
      <c r="J48" s="118"/>
    </row>
    <row r="49" spans="1:13" s="110" customFormat="1">
      <c r="A49" s="118"/>
      <c r="B49" s="111" t="s">
        <v>389</v>
      </c>
      <c r="C49" s="123"/>
      <c r="D49" s="123"/>
      <c r="E49" s="123"/>
      <c r="F49" s="123"/>
      <c r="G49" s="123"/>
      <c r="H49" s="118"/>
      <c r="I49" s="118"/>
      <c r="J49" s="118"/>
    </row>
    <row r="50" spans="1:13" s="110" customFormat="1">
      <c r="A50" s="118">
        <v>2</v>
      </c>
      <c r="B50" s="112" t="s">
        <v>387</v>
      </c>
      <c r="C50" s="119">
        <v>1</v>
      </c>
      <c r="D50" s="123">
        <v>1.83</v>
      </c>
      <c r="E50" s="123"/>
      <c r="F50" s="120"/>
      <c r="G50" s="121">
        <v>1.83</v>
      </c>
      <c r="H50" s="122">
        <v>1</v>
      </c>
      <c r="I50" s="121">
        <v>1.83</v>
      </c>
      <c r="J50" s="118"/>
    </row>
    <row r="51" spans="1:13" s="110" customFormat="1">
      <c r="A51" s="118"/>
      <c r="B51" s="111" t="s">
        <v>390</v>
      </c>
      <c r="C51" s="123"/>
      <c r="D51" s="123"/>
      <c r="E51" s="123"/>
      <c r="F51" s="123"/>
      <c r="G51" s="123"/>
      <c r="H51" s="118"/>
      <c r="I51" s="118"/>
      <c r="J51" s="118"/>
    </row>
    <row r="52" spans="1:13" s="110" customFormat="1">
      <c r="A52" s="118">
        <v>3</v>
      </c>
      <c r="B52" s="112" t="s">
        <v>387</v>
      </c>
      <c r="C52" s="119">
        <v>1</v>
      </c>
      <c r="D52" s="123">
        <v>2.2200000000000002</v>
      </c>
      <c r="E52" s="123"/>
      <c r="F52" s="120"/>
      <c r="G52" s="121">
        <v>2.2200000000000002</v>
      </c>
      <c r="H52" s="122">
        <v>1</v>
      </c>
      <c r="I52" s="121">
        <v>2.2200000000000002</v>
      </c>
      <c r="J52" s="118"/>
    </row>
    <row r="53" spans="1:13" s="110" customFormat="1">
      <c r="A53" s="118"/>
      <c r="B53" s="111" t="s">
        <v>391</v>
      </c>
      <c r="C53" s="123"/>
      <c r="D53" s="123"/>
      <c r="E53" s="123"/>
      <c r="F53" s="123"/>
      <c r="G53" s="121" t="s">
        <v>392</v>
      </c>
      <c r="H53" s="118"/>
      <c r="I53" s="118"/>
      <c r="J53" s="118"/>
    </row>
    <row r="54" spans="1:13" s="110" customFormat="1">
      <c r="A54" s="118">
        <v>4</v>
      </c>
      <c r="B54" s="112" t="s">
        <v>387</v>
      </c>
      <c r="C54" s="119">
        <v>1</v>
      </c>
      <c r="D54" s="123">
        <v>3.75</v>
      </c>
      <c r="E54" s="123"/>
      <c r="F54" s="120"/>
      <c r="G54" s="121">
        <v>3.75</v>
      </c>
      <c r="H54" s="122">
        <v>1</v>
      </c>
      <c r="I54" s="121">
        <v>3.75</v>
      </c>
      <c r="J54" s="118"/>
    </row>
    <row r="55" spans="1:13" s="110" customFormat="1">
      <c r="A55" s="118"/>
      <c r="B55" s="118"/>
      <c r="C55" s="123"/>
      <c r="D55" s="123"/>
      <c r="E55" s="123"/>
      <c r="F55" s="123"/>
      <c r="G55" s="123"/>
      <c r="H55" s="118"/>
      <c r="I55" s="118"/>
      <c r="J55" s="118"/>
      <c r="K55" s="125"/>
      <c r="L55" s="126"/>
    </row>
    <row r="56" spans="1:13" s="110" customFormat="1">
      <c r="A56" s="118"/>
      <c r="B56" s="111"/>
      <c r="C56" s="123"/>
      <c r="D56" s="123"/>
      <c r="E56" s="123"/>
      <c r="F56" s="127"/>
      <c r="G56" s="127">
        <f>SUM(G48:G54)</f>
        <v>9.4</v>
      </c>
      <c r="H56" s="122">
        <v>1</v>
      </c>
      <c r="I56" s="140">
        <f>G56</f>
        <v>9.4</v>
      </c>
      <c r="J56" s="111" t="s">
        <v>393</v>
      </c>
      <c r="K56" s="128"/>
      <c r="L56" s="126"/>
      <c r="M56" s="129"/>
    </row>
    <row r="57" spans="1:13" s="110" customFormat="1" ht="28.8">
      <c r="A57" s="117" t="s">
        <v>382</v>
      </c>
      <c r="B57" s="130" t="s">
        <v>397</v>
      </c>
      <c r="C57" s="123"/>
      <c r="D57" s="123"/>
      <c r="E57" s="123"/>
      <c r="F57" s="127"/>
      <c r="G57" s="127"/>
      <c r="H57" s="122"/>
      <c r="I57" s="127"/>
      <c r="J57" s="111"/>
      <c r="K57" s="128"/>
      <c r="L57" s="126"/>
      <c r="M57" s="129"/>
    </row>
    <row r="58" spans="1:13" s="110" customFormat="1">
      <c r="A58" s="118"/>
      <c r="B58" s="111" t="s">
        <v>385</v>
      </c>
      <c r="C58" s="118"/>
      <c r="D58" s="118"/>
      <c r="E58" s="118"/>
      <c r="F58" s="118"/>
      <c r="G58" s="118"/>
      <c r="H58" s="118"/>
      <c r="I58" s="118"/>
      <c r="J58" s="118"/>
    </row>
    <row r="59" spans="1:13" s="110" customFormat="1">
      <c r="A59" s="118"/>
      <c r="B59" s="111" t="s">
        <v>386</v>
      </c>
      <c r="C59" s="118"/>
      <c r="D59" s="118"/>
      <c r="E59" s="118"/>
      <c r="F59" s="118"/>
      <c r="G59" s="118"/>
      <c r="H59" s="118"/>
      <c r="I59" s="118"/>
      <c r="J59" s="118"/>
    </row>
    <row r="60" spans="1:13" s="110" customFormat="1">
      <c r="A60" s="118">
        <v>1</v>
      </c>
      <c r="B60" s="112" t="s">
        <v>387</v>
      </c>
      <c r="C60" s="119">
        <v>2</v>
      </c>
      <c r="D60" s="119">
        <v>1.6</v>
      </c>
      <c r="E60" s="119"/>
      <c r="F60" s="120"/>
      <c r="G60" s="121">
        <f>D60*C60</f>
        <v>3.2</v>
      </c>
      <c r="H60" s="122">
        <v>1</v>
      </c>
      <c r="I60" s="121">
        <v>6.4</v>
      </c>
      <c r="J60" s="118"/>
    </row>
    <row r="61" spans="1:13" s="110" customFormat="1">
      <c r="A61" s="118">
        <v>2</v>
      </c>
      <c r="B61" s="112" t="s">
        <v>388</v>
      </c>
      <c r="C61" s="119">
        <v>2</v>
      </c>
      <c r="D61" s="119">
        <v>1.62</v>
      </c>
      <c r="E61" s="119"/>
      <c r="F61" s="120"/>
      <c r="G61" s="121">
        <f>D61*C61</f>
        <v>3.24</v>
      </c>
      <c r="H61" s="122">
        <v>1</v>
      </c>
      <c r="I61" s="121">
        <v>6.48</v>
      </c>
      <c r="J61" s="118"/>
    </row>
    <row r="62" spans="1:13" s="110" customFormat="1">
      <c r="A62" s="118"/>
      <c r="B62" s="111" t="s">
        <v>389</v>
      </c>
      <c r="C62" s="123"/>
      <c r="D62" s="123"/>
      <c r="E62" s="123"/>
      <c r="F62" s="123"/>
      <c r="G62" s="123"/>
      <c r="H62" s="118"/>
      <c r="I62" s="118"/>
      <c r="J62" s="118"/>
    </row>
    <row r="63" spans="1:13" s="110" customFormat="1">
      <c r="A63" s="118">
        <v>3</v>
      </c>
      <c r="B63" s="112" t="s">
        <v>387</v>
      </c>
      <c r="C63" s="119">
        <v>2</v>
      </c>
      <c r="D63" s="123">
        <v>1.83</v>
      </c>
      <c r="E63" s="123"/>
      <c r="F63" s="120"/>
      <c r="G63" s="121">
        <f>D63*C63</f>
        <v>3.66</v>
      </c>
      <c r="H63" s="122">
        <v>1</v>
      </c>
      <c r="I63" s="121">
        <v>7.32</v>
      </c>
      <c r="J63" s="118"/>
    </row>
    <row r="64" spans="1:13" s="110" customFormat="1">
      <c r="A64" s="118">
        <v>4</v>
      </c>
      <c r="B64" s="112" t="s">
        <v>388</v>
      </c>
      <c r="C64" s="119">
        <v>2</v>
      </c>
      <c r="D64" s="119">
        <v>1.62</v>
      </c>
      <c r="E64" s="119"/>
      <c r="F64" s="120"/>
      <c r="G64" s="121">
        <f>D64*C64</f>
        <v>3.24</v>
      </c>
      <c r="H64" s="122">
        <v>1</v>
      </c>
      <c r="I64" s="121">
        <v>6.48</v>
      </c>
      <c r="J64" s="118"/>
    </row>
    <row r="65" spans="1:13" s="110" customFormat="1">
      <c r="A65" s="118"/>
      <c r="B65" s="111" t="s">
        <v>390</v>
      </c>
      <c r="C65" s="123"/>
      <c r="D65" s="123"/>
      <c r="E65" s="123"/>
      <c r="F65" s="123"/>
      <c r="G65" s="123"/>
      <c r="H65" s="118"/>
      <c r="I65" s="118"/>
      <c r="J65" s="118"/>
    </row>
    <row r="66" spans="1:13" s="110" customFormat="1">
      <c r="A66" s="118">
        <v>5</v>
      </c>
      <c r="B66" s="112" t="s">
        <v>387</v>
      </c>
      <c r="C66" s="119">
        <v>2</v>
      </c>
      <c r="D66" s="123">
        <v>2.2200000000000002</v>
      </c>
      <c r="E66" s="123"/>
      <c r="F66" s="120"/>
      <c r="G66" s="121">
        <f>D66*C66</f>
        <v>4.4400000000000004</v>
      </c>
      <c r="H66" s="122">
        <v>1</v>
      </c>
      <c r="I66" s="121">
        <v>8.8800000000000008</v>
      </c>
      <c r="J66" s="118"/>
    </row>
    <row r="67" spans="1:13" s="110" customFormat="1">
      <c r="A67" s="118">
        <v>6</v>
      </c>
      <c r="B67" s="112" t="s">
        <v>388</v>
      </c>
      <c r="C67" s="119">
        <v>2</v>
      </c>
      <c r="D67" s="119">
        <v>1.6</v>
      </c>
      <c r="E67" s="119"/>
      <c r="F67" s="120"/>
      <c r="G67" s="121">
        <f>D67*C67</f>
        <v>3.2</v>
      </c>
      <c r="H67" s="122">
        <v>1</v>
      </c>
      <c r="I67" s="121">
        <v>6.4</v>
      </c>
      <c r="J67" s="118"/>
    </row>
    <row r="68" spans="1:13" s="110" customFormat="1">
      <c r="A68" s="118"/>
      <c r="B68" s="111" t="s">
        <v>391</v>
      </c>
      <c r="C68" s="123"/>
      <c r="D68" s="123"/>
      <c r="E68" s="123"/>
      <c r="F68" s="123"/>
      <c r="G68" s="121" t="s">
        <v>392</v>
      </c>
      <c r="H68" s="118"/>
      <c r="I68" s="118"/>
      <c r="J68" s="118"/>
    </row>
    <row r="69" spans="1:13" s="110" customFormat="1">
      <c r="A69" s="118">
        <v>7</v>
      </c>
      <c r="B69" s="112" t="s">
        <v>387</v>
      </c>
      <c r="C69" s="119">
        <v>2</v>
      </c>
      <c r="D69" s="123">
        <v>3.75</v>
      </c>
      <c r="E69" s="123"/>
      <c r="F69" s="120"/>
      <c r="G69" s="121">
        <f>D69*C69</f>
        <v>7.5</v>
      </c>
      <c r="H69" s="122">
        <v>1</v>
      </c>
      <c r="I69" s="121">
        <v>15</v>
      </c>
      <c r="J69" s="118"/>
    </row>
    <row r="70" spans="1:13" s="110" customFormat="1">
      <c r="A70" s="118">
        <v>8</v>
      </c>
      <c r="B70" s="112" t="s">
        <v>388</v>
      </c>
      <c r="C70" s="119">
        <v>2</v>
      </c>
      <c r="D70" s="119">
        <v>1.6</v>
      </c>
      <c r="E70" s="119"/>
      <c r="F70" s="120"/>
      <c r="G70" s="121">
        <f>D70*C70</f>
        <v>3.2</v>
      </c>
      <c r="H70" s="122">
        <v>1</v>
      </c>
      <c r="I70" s="121">
        <v>6.4</v>
      </c>
      <c r="J70" s="118"/>
      <c r="L70" s="124"/>
    </row>
    <row r="71" spans="1:13" s="110" customFormat="1">
      <c r="A71" s="118"/>
      <c r="B71" s="118"/>
      <c r="C71" s="123"/>
      <c r="D71" s="123"/>
      <c r="E71" s="123"/>
      <c r="F71" s="123"/>
      <c r="G71" s="123"/>
      <c r="H71" s="118"/>
      <c r="I71" s="118"/>
      <c r="J71" s="118"/>
      <c r="K71" s="125"/>
      <c r="L71" s="126"/>
    </row>
    <row r="72" spans="1:13" s="110" customFormat="1">
      <c r="A72" s="118"/>
      <c r="B72" s="111"/>
      <c r="C72" s="123"/>
      <c r="D72" s="123"/>
      <c r="E72" s="123"/>
      <c r="F72" s="127"/>
      <c r="G72" s="139">
        <f>SUM(G60:G71)</f>
        <v>31.68</v>
      </c>
      <c r="H72" s="122">
        <v>1</v>
      </c>
      <c r="I72" s="140">
        <f>G72</f>
        <v>31.68</v>
      </c>
      <c r="J72" s="111" t="s">
        <v>393</v>
      </c>
      <c r="K72" s="128"/>
      <c r="L72" s="126"/>
      <c r="M72" s="129"/>
    </row>
    <row r="73" spans="1:13" s="110" customFormat="1" ht="28.8">
      <c r="A73" s="117" t="s">
        <v>398</v>
      </c>
      <c r="B73" s="111" t="s">
        <v>399</v>
      </c>
      <c r="C73" s="123"/>
      <c r="D73" s="123"/>
      <c r="E73" s="123"/>
      <c r="F73" s="127"/>
      <c r="G73" s="127"/>
      <c r="H73" s="118"/>
      <c r="I73" s="118"/>
      <c r="J73" s="118"/>
      <c r="K73" s="125"/>
      <c r="L73" s="126"/>
    </row>
    <row r="74" spans="1:13" s="110" customFormat="1">
      <c r="A74" s="118"/>
      <c r="B74" s="111" t="s">
        <v>385</v>
      </c>
      <c r="C74" s="118"/>
      <c r="D74" s="118"/>
      <c r="E74" s="118"/>
      <c r="F74" s="118"/>
      <c r="G74" s="118"/>
      <c r="H74" s="118"/>
      <c r="I74" s="118"/>
      <c r="J74" s="118"/>
    </row>
    <row r="75" spans="1:13" s="110" customFormat="1">
      <c r="A75" s="118"/>
      <c r="B75" s="118" t="s">
        <v>400</v>
      </c>
      <c r="C75" s="123"/>
      <c r="D75" s="123"/>
      <c r="E75" s="123"/>
      <c r="F75" s="123"/>
      <c r="G75" s="121"/>
      <c r="H75" s="118"/>
      <c r="I75" s="118"/>
      <c r="J75" s="118"/>
      <c r="K75" s="128"/>
      <c r="L75" s="131"/>
      <c r="M75" s="129"/>
    </row>
    <row r="76" spans="1:13" s="110" customFormat="1">
      <c r="A76" s="118">
        <v>1</v>
      </c>
      <c r="B76" s="118" t="s">
        <v>401</v>
      </c>
      <c r="C76" s="123">
        <v>1</v>
      </c>
      <c r="D76" s="123">
        <v>1.73</v>
      </c>
      <c r="E76" s="123"/>
      <c r="F76" s="123">
        <v>1.26</v>
      </c>
      <c r="G76" s="121">
        <v>2.1798000000000002</v>
      </c>
      <c r="H76" s="122">
        <v>1</v>
      </c>
      <c r="I76" s="121">
        <v>2.1798000000000002</v>
      </c>
      <c r="J76" s="118"/>
    </row>
    <row r="77" spans="1:13" s="110" customFormat="1">
      <c r="A77" s="118">
        <v>2</v>
      </c>
      <c r="B77" s="118" t="s">
        <v>401</v>
      </c>
      <c r="C77" s="123">
        <v>1</v>
      </c>
      <c r="D77" s="123">
        <v>1.73</v>
      </c>
      <c r="E77" s="123"/>
      <c r="F77" s="123">
        <v>0.64</v>
      </c>
      <c r="G77" s="121">
        <v>1.1072</v>
      </c>
      <c r="H77" s="122">
        <v>1</v>
      </c>
      <c r="I77" s="121">
        <v>1.1072</v>
      </c>
      <c r="J77" s="118"/>
    </row>
    <row r="78" spans="1:13" s="110" customFormat="1">
      <c r="A78" s="118">
        <v>3</v>
      </c>
      <c r="B78" s="118" t="s">
        <v>402</v>
      </c>
      <c r="C78" s="123">
        <v>1</v>
      </c>
      <c r="D78" s="123">
        <v>1.07</v>
      </c>
      <c r="E78" s="123"/>
      <c r="F78" s="123">
        <v>1.25</v>
      </c>
      <c r="G78" s="121">
        <v>1.3375000000000001</v>
      </c>
      <c r="H78" s="122">
        <v>1</v>
      </c>
      <c r="I78" s="121">
        <v>1.3375000000000001</v>
      </c>
      <c r="J78" s="118"/>
    </row>
    <row r="79" spans="1:13" s="110" customFormat="1">
      <c r="A79" s="118">
        <v>4</v>
      </c>
      <c r="B79" s="118" t="s">
        <v>402</v>
      </c>
      <c r="C79" s="123">
        <v>1</v>
      </c>
      <c r="D79" s="123">
        <v>1.07</v>
      </c>
      <c r="E79" s="123"/>
      <c r="F79" s="123">
        <v>0.64</v>
      </c>
      <c r="G79" s="121">
        <v>0.68480000000000008</v>
      </c>
      <c r="H79" s="122">
        <v>1</v>
      </c>
      <c r="I79" s="121">
        <v>0.68480000000000008</v>
      </c>
      <c r="J79" s="118"/>
    </row>
    <row r="80" spans="1:13" s="110" customFormat="1">
      <c r="A80" s="118">
        <v>5</v>
      </c>
      <c r="B80" s="118" t="s">
        <v>403</v>
      </c>
      <c r="C80" s="123">
        <v>1</v>
      </c>
      <c r="D80" s="123">
        <v>0.78</v>
      </c>
      <c r="E80" s="123"/>
      <c r="F80" s="123">
        <v>0.53</v>
      </c>
      <c r="G80" s="121">
        <v>0.41340000000000005</v>
      </c>
      <c r="H80" s="122">
        <v>1</v>
      </c>
      <c r="I80" s="121">
        <v>0.41340000000000005</v>
      </c>
      <c r="J80" s="118"/>
    </row>
    <row r="81" spans="1:12" s="110" customFormat="1">
      <c r="A81" s="118"/>
      <c r="B81" s="118"/>
      <c r="C81" s="123"/>
      <c r="D81" s="123"/>
      <c r="E81" s="123"/>
      <c r="F81" s="123"/>
      <c r="G81" s="123"/>
      <c r="H81" s="118"/>
      <c r="I81" s="118"/>
      <c r="J81" s="118"/>
    </row>
    <row r="82" spans="1:12" s="110" customFormat="1">
      <c r="A82" s="118"/>
      <c r="B82" s="118"/>
      <c r="C82" s="123"/>
      <c r="D82" s="123"/>
      <c r="E82" s="123"/>
      <c r="F82" s="123"/>
      <c r="G82" s="127">
        <v>5.7227000000000006</v>
      </c>
      <c r="H82" s="122">
        <v>1</v>
      </c>
      <c r="I82" s="140">
        <v>5.7227000000000006</v>
      </c>
      <c r="J82" s="111" t="s">
        <v>404</v>
      </c>
    </row>
    <row r="83" spans="1:12" s="110" customFormat="1" ht="28.8">
      <c r="A83" s="117" t="s">
        <v>398</v>
      </c>
      <c r="B83" s="111" t="s">
        <v>405</v>
      </c>
      <c r="C83" s="123"/>
      <c r="D83" s="123"/>
      <c r="E83" s="123"/>
      <c r="F83" s="127"/>
      <c r="G83" s="127"/>
      <c r="H83" s="118"/>
      <c r="I83" s="118"/>
      <c r="J83" s="118"/>
      <c r="K83" s="125"/>
      <c r="L83" s="126"/>
    </row>
    <row r="84" spans="1:12" s="110" customFormat="1">
      <c r="A84" s="118"/>
      <c r="B84" s="111" t="s">
        <v>385</v>
      </c>
      <c r="C84" s="118"/>
      <c r="D84" s="118"/>
      <c r="E84" s="118"/>
      <c r="F84" s="118"/>
      <c r="G84" s="118"/>
      <c r="H84" s="118"/>
      <c r="I84" s="118"/>
      <c r="J84" s="118"/>
    </row>
    <row r="85" spans="1:12" s="110" customFormat="1">
      <c r="A85" s="118">
        <v>1</v>
      </c>
      <c r="B85" s="118" t="s">
        <v>406</v>
      </c>
      <c r="C85" s="123">
        <v>13</v>
      </c>
      <c r="D85" s="123">
        <v>1.73</v>
      </c>
      <c r="E85" s="123"/>
      <c r="F85" s="123"/>
      <c r="G85" s="121">
        <v>22.49</v>
      </c>
      <c r="H85" s="122">
        <v>1</v>
      </c>
      <c r="I85" s="121">
        <v>22.49</v>
      </c>
      <c r="J85" s="118"/>
    </row>
    <row r="86" spans="1:12" s="110" customFormat="1">
      <c r="A86" s="118">
        <v>2</v>
      </c>
      <c r="B86" s="118" t="s">
        <v>407</v>
      </c>
      <c r="C86" s="123">
        <v>10</v>
      </c>
      <c r="D86" s="123"/>
      <c r="E86" s="123"/>
      <c r="F86" s="123">
        <v>1.25</v>
      </c>
      <c r="G86" s="121">
        <v>12.5</v>
      </c>
      <c r="H86" s="122">
        <v>1</v>
      </c>
      <c r="I86" s="121">
        <v>12.5</v>
      </c>
      <c r="J86" s="118"/>
    </row>
    <row r="87" spans="1:12" s="110" customFormat="1">
      <c r="A87" s="118">
        <v>3</v>
      </c>
      <c r="B87" s="118" t="s">
        <v>407</v>
      </c>
      <c r="C87" s="123">
        <v>10</v>
      </c>
      <c r="D87" s="123"/>
      <c r="E87" s="123"/>
      <c r="F87" s="123">
        <v>0.64</v>
      </c>
      <c r="G87" s="121">
        <v>6.4</v>
      </c>
      <c r="H87" s="122">
        <v>1</v>
      </c>
      <c r="I87" s="121">
        <v>6.4</v>
      </c>
      <c r="J87" s="118"/>
    </row>
    <row r="88" spans="1:12" s="110" customFormat="1">
      <c r="A88" s="118">
        <v>4</v>
      </c>
      <c r="B88" s="118" t="s">
        <v>408</v>
      </c>
      <c r="C88" s="123">
        <v>13</v>
      </c>
      <c r="D88" s="123">
        <v>1.07</v>
      </c>
      <c r="E88" s="123"/>
      <c r="F88" s="123"/>
      <c r="G88" s="121">
        <v>13.91</v>
      </c>
      <c r="H88" s="122">
        <v>1</v>
      </c>
      <c r="I88" s="121">
        <v>13.91</v>
      </c>
      <c r="J88" s="118"/>
    </row>
    <row r="89" spans="1:12" s="110" customFormat="1">
      <c r="A89" s="118">
        <v>5</v>
      </c>
      <c r="B89" s="118" t="s">
        <v>402</v>
      </c>
      <c r="C89" s="123">
        <v>7</v>
      </c>
      <c r="D89" s="123"/>
      <c r="E89" s="123"/>
      <c r="F89" s="123">
        <v>1.25</v>
      </c>
      <c r="G89" s="121">
        <v>8.75</v>
      </c>
      <c r="H89" s="122">
        <v>1</v>
      </c>
      <c r="I89" s="121">
        <v>8.75</v>
      </c>
      <c r="J89" s="118"/>
    </row>
    <row r="90" spans="1:12" s="110" customFormat="1">
      <c r="A90" s="118">
        <v>6</v>
      </c>
      <c r="B90" s="118" t="s">
        <v>402</v>
      </c>
      <c r="C90" s="123">
        <v>7</v>
      </c>
      <c r="D90" s="123"/>
      <c r="E90" s="123"/>
      <c r="F90" s="123">
        <v>0.64</v>
      </c>
      <c r="G90" s="121">
        <v>4.4800000000000004</v>
      </c>
      <c r="H90" s="122">
        <v>1</v>
      </c>
      <c r="I90" s="121">
        <v>4.4800000000000004</v>
      </c>
      <c r="J90" s="118"/>
    </row>
    <row r="91" spans="1:12" s="110" customFormat="1">
      <c r="A91" s="118">
        <v>7</v>
      </c>
      <c r="B91" s="118" t="s">
        <v>409</v>
      </c>
      <c r="C91" s="123">
        <v>4</v>
      </c>
      <c r="D91" s="123">
        <v>0.78</v>
      </c>
      <c r="E91" s="123"/>
      <c r="F91" s="123"/>
      <c r="G91" s="121">
        <v>3.12</v>
      </c>
      <c r="H91" s="122">
        <v>1</v>
      </c>
      <c r="I91" s="121">
        <v>3.12</v>
      </c>
      <c r="J91" s="118"/>
    </row>
    <row r="92" spans="1:12" s="110" customFormat="1">
      <c r="A92" s="118">
        <v>8</v>
      </c>
      <c r="B92" s="118" t="s">
        <v>409</v>
      </c>
      <c r="C92" s="123">
        <v>5</v>
      </c>
      <c r="D92" s="123"/>
      <c r="E92" s="123"/>
      <c r="F92" s="123">
        <v>0.53</v>
      </c>
      <c r="G92" s="121">
        <v>2.6500000000000004</v>
      </c>
      <c r="H92" s="122">
        <v>1</v>
      </c>
      <c r="I92" s="121">
        <v>2.6500000000000004</v>
      </c>
      <c r="J92" s="118"/>
    </row>
    <row r="93" spans="1:12" s="110" customFormat="1">
      <c r="A93" s="118"/>
      <c r="B93" s="118"/>
      <c r="C93" s="123"/>
      <c r="D93" s="123"/>
      <c r="E93" s="123"/>
      <c r="F93" s="123"/>
      <c r="G93" s="123"/>
      <c r="H93" s="118"/>
      <c r="I93" s="118"/>
      <c r="J93" s="118"/>
    </row>
    <row r="94" spans="1:12" s="110" customFormat="1">
      <c r="A94" s="118"/>
      <c r="B94" s="111"/>
      <c r="C94" s="123"/>
      <c r="D94" s="123"/>
      <c r="E94" s="123"/>
      <c r="F94" s="123"/>
      <c r="G94" s="127">
        <v>74.300000000000011</v>
      </c>
      <c r="H94" s="122">
        <v>1</v>
      </c>
      <c r="I94" s="140">
        <v>74.300000000000011</v>
      </c>
      <c r="J94" s="111" t="s">
        <v>393</v>
      </c>
    </row>
    <row r="95" spans="1:12" s="110" customFormat="1" ht="28.8">
      <c r="A95" s="132" t="s">
        <v>410</v>
      </c>
      <c r="B95" s="135" t="s">
        <v>411</v>
      </c>
      <c r="C95" s="123"/>
      <c r="D95" s="123"/>
      <c r="E95" s="123"/>
      <c r="F95" s="123"/>
      <c r="G95" s="121"/>
      <c r="H95" s="118"/>
      <c r="I95" s="118"/>
      <c r="J95" s="118"/>
    </row>
    <row r="96" spans="1:12" s="110" customFormat="1">
      <c r="A96" s="118"/>
      <c r="B96" s="118" t="s">
        <v>412</v>
      </c>
      <c r="C96" s="123"/>
      <c r="D96" s="123"/>
      <c r="E96" s="123"/>
      <c r="F96" s="123"/>
      <c r="G96" s="121"/>
      <c r="H96" s="118"/>
      <c r="I96" s="118"/>
      <c r="J96" s="118"/>
    </row>
    <row r="97" spans="1:10" s="110" customFormat="1">
      <c r="A97" s="118">
        <v>1</v>
      </c>
      <c r="B97" s="118" t="s">
        <v>413</v>
      </c>
      <c r="C97" s="123">
        <v>1</v>
      </c>
      <c r="D97" s="123">
        <v>2</v>
      </c>
      <c r="E97" s="123">
        <v>1.21</v>
      </c>
      <c r="F97" s="123"/>
      <c r="G97" s="134">
        <f>D97*C97</f>
        <v>2</v>
      </c>
      <c r="H97" s="122">
        <v>1</v>
      </c>
      <c r="I97" s="121">
        <f>G97</f>
        <v>2</v>
      </c>
      <c r="J97" s="118"/>
    </row>
    <row r="98" spans="1:10" s="110" customFormat="1">
      <c r="A98" s="118">
        <v>2</v>
      </c>
      <c r="B98" s="118" t="s">
        <v>414</v>
      </c>
      <c r="C98" s="123">
        <v>2</v>
      </c>
      <c r="D98" s="123">
        <v>2</v>
      </c>
      <c r="E98" s="123">
        <v>0.15</v>
      </c>
      <c r="F98" s="123"/>
      <c r="G98" s="121">
        <f>D98*C98</f>
        <v>4</v>
      </c>
      <c r="H98" s="122">
        <v>1</v>
      </c>
      <c r="I98" s="121">
        <f>G98</f>
        <v>4</v>
      </c>
      <c r="J98" s="118"/>
    </row>
    <row r="99" spans="1:10" s="110" customFormat="1">
      <c r="A99" s="118">
        <v>3</v>
      </c>
      <c r="B99" s="118" t="s">
        <v>415</v>
      </c>
      <c r="C99" s="123">
        <v>2</v>
      </c>
      <c r="D99" s="123">
        <v>1.21</v>
      </c>
      <c r="E99" s="123">
        <v>0.15</v>
      </c>
      <c r="F99" s="123"/>
      <c r="G99" s="121">
        <f>D99*C99</f>
        <v>2.42</v>
      </c>
      <c r="H99" s="122">
        <v>1</v>
      </c>
      <c r="I99" s="121">
        <f>G99</f>
        <v>2.42</v>
      </c>
      <c r="J99" s="118"/>
    </row>
    <row r="100" spans="1:10" s="110" customFormat="1">
      <c r="A100" s="118"/>
      <c r="B100" s="118"/>
      <c r="C100" s="123"/>
      <c r="D100" s="123"/>
      <c r="E100" s="123"/>
      <c r="F100" s="123"/>
      <c r="G100" s="123"/>
      <c r="H100" s="118"/>
      <c r="I100" s="118"/>
      <c r="J100" s="118"/>
    </row>
    <row r="101" spans="1:10" s="110" customFormat="1">
      <c r="A101" s="118"/>
      <c r="B101" s="118"/>
      <c r="C101" s="123"/>
      <c r="D101" s="123"/>
      <c r="E101" s="123"/>
      <c r="F101" s="123"/>
      <c r="G101" s="127">
        <f>SUM(G97:G99)</f>
        <v>8.42</v>
      </c>
      <c r="H101" s="122">
        <v>1</v>
      </c>
      <c r="I101" s="140">
        <f>G101</f>
        <v>8.42</v>
      </c>
      <c r="J101" s="111" t="s">
        <v>14</v>
      </c>
    </row>
    <row r="102" spans="1:10" s="110" customFormat="1" ht="28.8">
      <c r="A102" s="132" t="s">
        <v>410</v>
      </c>
      <c r="B102" s="130" t="s">
        <v>416</v>
      </c>
      <c r="C102" s="123"/>
      <c r="D102" s="123"/>
      <c r="E102" s="123"/>
      <c r="F102" s="123"/>
      <c r="G102" s="121"/>
      <c r="H102" s="118"/>
      <c r="I102" s="118"/>
      <c r="J102" s="118"/>
    </row>
    <row r="103" spans="1:10" s="110" customFormat="1">
      <c r="A103" s="118"/>
      <c r="B103" s="118" t="s">
        <v>412</v>
      </c>
      <c r="C103" s="123"/>
      <c r="D103" s="123"/>
      <c r="E103" s="123"/>
      <c r="F103" s="123"/>
      <c r="G103" s="121"/>
      <c r="H103" s="118"/>
      <c r="I103" s="118"/>
      <c r="J103" s="118"/>
    </row>
    <row r="104" spans="1:10" s="110" customFormat="1">
      <c r="A104" s="118">
        <v>1</v>
      </c>
      <c r="B104" s="118" t="s">
        <v>413</v>
      </c>
      <c r="C104" s="123">
        <v>2</v>
      </c>
      <c r="D104" s="123">
        <v>2</v>
      </c>
      <c r="E104" s="123"/>
      <c r="F104" s="123"/>
      <c r="G104" s="121">
        <v>4</v>
      </c>
      <c r="H104" s="122">
        <v>1</v>
      </c>
      <c r="I104" s="121">
        <v>4</v>
      </c>
      <c r="J104" s="118"/>
    </row>
    <row r="105" spans="1:10" s="110" customFormat="1">
      <c r="A105" s="118">
        <v>3</v>
      </c>
      <c r="B105" s="118" t="s">
        <v>415</v>
      </c>
      <c r="C105" s="123">
        <v>2</v>
      </c>
      <c r="D105" s="123">
        <v>1.21</v>
      </c>
      <c r="E105" s="123"/>
      <c r="F105" s="123"/>
      <c r="G105" s="121">
        <v>2.42</v>
      </c>
      <c r="H105" s="122">
        <v>1</v>
      </c>
      <c r="I105" s="121">
        <v>2.42</v>
      </c>
      <c r="J105" s="118"/>
    </row>
    <row r="106" spans="1:10" s="110" customFormat="1">
      <c r="A106" s="118"/>
      <c r="B106" s="118"/>
      <c r="C106" s="123"/>
      <c r="D106" s="123"/>
      <c r="E106" s="123"/>
      <c r="F106" s="123"/>
      <c r="G106" s="123"/>
      <c r="H106" s="118"/>
      <c r="I106" s="118"/>
      <c r="J106" s="118"/>
    </row>
    <row r="107" spans="1:10" s="110" customFormat="1">
      <c r="A107" s="118"/>
      <c r="B107" s="118"/>
      <c r="C107" s="123"/>
      <c r="D107" s="123"/>
      <c r="E107" s="123"/>
      <c r="F107" s="123"/>
      <c r="G107" s="127">
        <v>6.42</v>
      </c>
      <c r="H107" s="122">
        <v>1</v>
      </c>
      <c r="I107" s="140">
        <v>6.42</v>
      </c>
      <c r="J107" s="111" t="s">
        <v>417</v>
      </c>
    </row>
    <row r="108" spans="1:10" s="110" customFormat="1" ht="28.8">
      <c r="A108" s="132" t="s">
        <v>418</v>
      </c>
      <c r="B108" s="130" t="s">
        <v>419</v>
      </c>
      <c r="C108" s="123"/>
      <c r="D108" s="123"/>
      <c r="E108" s="123"/>
      <c r="F108" s="123"/>
      <c r="G108" s="121"/>
      <c r="H108" s="118"/>
      <c r="I108" s="118"/>
      <c r="J108" s="118"/>
    </row>
    <row r="109" spans="1:10" s="110" customFormat="1">
      <c r="A109" s="118"/>
      <c r="B109" s="118" t="s">
        <v>420</v>
      </c>
      <c r="C109" s="123"/>
      <c r="D109" s="123"/>
      <c r="E109" s="123"/>
      <c r="F109" s="123"/>
      <c r="G109" s="121"/>
      <c r="H109" s="118"/>
      <c r="I109" s="118"/>
      <c r="J109" s="118"/>
    </row>
    <row r="110" spans="1:10" s="110" customFormat="1" ht="28.8">
      <c r="A110" s="118">
        <v>1</v>
      </c>
      <c r="B110" s="132" t="s">
        <v>421</v>
      </c>
      <c r="C110" s="123">
        <v>1</v>
      </c>
      <c r="D110" s="123">
        <v>1.2</v>
      </c>
      <c r="E110" s="123"/>
      <c r="F110" s="123">
        <v>0.6</v>
      </c>
      <c r="G110" s="121">
        <v>0.72</v>
      </c>
      <c r="H110" s="122">
        <v>1</v>
      </c>
      <c r="I110" s="121">
        <v>0.72</v>
      </c>
      <c r="J110" s="118"/>
    </row>
    <row r="111" spans="1:10" s="110" customFormat="1">
      <c r="A111" s="118"/>
      <c r="B111" s="118"/>
      <c r="C111" s="123"/>
      <c r="D111" s="123"/>
      <c r="E111" s="123"/>
      <c r="F111" s="123"/>
      <c r="G111" s="123"/>
      <c r="H111" s="118"/>
      <c r="I111" s="118"/>
      <c r="J111" s="118"/>
    </row>
    <row r="112" spans="1:10" s="110" customFormat="1">
      <c r="A112" s="118"/>
      <c r="B112" s="118"/>
      <c r="C112" s="123"/>
      <c r="D112" s="123"/>
      <c r="E112" s="123"/>
      <c r="F112" s="123"/>
      <c r="G112" s="127">
        <v>0.72</v>
      </c>
      <c r="H112" s="122">
        <v>1</v>
      </c>
      <c r="I112" s="140">
        <v>0.72</v>
      </c>
      <c r="J112" s="111" t="s">
        <v>404</v>
      </c>
    </row>
    <row r="113" spans="1:10" s="110" customFormat="1">
      <c r="A113" s="118"/>
      <c r="B113" s="118"/>
      <c r="C113" s="123"/>
      <c r="D113" s="123"/>
      <c r="E113" s="123"/>
      <c r="F113" s="123"/>
      <c r="G113" s="123"/>
      <c r="H113" s="118"/>
      <c r="I113" s="133"/>
      <c r="J113" s="118"/>
    </row>
    <row r="114" spans="1:10" s="110" customFormat="1">
      <c r="A114" s="118"/>
      <c r="B114" s="118"/>
      <c r="C114" s="123"/>
      <c r="D114" s="123"/>
      <c r="E114" s="123"/>
      <c r="F114" s="123"/>
      <c r="G114" s="123"/>
      <c r="H114" s="133"/>
      <c r="I114" s="133"/>
      <c r="J114" s="118"/>
    </row>
    <row r="115" spans="1:10" s="110" customFormat="1">
      <c r="A115" s="118"/>
      <c r="B115" s="118"/>
      <c r="C115" s="123"/>
      <c r="D115" s="123"/>
      <c r="E115" s="123"/>
      <c r="F115" s="123"/>
      <c r="G115" s="123"/>
      <c r="H115" s="118"/>
      <c r="I115" s="118"/>
      <c r="J115" s="118"/>
    </row>
    <row r="116" spans="1:10" s="110" customFormat="1">
      <c r="A116" s="118"/>
      <c r="B116" s="118"/>
      <c r="C116" s="123"/>
      <c r="D116" s="123"/>
      <c r="E116" s="123"/>
      <c r="F116" s="123"/>
      <c r="G116" s="123"/>
      <c r="H116" s="133"/>
      <c r="I116" s="133"/>
      <c r="J116" s="118"/>
    </row>
    <row r="117" spans="1:10" s="110" customFormat="1">
      <c r="A117" s="118"/>
      <c r="B117" s="111"/>
      <c r="C117" s="123"/>
      <c r="D117" s="123"/>
      <c r="E117" s="123"/>
      <c r="F117" s="123"/>
      <c r="G117" s="123"/>
      <c r="H117" s="118"/>
      <c r="I117" s="118"/>
      <c r="J117" s="118"/>
    </row>
    <row r="118" spans="1:10" s="110" customFormat="1">
      <c r="A118" s="118"/>
      <c r="B118" s="118"/>
      <c r="C118" s="123"/>
      <c r="D118" s="123"/>
      <c r="E118" s="123"/>
      <c r="F118" s="123"/>
      <c r="G118" s="123"/>
      <c r="H118" s="118"/>
      <c r="I118" s="118"/>
      <c r="J118" s="118"/>
    </row>
    <row r="119" spans="1:10" s="110" customFormat="1">
      <c r="A119" s="118"/>
      <c r="B119" s="111"/>
      <c r="C119" s="123"/>
      <c r="D119" s="123"/>
      <c r="E119" s="123"/>
      <c r="F119" s="123"/>
      <c r="G119" s="123"/>
      <c r="H119" s="118"/>
      <c r="I119" s="118"/>
      <c r="J119" s="118"/>
    </row>
    <row r="120" spans="1:10" s="110" customFormat="1">
      <c r="A120" s="118"/>
      <c r="B120" s="118"/>
      <c r="C120" s="123"/>
      <c r="D120" s="123"/>
      <c r="E120" s="123"/>
      <c r="F120" s="123"/>
      <c r="G120" s="121"/>
      <c r="H120" s="118"/>
      <c r="I120" s="118"/>
      <c r="J120" s="118"/>
    </row>
    <row r="121" spans="1:10" s="110" customFormat="1">
      <c r="A121" s="118"/>
      <c r="B121" s="118"/>
      <c r="C121" s="123"/>
      <c r="D121" s="123"/>
      <c r="E121" s="123"/>
      <c r="F121" s="123"/>
      <c r="G121" s="121"/>
      <c r="H121" s="118"/>
      <c r="I121" s="118"/>
      <c r="J121" s="118"/>
    </row>
    <row r="122" spans="1:10" s="110" customFormat="1">
      <c r="A122" s="118"/>
      <c r="B122" s="118"/>
      <c r="C122" s="123"/>
      <c r="D122" s="123"/>
      <c r="E122" s="123"/>
      <c r="F122" s="123"/>
      <c r="G122" s="121"/>
      <c r="H122" s="118"/>
      <c r="I122" s="118"/>
      <c r="J122" s="118"/>
    </row>
    <row r="123" spans="1:10" s="110" customFormat="1">
      <c r="A123" s="118"/>
      <c r="B123" s="118"/>
      <c r="C123" s="123"/>
      <c r="D123" s="123"/>
      <c r="E123" s="123"/>
      <c r="F123" s="123"/>
      <c r="G123" s="123"/>
      <c r="H123" s="118"/>
      <c r="I123" s="118"/>
      <c r="J123" s="118"/>
    </row>
    <row r="124" spans="1:10" s="110" customFormat="1">
      <c r="A124" s="118"/>
      <c r="B124" s="118"/>
      <c r="C124" s="123"/>
      <c r="D124" s="123"/>
      <c r="E124" s="123"/>
      <c r="F124" s="123"/>
      <c r="G124" s="121"/>
      <c r="H124" s="118"/>
      <c r="I124" s="118"/>
      <c r="J124" s="118"/>
    </row>
    <row r="125" spans="1:10" s="110" customFormat="1">
      <c r="A125" s="118"/>
      <c r="B125" s="118"/>
      <c r="C125" s="123"/>
      <c r="D125" s="123"/>
      <c r="E125" s="123"/>
      <c r="F125" s="123"/>
      <c r="G125" s="121"/>
      <c r="H125" s="118"/>
      <c r="I125" s="118"/>
      <c r="J125" s="118"/>
    </row>
    <row r="126" spans="1:10" s="110" customFormat="1">
      <c r="A126" s="118"/>
      <c r="B126" s="118"/>
      <c r="C126" s="123"/>
      <c r="D126" s="123"/>
      <c r="E126" s="123"/>
      <c r="F126" s="123"/>
      <c r="G126" s="121"/>
      <c r="H126" s="118"/>
      <c r="I126" s="118"/>
      <c r="J126" s="118"/>
    </row>
    <row r="127" spans="1:10" s="110" customFormat="1">
      <c r="A127" s="118"/>
      <c r="B127" s="111"/>
      <c r="C127" s="123"/>
      <c r="D127" s="123"/>
      <c r="E127" s="123"/>
      <c r="F127" s="123"/>
      <c r="G127" s="123"/>
      <c r="H127" s="118"/>
      <c r="I127" s="118"/>
      <c r="J127" s="118"/>
    </row>
    <row r="128" spans="1:10" s="110" customFormat="1">
      <c r="A128" s="118"/>
      <c r="B128" s="118"/>
      <c r="C128" s="123"/>
      <c r="D128" s="123"/>
      <c r="E128" s="123"/>
      <c r="F128" s="123"/>
      <c r="G128" s="123"/>
      <c r="H128" s="118"/>
      <c r="I128" s="118"/>
      <c r="J128" s="118"/>
    </row>
    <row r="129" spans="1:10" s="110" customFormat="1">
      <c r="A129" s="118"/>
      <c r="B129" s="118"/>
      <c r="C129" s="123"/>
      <c r="D129" s="123"/>
      <c r="E129" s="123"/>
      <c r="F129" s="123"/>
      <c r="G129" s="121"/>
      <c r="H129" s="118"/>
      <c r="I129" s="118"/>
      <c r="J129" s="118"/>
    </row>
    <row r="130" spans="1:10">
      <c r="A130" s="30"/>
      <c r="B130" s="4"/>
      <c r="C130" s="21"/>
      <c r="D130" s="21"/>
      <c r="E130" s="21"/>
      <c r="F130" s="21"/>
      <c r="G130" s="113"/>
      <c r="H130" s="4"/>
      <c r="I130" s="30"/>
      <c r="J130" s="4"/>
    </row>
    <row r="131" spans="1:10">
      <c r="A131" s="30"/>
      <c r="B131" s="4"/>
      <c r="C131" s="21"/>
      <c r="D131" s="21"/>
      <c r="E131" s="21"/>
      <c r="F131" s="21"/>
      <c r="G131" s="113"/>
      <c r="H131" s="4"/>
      <c r="I131" s="30"/>
      <c r="J131" s="4"/>
    </row>
    <row r="132" spans="1:10">
      <c r="A132" s="30"/>
      <c r="B132" s="4"/>
      <c r="C132" s="21"/>
      <c r="D132" s="21"/>
      <c r="E132" s="21"/>
      <c r="F132" s="21"/>
      <c r="G132" s="113"/>
      <c r="H132" s="4"/>
      <c r="I132" s="30"/>
      <c r="J132" s="4"/>
    </row>
    <row r="133" spans="1:10">
      <c r="A133" s="30"/>
      <c r="B133" s="4"/>
      <c r="C133" s="21"/>
      <c r="D133" s="21"/>
      <c r="E133" s="21"/>
      <c r="F133" s="21"/>
      <c r="G133" s="113"/>
      <c r="H133" s="4"/>
      <c r="I133" s="30"/>
      <c r="J133" s="4"/>
    </row>
    <row r="134" spans="1:10">
      <c r="A134" s="30"/>
      <c r="B134" s="4"/>
      <c r="C134" s="21"/>
      <c r="D134" s="21"/>
      <c r="E134" s="21"/>
      <c r="F134" s="21"/>
      <c r="G134" s="21"/>
      <c r="H134" s="4"/>
      <c r="I134" s="30"/>
      <c r="J134" s="4"/>
    </row>
    <row r="135" spans="1:10">
      <c r="A135" s="30"/>
      <c r="B135" s="4"/>
      <c r="C135" s="21"/>
      <c r="D135" s="21"/>
      <c r="E135" s="21"/>
      <c r="F135" s="21"/>
      <c r="G135" s="113"/>
      <c r="H135" s="4"/>
      <c r="I135" s="30"/>
      <c r="J135" s="4"/>
    </row>
    <row r="136" spans="1:10">
      <c r="A136" s="30"/>
      <c r="B136" s="4"/>
      <c r="C136" s="21"/>
      <c r="D136" s="21"/>
      <c r="E136" s="21"/>
      <c r="F136" s="21"/>
      <c r="G136" s="113"/>
      <c r="H136" s="4"/>
      <c r="I136" s="30"/>
      <c r="J136" s="4"/>
    </row>
    <row r="137" spans="1:10">
      <c r="A137" s="30"/>
      <c r="B137" s="4"/>
      <c r="C137" s="21"/>
      <c r="D137" s="21"/>
      <c r="E137" s="21"/>
      <c r="F137" s="21"/>
      <c r="G137" s="113"/>
      <c r="H137" s="4"/>
      <c r="I137" s="30"/>
      <c r="J137" s="4"/>
    </row>
    <row r="138" spans="1:10">
      <c r="A138" s="4"/>
      <c r="B138" s="4"/>
      <c r="C138" s="21"/>
      <c r="D138" s="21"/>
      <c r="E138" s="21"/>
      <c r="F138" s="21"/>
      <c r="G138" s="113"/>
      <c r="H138" s="4"/>
      <c r="I138" s="30"/>
      <c r="J138" s="4"/>
    </row>
    <row r="139" spans="1:10">
      <c r="A139" s="4"/>
      <c r="B139" s="4"/>
      <c r="C139" s="21"/>
      <c r="D139" s="21"/>
      <c r="E139" s="21"/>
      <c r="F139" s="21"/>
      <c r="G139" s="21"/>
      <c r="H139" s="4"/>
      <c r="I139" s="30"/>
      <c r="J139" s="4"/>
    </row>
    <row r="140" spans="1:10">
      <c r="A140" s="4"/>
      <c r="B140" s="4"/>
      <c r="C140" s="21"/>
      <c r="D140" s="21"/>
      <c r="E140" s="21"/>
      <c r="F140" s="21"/>
      <c r="G140" s="21"/>
      <c r="H140" s="21"/>
      <c r="I140" s="30"/>
      <c r="J140" s="21"/>
    </row>
    <row r="141" spans="1:10">
      <c r="A141" s="4"/>
      <c r="B141" s="4"/>
      <c r="C141" s="21"/>
      <c r="D141" s="4"/>
      <c r="E141" s="4"/>
      <c r="F141" s="21"/>
      <c r="G141" s="4"/>
      <c r="H141" s="4"/>
      <c r="I141" s="30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30"/>
      <c r="J142" s="4"/>
    </row>
    <row r="145" spans="8:8">
      <c r="H145" s="60"/>
    </row>
  </sheetData>
  <mergeCells count="3">
    <mergeCell ref="B4:E4"/>
    <mergeCell ref="A2:F2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4755-BAAB-4B09-91C8-E98770FAE292}">
  <dimension ref="A1:L67"/>
  <sheetViews>
    <sheetView workbookViewId="0">
      <selection activeCell="A16" sqref="A16:A67"/>
    </sheetView>
  </sheetViews>
  <sheetFormatPr defaultRowHeight="14.4"/>
  <cols>
    <col min="1" max="1" width="5.44140625" customWidth="1"/>
    <col min="2" max="2" width="37" customWidth="1"/>
    <col min="3" max="3" width="6.21875" customWidth="1"/>
    <col min="4" max="4" width="8.88671875" style="44"/>
    <col min="5" max="5" width="7.44140625" style="44" customWidth="1"/>
    <col min="8" max="8" width="13" customWidth="1"/>
  </cols>
  <sheetData>
    <row r="1" spans="1:9" ht="37.799999999999997" customHeight="1">
      <c r="A1" s="208" t="s">
        <v>9</v>
      </c>
      <c r="B1" s="208"/>
      <c r="C1" s="208"/>
      <c r="D1" s="208"/>
      <c r="E1" s="208"/>
      <c r="F1" s="208"/>
      <c r="G1" s="2"/>
    </row>
    <row r="2" spans="1:9" ht="28.8" customHeight="1">
      <c r="A2" s="209" t="s">
        <v>10</v>
      </c>
      <c r="B2" s="209"/>
      <c r="C2" s="209"/>
      <c r="D2" s="209"/>
      <c r="E2" s="209"/>
      <c r="F2" s="209"/>
      <c r="G2" s="209"/>
      <c r="H2" s="209"/>
      <c r="I2" s="209"/>
    </row>
    <row r="3" spans="1:9" ht="28.8" customHeight="1">
      <c r="A3" s="2"/>
      <c r="B3" s="2"/>
      <c r="C3" s="2"/>
      <c r="D3" s="57"/>
      <c r="E3" s="57"/>
      <c r="F3" s="2"/>
      <c r="G3" s="2"/>
    </row>
    <row r="4" spans="1:9" ht="15.6">
      <c r="A4" s="210" t="s">
        <v>297</v>
      </c>
      <c r="B4" s="210"/>
      <c r="C4" s="210"/>
      <c r="D4" s="210"/>
      <c r="E4" s="210"/>
      <c r="F4" s="210"/>
      <c r="G4" s="35"/>
    </row>
    <row r="6" spans="1:9" s="9" customFormat="1">
      <c r="A6" s="5" t="s">
        <v>284</v>
      </c>
      <c r="B6" s="5" t="s">
        <v>285</v>
      </c>
      <c r="C6" s="5" t="s">
        <v>8</v>
      </c>
      <c r="D6" s="58" t="s">
        <v>7</v>
      </c>
      <c r="E6" s="58" t="s">
        <v>298</v>
      </c>
      <c r="F6" s="5" t="s">
        <v>299</v>
      </c>
      <c r="G6" s="5" t="s">
        <v>321</v>
      </c>
      <c r="H6" s="5" t="s">
        <v>290</v>
      </c>
    </row>
    <row r="7" spans="1:9" s="9" customFormat="1">
      <c r="A7" s="4">
        <v>1</v>
      </c>
      <c r="B7" s="4" t="s">
        <v>291</v>
      </c>
      <c r="C7" s="4" t="s">
        <v>91</v>
      </c>
      <c r="D7" s="59">
        <v>1</v>
      </c>
      <c r="E7" s="21">
        <v>0</v>
      </c>
      <c r="F7" s="21">
        <v>0.63</v>
      </c>
      <c r="G7" s="21">
        <v>0</v>
      </c>
      <c r="H7" s="28">
        <f>+SUM(E7:G7)</f>
        <v>0.63</v>
      </c>
    </row>
    <row r="8" spans="1:9">
      <c r="A8" s="4">
        <v>2</v>
      </c>
      <c r="B8" s="4" t="s">
        <v>300</v>
      </c>
      <c r="C8" s="4" t="s">
        <v>91</v>
      </c>
      <c r="D8" s="59">
        <v>1</v>
      </c>
      <c r="E8" s="21">
        <v>2.3083519999999997</v>
      </c>
      <c r="F8" s="21">
        <v>0</v>
      </c>
      <c r="G8" s="21">
        <f>summary!J44</f>
        <v>4.161864217727544</v>
      </c>
      <c r="H8" s="28">
        <f t="shared" ref="H8:H67" si="0">+SUM(E8:G8)</f>
        <v>6.4702162177275433</v>
      </c>
    </row>
    <row r="9" spans="1:9">
      <c r="A9" s="4">
        <v>3</v>
      </c>
      <c r="B9" s="4" t="s">
        <v>301</v>
      </c>
      <c r="C9" s="4" t="s">
        <v>91</v>
      </c>
      <c r="D9" s="59">
        <v>1</v>
      </c>
      <c r="E9" s="21">
        <v>26.3779</v>
      </c>
      <c r="F9" s="21">
        <v>0</v>
      </c>
      <c r="G9" s="21">
        <v>0</v>
      </c>
      <c r="H9" s="28">
        <f t="shared" si="0"/>
        <v>26.3779</v>
      </c>
    </row>
    <row r="10" spans="1:9">
      <c r="A10" s="4">
        <v>4</v>
      </c>
      <c r="B10" s="4" t="s">
        <v>302</v>
      </c>
      <c r="C10" s="4" t="s">
        <v>91</v>
      </c>
      <c r="D10" s="59">
        <v>1</v>
      </c>
      <c r="E10" s="21">
        <v>25.378399999999999</v>
      </c>
      <c r="F10" s="21">
        <v>0</v>
      </c>
      <c r="G10" s="21">
        <v>0</v>
      </c>
      <c r="H10" s="28">
        <f t="shared" si="0"/>
        <v>25.378399999999999</v>
      </c>
    </row>
    <row r="11" spans="1:9">
      <c r="A11" s="4">
        <v>5</v>
      </c>
      <c r="B11" s="21" t="s">
        <v>234</v>
      </c>
      <c r="C11" s="4" t="s">
        <v>91</v>
      </c>
      <c r="D11" s="59">
        <v>1</v>
      </c>
      <c r="E11" s="21">
        <v>0</v>
      </c>
      <c r="F11" s="21">
        <v>7.1401509964306964</v>
      </c>
      <c r="G11" s="21">
        <f>summary!J8</f>
        <v>0.30208953004164191</v>
      </c>
      <c r="H11" s="28">
        <f t="shared" si="0"/>
        <v>7.4422405264723386</v>
      </c>
    </row>
    <row r="12" spans="1:9">
      <c r="A12" s="4">
        <v>6</v>
      </c>
      <c r="B12" s="4" t="s">
        <v>12</v>
      </c>
      <c r="C12" s="21" t="s">
        <v>14</v>
      </c>
      <c r="D12" s="59">
        <v>1</v>
      </c>
      <c r="E12" s="21">
        <v>21.274000000000001</v>
      </c>
      <c r="F12" s="21">
        <v>13.662195121951221</v>
      </c>
      <c r="G12" s="21">
        <f>summary!J9</f>
        <v>3.1960000000000002</v>
      </c>
      <c r="H12" s="28">
        <f t="shared" si="0"/>
        <v>38.13219512195122</v>
      </c>
    </row>
    <row r="13" spans="1:9">
      <c r="A13" s="4">
        <v>7</v>
      </c>
      <c r="B13" s="4" t="s">
        <v>63</v>
      </c>
      <c r="C13" s="4" t="s">
        <v>91</v>
      </c>
      <c r="D13" s="59">
        <v>1</v>
      </c>
      <c r="E13" s="21">
        <v>26.3779</v>
      </c>
      <c r="F13" s="21">
        <v>0</v>
      </c>
      <c r="G13" s="21">
        <f>summary!J10</f>
        <v>463.3996888013088</v>
      </c>
      <c r="H13" s="28">
        <f t="shared" si="0"/>
        <v>489.77758880130881</v>
      </c>
    </row>
    <row r="14" spans="1:9">
      <c r="A14" s="4">
        <v>8</v>
      </c>
      <c r="B14" s="4" t="s">
        <v>13</v>
      </c>
      <c r="C14" s="21" t="s">
        <v>14</v>
      </c>
      <c r="D14" s="59">
        <v>1</v>
      </c>
      <c r="E14" s="21">
        <v>21.274000000000001</v>
      </c>
      <c r="F14" s="21">
        <v>0</v>
      </c>
      <c r="G14" s="21">
        <f>summary!J11</f>
        <v>331.69002439024393</v>
      </c>
      <c r="H14" s="28">
        <f t="shared" si="0"/>
        <v>352.96402439024394</v>
      </c>
    </row>
    <row r="15" spans="1:9">
      <c r="A15" s="4">
        <v>9</v>
      </c>
      <c r="B15" s="4" t="s">
        <v>303</v>
      </c>
      <c r="C15" s="4" t="s">
        <v>91</v>
      </c>
      <c r="D15" s="59">
        <v>1</v>
      </c>
      <c r="E15" s="21">
        <v>76.3</v>
      </c>
      <c r="F15" s="21">
        <v>21.910788370017848</v>
      </c>
      <c r="G15" s="21">
        <f>summary!J12</f>
        <v>34.776123140987508</v>
      </c>
      <c r="H15" s="28">
        <f t="shared" si="0"/>
        <v>132.98691151100536</v>
      </c>
    </row>
    <row r="16" spans="1:9">
      <c r="A16" s="4">
        <v>10</v>
      </c>
      <c r="B16" s="4" t="s">
        <v>304</v>
      </c>
      <c r="C16" s="21" t="s">
        <v>14</v>
      </c>
      <c r="D16" s="59">
        <v>1</v>
      </c>
      <c r="E16" s="21">
        <v>27.37</v>
      </c>
      <c r="F16" s="21">
        <v>37.668048780487808</v>
      </c>
      <c r="G16" s="21">
        <f>summary!J45</f>
        <v>16.525731707317075</v>
      </c>
      <c r="H16" s="28">
        <f t="shared" si="0"/>
        <v>81.563780487804891</v>
      </c>
    </row>
    <row r="17" spans="1:8">
      <c r="A17" s="4">
        <v>11</v>
      </c>
      <c r="B17" s="4" t="s">
        <v>274</v>
      </c>
      <c r="C17" s="4" t="s">
        <v>91</v>
      </c>
      <c r="D17" s="59">
        <v>1</v>
      </c>
      <c r="E17" s="21">
        <v>217.99</v>
      </c>
      <c r="F17" s="21">
        <v>163.1118538072576</v>
      </c>
      <c r="G17" s="21">
        <f>summary!J13</f>
        <v>8.6108471076740045</v>
      </c>
      <c r="H17" s="28">
        <f t="shared" si="0"/>
        <v>389.71270091493159</v>
      </c>
    </row>
    <row r="18" spans="1:8">
      <c r="A18" s="4">
        <v>12</v>
      </c>
      <c r="B18" s="4" t="str">
        <f>summary!B14</f>
        <v>pattern tile on gypsum board</v>
      </c>
      <c r="C18" s="4" t="s">
        <v>91</v>
      </c>
      <c r="D18" s="59">
        <v>1</v>
      </c>
      <c r="E18" s="21">
        <v>0</v>
      </c>
      <c r="F18" s="21">
        <v>0</v>
      </c>
      <c r="G18" s="21">
        <f>summary!J14</f>
        <v>5.7227000000000006</v>
      </c>
      <c r="H18" s="28">
        <f t="shared" si="0"/>
        <v>5.7227000000000006</v>
      </c>
    </row>
    <row r="19" spans="1:8">
      <c r="A19" s="4">
        <v>13</v>
      </c>
      <c r="B19" s="4" t="s">
        <v>272</v>
      </c>
      <c r="C19" s="4" t="s">
        <v>91</v>
      </c>
      <c r="D19" s="59">
        <v>1</v>
      </c>
      <c r="E19" s="21">
        <v>243.82</v>
      </c>
      <c r="F19" s="21">
        <v>43.328490853658543</v>
      </c>
      <c r="G19" s="21">
        <f>summary!J15</f>
        <v>40.394381618084473</v>
      </c>
      <c r="H19" s="28">
        <f t="shared" si="0"/>
        <v>327.54287247174301</v>
      </c>
    </row>
    <row r="20" spans="1:8">
      <c r="A20" s="4">
        <v>14</v>
      </c>
      <c r="B20" s="4" t="s">
        <v>305</v>
      </c>
      <c r="C20" s="4" t="s">
        <v>91</v>
      </c>
      <c r="D20" s="59">
        <v>1</v>
      </c>
      <c r="E20" s="21">
        <v>60.582943337299227</v>
      </c>
      <c r="F20" s="21">
        <v>17.104309190957764</v>
      </c>
      <c r="G20" s="21">
        <v>0</v>
      </c>
      <c r="H20" s="28">
        <f t="shared" si="0"/>
        <v>77.687252528256991</v>
      </c>
    </row>
    <row r="21" spans="1:8">
      <c r="A21" s="4">
        <v>15</v>
      </c>
      <c r="B21" s="4" t="s">
        <v>306</v>
      </c>
      <c r="C21" s="4" t="s">
        <v>91</v>
      </c>
      <c r="D21" s="59">
        <v>1</v>
      </c>
      <c r="E21" s="21">
        <v>21.84036</v>
      </c>
      <c r="F21" s="21">
        <v>17.476111689470553</v>
      </c>
      <c r="G21" s="21">
        <f>summary!J16</f>
        <v>0.43314991076740039</v>
      </c>
      <c r="H21" s="28">
        <f t="shared" si="0"/>
        <v>39.749621600237951</v>
      </c>
    </row>
    <row r="22" spans="1:8">
      <c r="A22" s="4">
        <v>16</v>
      </c>
      <c r="B22" s="21" t="s">
        <v>370</v>
      </c>
      <c r="C22" s="4" t="s">
        <v>91</v>
      </c>
      <c r="D22" s="59">
        <v>1</v>
      </c>
      <c r="E22" s="21">
        <v>0</v>
      </c>
      <c r="F22" s="21">
        <v>6.9001896192742418</v>
      </c>
      <c r="G22" s="21">
        <v>0</v>
      </c>
      <c r="H22" s="28">
        <f t="shared" si="0"/>
        <v>6.9001896192742418</v>
      </c>
    </row>
    <row r="23" spans="1:8">
      <c r="A23" s="4">
        <v>17</v>
      </c>
      <c r="B23" s="4" t="s">
        <v>307</v>
      </c>
      <c r="C23" s="4" t="s">
        <v>91</v>
      </c>
      <c r="D23" s="59">
        <v>1</v>
      </c>
      <c r="E23" s="21">
        <v>70.498670000000004</v>
      </c>
      <c r="F23" s="21">
        <v>17.104309190957764</v>
      </c>
      <c r="G23" s="21">
        <v>0</v>
      </c>
      <c r="H23" s="28">
        <f t="shared" si="0"/>
        <v>87.602979190957768</v>
      </c>
    </row>
    <row r="24" spans="1:8">
      <c r="A24" s="4">
        <v>18</v>
      </c>
      <c r="B24" s="4" t="s">
        <v>308</v>
      </c>
      <c r="C24" s="21" t="s">
        <v>14</v>
      </c>
      <c r="D24" s="59">
        <v>1</v>
      </c>
      <c r="E24" s="21">
        <v>27.6098</v>
      </c>
      <c r="F24" s="21">
        <v>60.808902439024401</v>
      </c>
      <c r="G24" s="21">
        <v>0</v>
      </c>
      <c r="H24" s="28">
        <f t="shared" si="0"/>
        <v>88.418702439024401</v>
      </c>
    </row>
    <row r="25" spans="1:8">
      <c r="A25" s="4">
        <v>19</v>
      </c>
      <c r="B25" s="4" t="s">
        <v>309</v>
      </c>
      <c r="C25" s="21" t="s">
        <v>14</v>
      </c>
      <c r="D25" s="59">
        <v>1</v>
      </c>
      <c r="E25" s="21">
        <v>42.52</v>
      </c>
      <c r="F25" s="21">
        <v>0</v>
      </c>
      <c r="G25" s="21">
        <v>0</v>
      </c>
      <c r="H25" s="28">
        <f t="shared" si="0"/>
        <v>42.52</v>
      </c>
    </row>
    <row r="26" spans="1:8">
      <c r="A26" s="4">
        <v>20</v>
      </c>
      <c r="B26" s="4" t="s">
        <v>310</v>
      </c>
      <c r="C26" s="21" t="s">
        <v>14</v>
      </c>
      <c r="D26" s="59">
        <v>1</v>
      </c>
      <c r="E26" s="21">
        <v>22.758399999999998</v>
      </c>
      <c r="F26" s="21">
        <v>0</v>
      </c>
      <c r="G26" s="21">
        <v>0</v>
      </c>
      <c r="H26" s="28">
        <f t="shared" si="0"/>
        <v>22.758399999999998</v>
      </c>
    </row>
    <row r="27" spans="1:8">
      <c r="A27" s="4">
        <v>21</v>
      </c>
      <c r="B27" s="4" t="s">
        <v>97</v>
      </c>
      <c r="C27" s="21" t="s">
        <v>14</v>
      </c>
      <c r="D27" s="59">
        <v>1</v>
      </c>
      <c r="E27" s="21">
        <v>5.9944000000000006</v>
      </c>
      <c r="F27" s="21">
        <v>4.3460365853658534</v>
      </c>
      <c r="G27" s="21">
        <f>summary!J29</f>
        <v>3.1406585365853656</v>
      </c>
      <c r="H27" s="28">
        <f t="shared" si="0"/>
        <v>13.481095121951221</v>
      </c>
    </row>
    <row r="28" spans="1:8">
      <c r="A28" s="4">
        <v>22</v>
      </c>
      <c r="B28" s="4" t="s">
        <v>311</v>
      </c>
      <c r="C28" s="21" t="str">
        <f>'[1]11th_floor_summary'!E69</f>
        <v>Nos</v>
      </c>
      <c r="D28" s="59">
        <v>1</v>
      </c>
      <c r="E28" s="21">
        <v>3</v>
      </c>
      <c r="F28" s="21">
        <v>0</v>
      </c>
      <c r="G28" s="21">
        <v>0</v>
      </c>
      <c r="H28" s="28">
        <f t="shared" si="0"/>
        <v>3</v>
      </c>
    </row>
    <row r="29" spans="1:8">
      <c r="A29" s="4">
        <v>23</v>
      </c>
      <c r="B29" s="4" t="s">
        <v>312</v>
      </c>
      <c r="C29" s="21" t="s">
        <v>14</v>
      </c>
      <c r="D29" s="59">
        <v>1</v>
      </c>
      <c r="E29" s="21">
        <v>6.2483999999999993</v>
      </c>
      <c r="F29" s="21">
        <v>7.4908536585365866</v>
      </c>
      <c r="G29" s="21">
        <f>summary!J17</f>
        <v>24.608780487804879</v>
      </c>
      <c r="H29" s="28">
        <f t="shared" si="0"/>
        <v>38.348034146341462</v>
      </c>
    </row>
    <row r="30" spans="1:8">
      <c r="A30" s="4">
        <v>24</v>
      </c>
      <c r="B30" s="4" t="s">
        <v>313</v>
      </c>
      <c r="C30" s="21" t="s">
        <v>14</v>
      </c>
      <c r="D30" s="59">
        <v>1</v>
      </c>
      <c r="E30" s="21">
        <v>6.2483999999999993</v>
      </c>
      <c r="F30" s="21">
        <v>1.1676829268292683</v>
      </c>
      <c r="G30" s="21">
        <v>0</v>
      </c>
      <c r="H30" s="28">
        <f t="shared" si="0"/>
        <v>7.4160829268292678</v>
      </c>
    </row>
    <row r="31" spans="1:8">
      <c r="A31" s="4">
        <v>25</v>
      </c>
      <c r="B31" s="4" t="s">
        <v>314</v>
      </c>
      <c r="C31" s="21" t="s">
        <v>14</v>
      </c>
      <c r="D31" s="59">
        <v>1</v>
      </c>
      <c r="E31" s="21">
        <v>6.2483999999999993</v>
      </c>
      <c r="F31" s="21">
        <v>4.9237804878048781</v>
      </c>
      <c r="G31" s="21">
        <v>0</v>
      </c>
      <c r="H31" s="28">
        <f t="shared" si="0"/>
        <v>11.172180487804876</v>
      </c>
    </row>
    <row r="32" spans="1:8">
      <c r="A32" s="4">
        <v>26</v>
      </c>
      <c r="B32" s="4" t="s">
        <v>315</v>
      </c>
      <c r="C32" s="21" t="s">
        <v>14</v>
      </c>
      <c r="D32" s="59">
        <v>1</v>
      </c>
      <c r="E32" s="21">
        <v>6.7817999999999996</v>
      </c>
      <c r="F32" s="21">
        <v>1.9058536585365855</v>
      </c>
      <c r="G32" s="21">
        <f>summary!J30</f>
        <v>1.8292682926829271</v>
      </c>
      <c r="H32" s="28">
        <f t="shared" si="0"/>
        <v>10.516921951219512</v>
      </c>
    </row>
    <row r="33" spans="1:12">
      <c r="A33" s="4">
        <v>27</v>
      </c>
      <c r="B33" s="4" t="s">
        <v>316</v>
      </c>
      <c r="C33" s="4" t="s">
        <v>91</v>
      </c>
      <c r="D33" s="59">
        <v>1</v>
      </c>
      <c r="E33" s="21">
        <v>1.0199979599999998</v>
      </c>
      <c r="F33" s="21">
        <v>3.4901844140392626</v>
      </c>
      <c r="G33" s="21">
        <f>summary!J18</f>
        <v>3.2899821534800715</v>
      </c>
      <c r="H33" s="28">
        <f t="shared" si="0"/>
        <v>7.8001645275193336</v>
      </c>
    </row>
    <row r="34" spans="1:12">
      <c r="A34" s="4">
        <v>28</v>
      </c>
      <c r="B34" s="21" t="s">
        <v>371</v>
      </c>
      <c r="C34" s="4" t="s">
        <v>91</v>
      </c>
      <c r="D34" s="59">
        <v>1</v>
      </c>
      <c r="E34" s="21">
        <v>0</v>
      </c>
      <c r="F34" s="21">
        <v>1.378810975609756</v>
      </c>
      <c r="G34" s="21">
        <v>0</v>
      </c>
      <c r="H34" s="28">
        <f t="shared" si="0"/>
        <v>1.378810975609756</v>
      </c>
    </row>
    <row r="35" spans="1:12">
      <c r="A35" s="4">
        <v>29</v>
      </c>
      <c r="B35" s="21" t="s">
        <v>25</v>
      </c>
      <c r="C35" s="21" t="s">
        <v>14</v>
      </c>
      <c r="D35" s="59">
        <v>1</v>
      </c>
      <c r="E35" s="21">
        <v>0</v>
      </c>
      <c r="F35" s="21">
        <v>30.46</v>
      </c>
      <c r="G35" s="21">
        <f>summary!J25</f>
        <v>13.638170731707318</v>
      </c>
      <c r="H35" s="28">
        <f t="shared" si="0"/>
        <v>44.09817073170732</v>
      </c>
      <c r="L35" t="s">
        <v>36</v>
      </c>
    </row>
    <row r="36" spans="1:12">
      <c r="A36" s="4">
        <v>30</v>
      </c>
      <c r="B36" s="21" t="s">
        <v>187</v>
      </c>
      <c r="C36" s="21" t="str">
        <f>[2]Summary!C18</f>
        <v>sqmt</v>
      </c>
      <c r="D36" s="59">
        <v>1</v>
      </c>
      <c r="E36" s="21">
        <v>0</v>
      </c>
      <c r="F36" s="21">
        <v>4.9056638280785254</v>
      </c>
      <c r="G36" s="21">
        <f>summary!J19</f>
        <v>10.904193218322426</v>
      </c>
      <c r="H36" s="28">
        <f t="shared" si="0"/>
        <v>15.809857046400952</v>
      </c>
    </row>
    <row r="37" spans="1:12">
      <c r="A37" s="4">
        <v>31</v>
      </c>
      <c r="B37" s="21" t="s">
        <v>187</v>
      </c>
      <c r="C37" s="21" t="s">
        <v>14</v>
      </c>
      <c r="D37" s="59">
        <v>1</v>
      </c>
      <c r="E37" s="21">
        <v>0</v>
      </c>
      <c r="F37" s="21">
        <v>38.7994497323022</v>
      </c>
      <c r="G37" s="21">
        <f>summary!J20</f>
        <v>9.4512195121951219</v>
      </c>
      <c r="H37" s="28">
        <f t="shared" si="0"/>
        <v>48.250669244497324</v>
      </c>
    </row>
    <row r="38" spans="1:12">
      <c r="A38" s="4">
        <v>32</v>
      </c>
      <c r="B38" s="4" t="s">
        <v>257</v>
      </c>
      <c r="C38" s="21" t="s">
        <v>14</v>
      </c>
      <c r="D38" s="59">
        <v>1</v>
      </c>
      <c r="E38" s="21">
        <v>170.94</v>
      </c>
      <c r="F38" s="21">
        <v>95.309687804878052</v>
      </c>
      <c r="G38" s="21">
        <f>summary!J21</f>
        <v>34.49341463414634</v>
      </c>
      <c r="H38" s="28">
        <f t="shared" si="0"/>
        <v>300.74310243902437</v>
      </c>
    </row>
    <row r="39" spans="1:12">
      <c r="A39" s="4">
        <v>33</v>
      </c>
      <c r="B39" s="4" t="s">
        <v>317</v>
      </c>
      <c r="C39" s="21" t="s">
        <v>14</v>
      </c>
      <c r="D39" s="59">
        <v>1</v>
      </c>
      <c r="E39" s="21">
        <v>187.9</v>
      </c>
      <c r="F39" s="21">
        <v>177.08</v>
      </c>
      <c r="G39" s="21">
        <f>summary!J22</f>
        <v>46.78170731707317</v>
      </c>
      <c r="H39" s="28">
        <f t="shared" si="0"/>
        <v>411.76170731707316</v>
      </c>
    </row>
    <row r="40" spans="1:12">
      <c r="A40" s="4">
        <v>34</v>
      </c>
      <c r="B40" s="4" t="s">
        <v>108</v>
      </c>
      <c r="C40" s="21" t="s">
        <v>14</v>
      </c>
      <c r="D40" s="59">
        <v>1</v>
      </c>
      <c r="E40" s="21">
        <v>173.04</v>
      </c>
      <c r="F40" s="21">
        <v>174.13</v>
      </c>
      <c r="G40" s="21">
        <f>summary!J23</f>
        <v>32.071707317073169</v>
      </c>
      <c r="H40" s="28">
        <f t="shared" si="0"/>
        <v>379.24170731707312</v>
      </c>
    </row>
    <row r="41" spans="1:12">
      <c r="A41" s="4">
        <v>35</v>
      </c>
      <c r="B41" s="4" t="s">
        <v>323</v>
      </c>
      <c r="C41" s="21" t="s">
        <v>14</v>
      </c>
      <c r="D41" s="59">
        <v>1</v>
      </c>
      <c r="E41" s="21">
        <v>31.728799999999996</v>
      </c>
      <c r="F41" s="21">
        <v>7.2946341463414637</v>
      </c>
      <c r="G41" s="21">
        <f>summary!J24</f>
        <v>85.198926829268288</v>
      </c>
      <c r="H41" s="28">
        <f t="shared" si="0"/>
        <v>124.22236097560975</v>
      </c>
    </row>
    <row r="42" spans="1:12">
      <c r="A42" s="4">
        <v>36</v>
      </c>
      <c r="B42" s="4" t="s">
        <v>318</v>
      </c>
      <c r="C42" s="21" t="s">
        <v>14</v>
      </c>
      <c r="D42" s="59">
        <v>1</v>
      </c>
      <c r="E42" s="21">
        <v>176.6</v>
      </c>
      <c r="F42" s="21">
        <v>33.231707317073173</v>
      </c>
      <c r="G42" s="21">
        <v>0</v>
      </c>
      <c r="H42" s="28">
        <f t="shared" si="0"/>
        <v>209.83170731707315</v>
      </c>
    </row>
    <row r="43" spans="1:12">
      <c r="A43" s="4">
        <v>37</v>
      </c>
      <c r="B43" s="4" t="s">
        <v>319</v>
      </c>
      <c r="C43" s="21" t="s">
        <v>14</v>
      </c>
      <c r="D43" s="59">
        <v>1</v>
      </c>
      <c r="E43" s="21">
        <v>240.30170731707318</v>
      </c>
      <c r="F43" s="21">
        <v>161.94146341463417</v>
      </c>
      <c r="G43" s="21">
        <f>summary!J26</f>
        <v>9.5975609756097562</v>
      </c>
      <c r="H43" s="28">
        <f t="shared" si="0"/>
        <v>411.8407317073171</v>
      </c>
    </row>
    <row r="44" spans="1:12">
      <c r="A44" s="4">
        <v>38</v>
      </c>
      <c r="B44" s="4" t="s">
        <v>320</v>
      </c>
      <c r="C44" s="21" t="s">
        <v>14</v>
      </c>
      <c r="D44" s="59">
        <v>1</v>
      </c>
      <c r="E44" s="21">
        <v>127.9451554</v>
      </c>
      <c r="F44" s="21">
        <v>0</v>
      </c>
      <c r="G44" s="21">
        <v>0</v>
      </c>
      <c r="H44" s="28">
        <f t="shared" si="0"/>
        <v>127.9451554</v>
      </c>
    </row>
    <row r="45" spans="1:12">
      <c r="A45" s="4">
        <v>39</v>
      </c>
      <c r="B45" s="21" t="s">
        <v>372</v>
      </c>
      <c r="C45" s="21" t="str">
        <f>[2]Summary!C35</f>
        <v>rmt</v>
      </c>
      <c r="D45" s="59">
        <v>1</v>
      </c>
      <c r="E45" s="21">
        <v>0</v>
      </c>
      <c r="F45" s="21">
        <v>8.5823170731707314</v>
      </c>
      <c r="G45" s="21">
        <v>0</v>
      </c>
      <c r="H45" s="28">
        <f t="shared" si="0"/>
        <v>8.5823170731707314</v>
      </c>
    </row>
    <row r="46" spans="1:12">
      <c r="A46" s="4">
        <v>40</v>
      </c>
      <c r="B46" s="21" t="str">
        <f>summary!B31</f>
        <v>counter facia patti</v>
      </c>
      <c r="C46" s="21" t="s">
        <v>14</v>
      </c>
      <c r="D46" s="59">
        <v>1</v>
      </c>
      <c r="E46" s="21">
        <v>0</v>
      </c>
      <c r="F46" s="21">
        <v>0</v>
      </c>
      <c r="G46" s="21">
        <f>summary!J31</f>
        <v>9.8762195121951226</v>
      </c>
      <c r="H46" s="28">
        <f t="shared" si="0"/>
        <v>9.8762195121951226</v>
      </c>
    </row>
    <row r="47" spans="1:12">
      <c r="A47" s="4">
        <v>41</v>
      </c>
      <c r="B47" s="4" t="str">
        <f>summary!B27</f>
        <v>grouting</v>
      </c>
      <c r="C47" s="4" t="str">
        <f>summary!C27</f>
        <v>rmt</v>
      </c>
      <c r="D47" s="59">
        <v>1</v>
      </c>
      <c r="E47" s="21">
        <v>0</v>
      </c>
      <c r="F47" s="21">
        <v>0</v>
      </c>
      <c r="G47" s="21">
        <f>summary!J27</f>
        <v>948.02882926829272</v>
      </c>
      <c r="H47" s="28">
        <f t="shared" si="0"/>
        <v>948.02882926829272</v>
      </c>
    </row>
    <row r="48" spans="1:12">
      <c r="A48" s="4">
        <v>42</v>
      </c>
      <c r="B48" s="4" t="str">
        <f>summary!B28</f>
        <v>marble wall polish</v>
      </c>
      <c r="C48" s="4" t="str">
        <f>summary!C28</f>
        <v>rmt</v>
      </c>
      <c r="D48" s="55">
        <v>1</v>
      </c>
      <c r="E48" s="21">
        <v>0</v>
      </c>
      <c r="F48" s="21">
        <v>0</v>
      </c>
      <c r="G48" s="21">
        <f>summary!J28</f>
        <v>4.3932926829268295</v>
      </c>
      <c r="H48" s="28">
        <f t="shared" si="0"/>
        <v>4.3932926829268295</v>
      </c>
    </row>
    <row r="49" spans="1:8">
      <c r="A49" s="4">
        <v>43</v>
      </c>
      <c r="B49" s="4" t="str">
        <f>summary!B32</f>
        <v>umbra patti breaking</v>
      </c>
      <c r="C49" s="4" t="s">
        <v>14</v>
      </c>
      <c r="D49" s="55">
        <v>1</v>
      </c>
      <c r="E49" s="21">
        <v>0</v>
      </c>
      <c r="F49" s="21">
        <v>0</v>
      </c>
      <c r="G49" s="21">
        <f>summary!J32</f>
        <v>6.9810743677988931</v>
      </c>
      <c r="H49" s="28">
        <f t="shared" si="0"/>
        <v>6.9810743677988931</v>
      </c>
    </row>
    <row r="50" spans="1:8">
      <c r="A50" s="4">
        <v>44</v>
      </c>
      <c r="B50" s="4" t="str">
        <f>summary!B33</f>
        <v>Umbra patti fixing</v>
      </c>
      <c r="C50" s="4" t="s">
        <v>14</v>
      </c>
      <c r="D50" s="55">
        <v>1</v>
      </c>
      <c r="E50" s="21">
        <v>0</v>
      </c>
      <c r="F50" s="21">
        <v>0</v>
      </c>
      <c r="G50" s="21">
        <f>summary!J33</f>
        <v>26.953025587311092</v>
      </c>
      <c r="H50" s="28">
        <f t="shared" si="0"/>
        <v>26.953025587311092</v>
      </c>
    </row>
    <row r="51" spans="1:8">
      <c r="A51" s="4">
        <v>45</v>
      </c>
      <c r="B51" s="4" t="str">
        <f>summary!B34</f>
        <v>Edge dhar polish</v>
      </c>
      <c r="C51" s="4" t="s">
        <v>14</v>
      </c>
      <c r="D51" s="55">
        <v>1</v>
      </c>
      <c r="E51" s="21">
        <v>0</v>
      </c>
      <c r="F51" s="21">
        <v>0</v>
      </c>
      <c r="G51" s="21">
        <f>summary!J34</f>
        <v>162.75687804878049</v>
      </c>
      <c r="H51" s="28">
        <f t="shared" si="0"/>
        <v>162.75687804878049</v>
      </c>
    </row>
    <row r="52" spans="1:8">
      <c r="A52" s="4">
        <v>46</v>
      </c>
      <c r="B52" s="4" t="str">
        <f>summary!B35</f>
        <v>granite umbra patti champering(patta)</v>
      </c>
      <c r="C52" s="4" t="str">
        <f>summary!C35</f>
        <v>rmt</v>
      </c>
      <c r="D52" s="55">
        <v>1</v>
      </c>
      <c r="E52" s="21">
        <v>0</v>
      </c>
      <c r="F52" s="21">
        <v>0</v>
      </c>
      <c r="G52" s="21">
        <f>summary!J35</f>
        <v>146.12121951219513</v>
      </c>
      <c r="H52" s="28">
        <f t="shared" si="0"/>
        <v>146.12121951219513</v>
      </c>
    </row>
    <row r="53" spans="1:8">
      <c r="A53" s="4">
        <v>47</v>
      </c>
      <c r="B53" s="4" t="s">
        <v>324</v>
      </c>
      <c r="C53" s="4" t="s">
        <v>14</v>
      </c>
      <c r="D53" s="55">
        <v>1</v>
      </c>
      <c r="E53" s="21">
        <v>0</v>
      </c>
      <c r="F53" s="21">
        <v>0</v>
      </c>
      <c r="G53" s="21">
        <f>summary!J36+summary!J37</f>
        <v>84.149268292682933</v>
      </c>
      <c r="H53" s="28">
        <f t="shared" si="0"/>
        <v>84.149268292682933</v>
      </c>
    </row>
    <row r="54" spans="1:8">
      <c r="A54" s="4">
        <v>48</v>
      </c>
      <c r="B54" s="4" t="s">
        <v>325</v>
      </c>
      <c r="C54" s="4" t="s">
        <v>14</v>
      </c>
      <c r="D54" s="55">
        <v>1</v>
      </c>
      <c r="E54" s="21">
        <v>0</v>
      </c>
      <c r="F54" s="21">
        <v>0</v>
      </c>
      <c r="G54" s="21">
        <f>summary!J38</f>
        <v>15.816463414634146</v>
      </c>
      <c r="H54" s="28">
        <f t="shared" si="0"/>
        <v>15.816463414634146</v>
      </c>
    </row>
    <row r="55" spans="1:8">
      <c r="A55" s="4">
        <v>49</v>
      </c>
      <c r="B55" s="4" t="str">
        <f>summary!B39</f>
        <v xml:space="preserve"> 45 degree both side cutting &amp;polishing</v>
      </c>
      <c r="C55" s="4" t="s">
        <v>14</v>
      </c>
      <c r="D55" s="55">
        <v>1</v>
      </c>
      <c r="E55" s="21">
        <v>0</v>
      </c>
      <c r="F55" s="21">
        <v>0</v>
      </c>
      <c r="G55" s="21">
        <f>summary!J39</f>
        <v>31.07231707317073</v>
      </c>
      <c r="H55" s="28">
        <f t="shared" si="0"/>
        <v>31.07231707317073</v>
      </c>
    </row>
    <row r="56" spans="1:8">
      <c r="A56" s="4">
        <v>50</v>
      </c>
      <c r="B56" s="4" t="str">
        <f>summary!B40</f>
        <v>granite top(parapet top)</v>
      </c>
      <c r="C56" s="4" t="s">
        <v>14</v>
      </c>
      <c r="D56" s="55">
        <v>1</v>
      </c>
      <c r="E56" s="21">
        <v>0</v>
      </c>
      <c r="F56" s="21">
        <v>0</v>
      </c>
      <c r="G56" s="21">
        <f>summary!J40</f>
        <v>13.690609756097562</v>
      </c>
      <c r="H56" s="28">
        <f t="shared" si="0"/>
        <v>13.690609756097562</v>
      </c>
    </row>
    <row r="57" spans="1:8">
      <c r="A57" s="4">
        <v>51</v>
      </c>
      <c r="B57" s="4" t="str">
        <f>summary!B41</f>
        <v>cupboard table kainga stone fixing</v>
      </c>
      <c r="C57" s="4" t="s">
        <v>14</v>
      </c>
      <c r="D57" s="55">
        <v>1</v>
      </c>
      <c r="E57" s="21">
        <v>0</v>
      </c>
      <c r="F57" s="21">
        <v>0</v>
      </c>
      <c r="G57" s="21">
        <f>summary!J41</f>
        <v>2.9299999999999997</v>
      </c>
      <c r="H57" s="28">
        <f t="shared" si="0"/>
        <v>2.9299999999999997</v>
      </c>
    </row>
    <row r="58" spans="1:8">
      <c r="A58" s="4">
        <v>52</v>
      </c>
      <c r="B58" s="4" t="str">
        <f>summary!B42</f>
        <v>Cupboard kalinga stone fixing</v>
      </c>
      <c r="C58" s="4" t="s">
        <v>14</v>
      </c>
      <c r="D58" s="55">
        <v>1</v>
      </c>
      <c r="E58" s="21">
        <v>0</v>
      </c>
      <c r="F58" s="21">
        <v>0</v>
      </c>
      <c r="G58" s="21">
        <f>summary!J42</f>
        <v>1.3300327781082688</v>
      </c>
      <c r="H58" s="28">
        <f t="shared" si="0"/>
        <v>1.3300327781082688</v>
      </c>
    </row>
    <row r="59" spans="1:8">
      <c r="A59" s="4">
        <v>53</v>
      </c>
      <c r="B59" s="4" t="str">
        <f>summary!B43</f>
        <v>moulding</v>
      </c>
      <c r="C59" s="4" t="s">
        <v>14</v>
      </c>
      <c r="D59" s="55">
        <v>1</v>
      </c>
      <c r="E59" s="21">
        <v>0</v>
      </c>
      <c r="F59" s="21">
        <v>0</v>
      </c>
      <c r="G59" s="21">
        <f>summary!J43</f>
        <v>9.2713414634146343</v>
      </c>
      <c r="H59" s="28">
        <f t="shared" si="0"/>
        <v>9.2713414634146343</v>
      </c>
    </row>
    <row r="60" spans="1:8">
      <c r="A60" s="4">
        <v>54</v>
      </c>
      <c r="B60" s="4" t="str">
        <f>summary!B7</f>
        <v>marble flooring breaking</v>
      </c>
      <c r="C60" s="4" t="str">
        <f>summary!C7</f>
        <v>smt</v>
      </c>
      <c r="D60" s="55">
        <v>1</v>
      </c>
      <c r="E60" s="21">
        <v>0</v>
      </c>
      <c r="F60" s="21">
        <v>0</v>
      </c>
      <c r="G60" s="21">
        <f>summary!J7</f>
        <v>2.5380168054729331</v>
      </c>
      <c r="H60" s="28">
        <f t="shared" si="0"/>
        <v>2.5380168054729331</v>
      </c>
    </row>
    <row r="61" spans="1:8">
      <c r="A61" s="4">
        <v>55</v>
      </c>
      <c r="B61" s="4" t="str">
        <f>summary!B46</f>
        <v>marble patti</v>
      </c>
      <c r="C61" s="4" t="str">
        <f>summary!C46</f>
        <v>rmt</v>
      </c>
      <c r="D61" s="55">
        <v>1</v>
      </c>
      <c r="E61" s="21">
        <v>0</v>
      </c>
      <c r="F61" s="21">
        <v>0</v>
      </c>
      <c r="G61" s="21">
        <f>summary!J46</f>
        <v>8.824512195121951</v>
      </c>
      <c r="H61" s="28">
        <f t="shared" si="0"/>
        <v>8.824512195121951</v>
      </c>
    </row>
    <row r="62" spans="1:8">
      <c r="A62" s="4">
        <v>56</v>
      </c>
      <c r="B62" s="4" t="str">
        <f>summary!B47</f>
        <v xml:space="preserve"> granite patti fixing </v>
      </c>
      <c r="C62" s="4" t="str">
        <f>summary!C47</f>
        <v>rmt</v>
      </c>
      <c r="D62" s="55">
        <v>1</v>
      </c>
      <c r="E62" s="21">
        <v>0</v>
      </c>
      <c r="F62" s="21">
        <v>0</v>
      </c>
      <c r="G62" s="21">
        <f>summary!J47</f>
        <v>44.265243902439025</v>
      </c>
      <c r="H62" s="28">
        <f t="shared" si="0"/>
        <v>44.265243902439025</v>
      </c>
    </row>
    <row r="63" spans="1:8">
      <c r="A63" s="4">
        <v>57</v>
      </c>
      <c r="B63" s="4" t="str">
        <f>summary!B48</f>
        <v>ramp tile flooring</v>
      </c>
      <c r="C63" s="4" t="str">
        <f>summary!C48</f>
        <v>rmt</v>
      </c>
      <c r="D63" s="55">
        <v>1</v>
      </c>
      <c r="E63" s="21">
        <v>0</v>
      </c>
      <c r="F63" s="21">
        <v>0</v>
      </c>
      <c r="G63" s="21">
        <f>summary!J48</f>
        <v>11.890243902439025</v>
      </c>
      <c r="H63" s="28">
        <f t="shared" si="0"/>
        <v>11.890243902439025</v>
      </c>
    </row>
    <row r="64" spans="1:8">
      <c r="A64" s="4">
        <v>58</v>
      </c>
      <c r="B64" s="4" t="str">
        <f>summary!B49</f>
        <v>door frame breaking</v>
      </c>
      <c r="C64" s="4" t="str">
        <f>summary!C49</f>
        <v>rmt</v>
      </c>
      <c r="D64" s="55">
        <v>1</v>
      </c>
      <c r="E64" s="21">
        <v>0</v>
      </c>
      <c r="F64" s="21">
        <v>0</v>
      </c>
      <c r="G64" s="21">
        <f>summary!J49</f>
        <v>5.2317073170731714</v>
      </c>
      <c r="H64" s="28">
        <f t="shared" si="0"/>
        <v>5.2317073170731714</v>
      </c>
    </row>
    <row r="65" spans="1:8">
      <c r="A65" s="4">
        <v>59</v>
      </c>
      <c r="B65" s="4" t="str">
        <f>summary!B50</f>
        <v>floor marble otla breaking</v>
      </c>
      <c r="C65" s="4" t="str">
        <f>summary!C50</f>
        <v>smt</v>
      </c>
      <c r="D65" s="55">
        <v>1</v>
      </c>
      <c r="E65" s="21">
        <v>0</v>
      </c>
      <c r="F65" s="21">
        <v>0</v>
      </c>
      <c r="G65" s="21">
        <f>summary!J50</f>
        <v>4.5371058893515768</v>
      </c>
      <c r="H65" s="28">
        <f t="shared" si="0"/>
        <v>4.5371058893515768</v>
      </c>
    </row>
    <row r="66" spans="1:8">
      <c r="A66" s="4">
        <v>60</v>
      </c>
      <c r="B66" s="4" t="str">
        <f>summary!B51</f>
        <v>kaleji  polish</v>
      </c>
      <c r="C66" s="4" t="str">
        <f>summary!C51</f>
        <v>rmt</v>
      </c>
      <c r="D66" s="55">
        <v>1</v>
      </c>
      <c r="E66" s="21">
        <v>0</v>
      </c>
      <c r="F66" s="21">
        <v>0</v>
      </c>
      <c r="G66" s="21">
        <f>summary!J51</f>
        <v>35.132926829268293</v>
      </c>
      <c r="H66" s="28">
        <f t="shared" si="0"/>
        <v>35.132926829268293</v>
      </c>
    </row>
    <row r="67" spans="1:8">
      <c r="A67" s="4">
        <v>61</v>
      </c>
      <c r="B67" s="4" t="str">
        <f>summary!B52</f>
        <v>kaleji  polish</v>
      </c>
      <c r="C67" s="4" t="str">
        <f>summary!C52</f>
        <v>smt</v>
      </c>
      <c r="D67" s="55">
        <v>1</v>
      </c>
      <c r="E67" s="21">
        <v>0</v>
      </c>
      <c r="F67" s="21">
        <v>0</v>
      </c>
      <c r="G67" s="21">
        <f>summary!J52</f>
        <v>0.70289999999999997</v>
      </c>
      <c r="H67" s="28">
        <f t="shared" si="0"/>
        <v>0.70289999999999997</v>
      </c>
    </row>
  </sheetData>
  <mergeCells count="3">
    <mergeCell ref="A1:F1"/>
    <mergeCell ref="A2:I2"/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8D10-8DC4-4CD7-8501-BE716B037FA0}">
  <dimension ref="A1:J52"/>
  <sheetViews>
    <sheetView topLeftCell="A3" workbookViewId="0">
      <selection activeCell="F20" sqref="F20"/>
    </sheetView>
  </sheetViews>
  <sheetFormatPr defaultRowHeight="14.4"/>
  <cols>
    <col min="2" max="2" width="31.5546875" customWidth="1"/>
    <col min="4" max="4" width="7.33203125" customWidth="1"/>
    <col min="5" max="5" width="12" bestFit="1" customWidth="1"/>
    <col min="6" max="6" width="8.6640625" customWidth="1"/>
    <col min="7" max="7" width="11.21875" customWidth="1"/>
    <col min="8" max="8" width="8.88671875" customWidth="1"/>
    <col min="9" max="9" width="12.5546875" customWidth="1"/>
  </cols>
  <sheetData>
    <row r="1" spans="1:10" ht="37.799999999999997" customHeight="1">
      <c r="A1" s="208" t="s">
        <v>9</v>
      </c>
      <c r="B1" s="208"/>
      <c r="C1" s="208"/>
      <c r="D1" s="208"/>
      <c r="E1" s="208"/>
      <c r="F1" s="208"/>
      <c r="G1" s="208"/>
    </row>
    <row r="2" spans="1:10" ht="28.8" customHeight="1">
      <c r="A2" s="209" t="s">
        <v>10</v>
      </c>
      <c r="B2" s="209"/>
      <c r="C2" s="209"/>
      <c r="D2" s="209"/>
      <c r="E2" s="209"/>
      <c r="F2" s="209"/>
      <c r="G2" s="209"/>
      <c r="H2" s="209"/>
      <c r="I2" s="209"/>
      <c r="J2" s="209"/>
    </row>
    <row r="3" spans="1:10" ht="28.8" customHeight="1">
      <c r="A3" s="2"/>
      <c r="B3" s="2"/>
      <c r="C3" s="2"/>
      <c r="D3" s="2"/>
      <c r="E3" s="2"/>
      <c r="F3" s="2"/>
      <c r="G3" s="2"/>
    </row>
    <row r="4" spans="1:10" ht="15.6">
      <c r="A4" s="210" t="s">
        <v>283</v>
      </c>
      <c r="B4" s="210"/>
      <c r="C4" s="210"/>
      <c r="D4" s="210"/>
      <c r="E4" s="210"/>
      <c r="F4" s="210"/>
      <c r="G4" s="210"/>
    </row>
    <row r="6" spans="1:10" s="9" customFormat="1">
      <c r="A6" s="5" t="s">
        <v>284</v>
      </c>
      <c r="B6" s="5" t="s">
        <v>285</v>
      </c>
      <c r="C6" s="5" t="s">
        <v>8</v>
      </c>
      <c r="D6" s="5" t="s">
        <v>7</v>
      </c>
      <c r="E6" s="5" t="s">
        <v>286</v>
      </c>
      <c r="F6" s="5" t="s">
        <v>287</v>
      </c>
      <c r="G6" s="5" t="s">
        <v>288</v>
      </c>
      <c r="H6" s="5" t="s">
        <v>289</v>
      </c>
      <c r="I6" s="5" t="s">
        <v>292</v>
      </c>
      <c r="J6" s="5" t="s">
        <v>290</v>
      </c>
    </row>
    <row r="7" spans="1:10">
      <c r="A7" s="4">
        <v>1</v>
      </c>
      <c r="B7" s="4" t="s">
        <v>236</v>
      </c>
      <c r="C7" s="4" t="str">
        <f>'11thfloor'!E183</f>
        <v>smt</v>
      </c>
      <c r="D7" s="6">
        <v>1</v>
      </c>
      <c r="E7" s="21"/>
      <c r="F7" s="21">
        <f>'11thfloor'!C183</f>
        <v>2.5380168054729331</v>
      </c>
      <c r="G7" s="21"/>
      <c r="H7" s="21"/>
      <c r="I7" s="21"/>
      <c r="J7" s="21">
        <f>SUM(E7:I7)</f>
        <v>2.5380168054729331</v>
      </c>
    </row>
    <row r="8" spans="1:10">
      <c r="A8" s="4">
        <v>2</v>
      </c>
      <c r="B8" s="4" t="s">
        <v>234</v>
      </c>
      <c r="C8" s="4" t="str">
        <f>'11thfloor'!E31</f>
        <v>smt</v>
      </c>
      <c r="D8" s="6">
        <v>1</v>
      </c>
      <c r="E8" s="21"/>
      <c r="F8" s="21">
        <f>'11thfloor'!C28</f>
        <v>0.30208953004164191</v>
      </c>
      <c r="G8" s="21"/>
      <c r="H8" s="21"/>
      <c r="I8" s="21"/>
      <c r="J8" s="21">
        <f t="shared" ref="J8:J52" si="0">SUM(E8:I8)</f>
        <v>0.30208953004164191</v>
      </c>
    </row>
    <row r="9" spans="1:10">
      <c r="A9" s="4">
        <v>3</v>
      </c>
      <c r="B9" s="4" t="s">
        <v>12</v>
      </c>
      <c r="C9" s="4" t="str">
        <f>'10thfloor'!E100</f>
        <v>rmt</v>
      </c>
      <c r="D9" s="6">
        <v>1</v>
      </c>
      <c r="E9" s="21">
        <f>'10thfloor'!C100</f>
        <v>0.79</v>
      </c>
      <c r="F9" s="21"/>
      <c r="G9" s="21"/>
      <c r="H9" s="21">
        <f>'13thfloor'!C7</f>
        <v>2.4060000000000001</v>
      </c>
      <c r="I9" s="21"/>
      <c r="J9" s="21">
        <f t="shared" si="0"/>
        <v>3.1960000000000002</v>
      </c>
    </row>
    <row r="10" spans="1:10">
      <c r="A10" s="4">
        <v>4</v>
      </c>
      <c r="B10" s="4" t="s">
        <v>63</v>
      </c>
      <c r="C10" s="4" t="str">
        <f>'10thfloor'!E14</f>
        <v>smt</v>
      </c>
      <c r="D10" s="6">
        <f>'10thfloor'!D14</f>
        <v>1</v>
      </c>
      <c r="E10" s="21">
        <f>'10thfloor'!C14</f>
        <v>85.926342281380144</v>
      </c>
      <c r="F10" s="21">
        <f>'11thfloor'!C31</f>
        <v>303.03752516359316</v>
      </c>
      <c r="G10" s="21">
        <f>'12thfloor'!C29</f>
        <v>50.084776591314686</v>
      </c>
      <c r="H10" s="21">
        <f>'13thfloor'!C19</f>
        <v>24.351044765020823</v>
      </c>
      <c r="I10" s="21"/>
      <c r="J10" s="21">
        <f t="shared" si="0"/>
        <v>463.3996888013088</v>
      </c>
    </row>
    <row r="11" spans="1:10">
      <c r="A11" s="4">
        <v>5</v>
      </c>
      <c r="B11" s="4" t="s">
        <v>13</v>
      </c>
      <c r="C11" s="4" t="str">
        <f>'10thfloor'!E26</f>
        <v>rmt</v>
      </c>
      <c r="D11" s="6">
        <f>'10thfloor'!D26</f>
        <v>1</v>
      </c>
      <c r="E11" s="21">
        <f>'10thfloor'!C26</f>
        <v>98.016829268292682</v>
      </c>
      <c r="F11" s="21">
        <f>'11thfloor'!C50</f>
        <v>128.159756097561</v>
      </c>
      <c r="G11" s="21">
        <f>'12thfloor'!C37</f>
        <v>69.052560975609765</v>
      </c>
      <c r="H11" s="21">
        <f>'13thfloor'!C10</f>
        <v>36.460878048780486</v>
      </c>
      <c r="I11" s="21"/>
      <c r="J11" s="21">
        <f t="shared" si="0"/>
        <v>331.69002439024393</v>
      </c>
    </row>
    <row r="12" spans="1:10">
      <c r="A12" s="4">
        <v>6</v>
      </c>
      <c r="B12" s="4" t="s">
        <v>181</v>
      </c>
      <c r="C12" s="4" t="str">
        <f>'10thfloor'!E65</f>
        <v>smt</v>
      </c>
      <c r="D12" s="6">
        <v>1</v>
      </c>
      <c r="E12" s="21">
        <f>'10thfloor'!C65</f>
        <v>0.70200000000000007</v>
      </c>
      <c r="F12" s="21">
        <f>'11thfloor'!C149</f>
        <v>34.07412314098751</v>
      </c>
      <c r="G12" s="21"/>
      <c r="H12" s="21"/>
      <c r="I12" s="21"/>
      <c r="J12" s="21">
        <f t="shared" si="0"/>
        <v>34.776123140987508</v>
      </c>
    </row>
    <row r="13" spans="1:10">
      <c r="A13" s="4">
        <v>7</v>
      </c>
      <c r="B13" s="4" t="s">
        <v>274</v>
      </c>
      <c r="C13" s="4" t="str">
        <f>'11thfloor'!E199</f>
        <v>smt</v>
      </c>
      <c r="D13" s="6">
        <v>1</v>
      </c>
      <c r="E13" s="21"/>
      <c r="F13" s="21">
        <f>'11thfloor'!C199</f>
        <v>8.6108471076740045</v>
      </c>
      <c r="G13" s="21"/>
      <c r="H13" s="21"/>
      <c r="I13" s="21"/>
      <c r="J13" s="21">
        <f t="shared" si="0"/>
        <v>8.6108471076740045</v>
      </c>
    </row>
    <row r="14" spans="1:10">
      <c r="A14" s="4">
        <v>8</v>
      </c>
      <c r="B14" t="s">
        <v>442</v>
      </c>
      <c r="C14" s="4" t="s">
        <v>53</v>
      </c>
      <c r="D14" s="6">
        <v>1</v>
      </c>
      <c r="E14" s="21"/>
      <c r="F14" s="21">
        <f>'11thfloor'!C204</f>
        <v>5.7227000000000006</v>
      </c>
      <c r="G14" s="21"/>
      <c r="H14" s="21"/>
      <c r="I14" s="21"/>
      <c r="J14" s="21">
        <f t="shared" si="0"/>
        <v>5.7227000000000006</v>
      </c>
    </row>
    <row r="15" spans="1:10">
      <c r="A15" s="4">
        <v>9</v>
      </c>
      <c r="B15" s="4" t="s">
        <v>272</v>
      </c>
      <c r="C15" s="4" t="str">
        <f>'11thfloor'!E193</f>
        <v>smt</v>
      </c>
      <c r="D15" s="6">
        <v>1</v>
      </c>
      <c r="E15" s="21"/>
      <c r="F15" s="21">
        <f>'11thfloor'!C193</f>
        <v>40.394381618084473</v>
      </c>
      <c r="G15" s="21"/>
      <c r="H15" s="21"/>
      <c r="I15" s="21"/>
      <c r="J15" s="21">
        <f t="shared" si="0"/>
        <v>40.394381618084473</v>
      </c>
    </row>
    <row r="16" spans="1:10">
      <c r="A16" s="4">
        <v>10</v>
      </c>
      <c r="B16" s="4" t="s">
        <v>186</v>
      </c>
      <c r="C16" s="4" t="str">
        <f>'11thfloor'!E193</f>
        <v>smt</v>
      </c>
      <c r="D16" s="6">
        <v>1</v>
      </c>
      <c r="E16" s="21"/>
      <c r="F16" s="21">
        <f>'11thfloor'!C196</f>
        <v>0.43314991076740039</v>
      </c>
      <c r="G16" s="21"/>
      <c r="H16" s="21"/>
      <c r="I16" s="21"/>
      <c r="J16" s="21">
        <f t="shared" si="0"/>
        <v>0.43314991076740039</v>
      </c>
    </row>
    <row r="17" spans="1:10">
      <c r="A17" s="4">
        <v>11</v>
      </c>
      <c r="B17" s="4" t="s">
        <v>74</v>
      </c>
      <c r="C17" s="4" t="str">
        <f>'11thfloor'!E159</f>
        <v>rmt</v>
      </c>
      <c r="D17" s="6">
        <v>1</v>
      </c>
      <c r="E17" s="21"/>
      <c r="F17" s="21">
        <f>'11thfloor'!C159</f>
        <v>19.710365853658537</v>
      </c>
      <c r="G17" s="21"/>
      <c r="H17" s="21"/>
      <c r="I17" s="21">
        <f>Groundfloor!C7</f>
        <v>4.8984146341463415</v>
      </c>
      <c r="J17" s="21">
        <f t="shared" si="0"/>
        <v>24.608780487804879</v>
      </c>
    </row>
    <row r="18" spans="1:10">
      <c r="A18" s="4">
        <v>12</v>
      </c>
      <c r="B18" s="4" t="s">
        <v>294</v>
      </c>
      <c r="C18" s="4" t="str">
        <f>'11thfloor'!E108</f>
        <v>smt</v>
      </c>
      <c r="D18" s="6">
        <v>1</v>
      </c>
      <c r="E18" s="60">
        <f>'10thfloor'!C43</f>
        <v>1.1414634146341465</v>
      </c>
      <c r="F18" s="21">
        <f>'11thfloor'!C108</f>
        <v>2.148518738845925</v>
      </c>
      <c r="G18" s="21"/>
      <c r="H18" s="21"/>
      <c r="I18" s="21"/>
      <c r="J18" s="21">
        <f t="shared" si="0"/>
        <v>3.2899821534800715</v>
      </c>
    </row>
    <row r="19" spans="1:10">
      <c r="A19" s="4">
        <v>13</v>
      </c>
      <c r="B19" s="4" t="s">
        <v>187</v>
      </c>
      <c r="C19" s="4" t="str">
        <f>'10thfloor'!E103</f>
        <v>smt</v>
      </c>
      <c r="D19" s="6">
        <v>1</v>
      </c>
      <c r="E19" s="21">
        <f>'10thfloor'!C103</f>
        <v>2.0000000000000004E-2</v>
      </c>
      <c r="F19" s="21">
        <f>'11thfloor'!C22</f>
        <v>7.9141932183224277</v>
      </c>
      <c r="G19" s="21"/>
      <c r="H19" s="21">
        <f>'13thfloor'!C33</f>
        <v>2.9699999999999998</v>
      </c>
      <c r="I19" s="21"/>
      <c r="J19" s="21">
        <f t="shared" si="0"/>
        <v>10.904193218322426</v>
      </c>
    </row>
    <row r="20" spans="1:10">
      <c r="A20" s="4">
        <v>14</v>
      </c>
      <c r="B20" s="4" t="s">
        <v>187</v>
      </c>
      <c r="C20" s="4" t="str">
        <f>'11thfloor'!E142</f>
        <v>rmt</v>
      </c>
      <c r="D20" s="6">
        <v>1</v>
      </c>
      <c r="E20" s="21"/>
      <c r="F20" s="21">
        <f>'11thfloor'!C142</f>
        <v>9.4512195121951219</v>
      </c>
      <c r="G20" s="21"/>
      <c r="H20" s="21"/>
      <c r="I20" s="21"/>
      <c r="J20" s="21">
        <f t="shared" si="0"/>
        <v>9.4512195121951219</v>
      </c>
    </row>
    <row r="21" spans="1:10">
      <c r="A21" s="4">
        <v>15</v>
      </c>
      <c r="B21" s="4" t="s">
        <v>106</v>
      </c>
      <c r="C21" s="4" t="str">
        <f>'10thfloor'!E53</f>
        <v>rmt</v>
      </c>
      <c r="D21" s="6">
        <f>'10thfloor'!D53</f>
        <v>1</v>
      </c>
      <c r="E21" s="21">
        <f>'10thfloor'!C53</f>
        <v>6.0534146341463417</v>
      </c>
      <c r="F21" s="21">
        <f>'11thfloor'!C211</f>
        <v>28.44</v>
      </c>
      <c r="G21" s="21"/>
      <c r="H21" s="21"/>
      <c r="I21" s="21"/>
      <c r="J21" s="21">
        <f t="shared" si="0"/>
        <v>34.49341463414634</v>
      </c>
    </row>
    <row r="22" spans="1:10">
      <c r="A22" s="4">
        <v>16</v>
      </c>
      <c r="B22" s="4" t="s">
        <v>107</v>
      </c>
      <c r="C22" s="4" t="str">
        <f>'10thfloor'!E57</f>
        <v>rmt</v>
      </c>
      <c r="D22" s="6">
        <v>1</v>
      </c>
      <c r="E22" s="21">
        <f>'10thfloor'!C57</f>
        <v>8.6817073170731707</v>
      </c>
      <c r="F22" s="21">
        <f>'11thfloor'!C214</f>
        <v>38.1</v>
      </c>
      <c r="G22" s="21"/>
      <c r="H22" s="21"/>
      <c r="I22" s="21"/>
      <c r="J22" s="21">
        <f t="shared" si="0"/>
        <v>46.78170731707317</v>
      </c>
    </row>
    <row r="23" spans="1:10">
      <c r="A23" s="4">
        <v>17</v>
      </c>
      <c r="B23" s="4" t="s">
        <v>108</v>
      </c>
      <c r="C23" s="4" t="str">
        <f>'10thfloor'!E61</f>
        <v>rmt</v>
      </c>
      <c r="D23" s="6">
        <v>1</v>
      </c>
      <c r="E23" s="21">
        <f>'10thfloor'!C61</f>
        <v>8.6817073170731707</v>
      </c>
      <c r="F23" s="21">
        <f>'11thfloor'!C218</f>
        <v>23.39</v>
      </c>
      <c r="G23" s="21"/>
      <c r="H23" s="21"/>
      <c r="I23" s="21"/>
      <c r="J23" s="21">
        <f t="shared" si="0"/>
        <v>32.071707317073169</v>
      </c>
    </row>
    <row r="24" spans="1:10">
      <c r="A24" s="4">
        <v>18</v>
      </c>
      <c r="B24" s="4" t="s">
        <v>144</v>
      </c>
      <c r="C24" s="4" t="str">
        <f>'10thfloor'!E86</f>
        <v>rmt</v>
      </c>
      <c r="D24" s="6">
        <v>1</v>
      </c>
      <c r="E24" s="21">
        <f>'10thfloor'!C86</f>
        <v>6.96</v>
      </c>
      <c r="F24" s="21">
        <f>'11thfloor'!C131</f>
        <v>78.238926829268294</v>
      </c>
      <c r="G24" s="21"/>
      <c r="H24" s="21"/>
      <c r="I24" s="21"/>
      <c r="J24" s="21">
        <f t="shared" si="0"/>
        <v>85.198926829268288</v>
      </c>
    </row>
    <row r="25" spans="1:10">
      <c r="A25" s="4">
        <v>19</v>
      </c>
      <c r="B25" s="4" t="s">
        <v>25</v>
      </c>
      <c r="C25" s="4" t="str">
        <f>'11thfloor'!E189</f>
        <v>rmt</v>
      </c>
      <c r="D25" s="6">
        <v>1</v>
      </c>
      <c r="E25" s="21">
        <f>'10thfloor'!C113</f>
        <v>6.6775609756097563</v>
      </c>
      <c r="F25" s="21">
        <f>'11thfloor'!C189</f>
        <v>3.8400000000000003</v>
      </c>
      <c r="G25" s="21">
        <f>'12thfloor'!C26</f>
        <v>1.6006097560975612</v>
      </c>
      <c r="H25" s="21"/>
      <c r="I25" s="21">
        <f>Groundfloor!C18</f>
        <v>1.52</v>
      </c>
      <c r="J25" s="21">
        <f t="shared" si="0"/>
        <v>13.638170731707318</v>
      </c>
    </row>
    <row r="26" spans="1:10">
      <c r="A26" s="4">
        <v>20</v>
      </c>
      <c r="B26" s="4" t="s">
        <v>145</v>
      </c>
      <c r="C26" s="4" t="str">
        <f>'11thfloor'!E138</f>
        <v>rmt</v>
      </c>
      <c r="D26" s="6">
        <v>1</v>
      </c>
      <c r="E26" s="21"/>
      <c r="F26" s="21">
        <f>'11thfloor'!C138</f>
        <v>9.5975609756097562</v>
      </c>
      <c r="G26" s="21"/>
      <c r="H26" s="21"/>
      <c r="I26" s="21"/>
      <c r="J26" s="21">
        <f t="shared" si="0"/>
        <v>9.5975609756097562</v>
      </c>
    </row>
    <row r="27" spans="1:10">
      <c r="A27" s="4">
        <v>21</v>
      </c>
      <c r="B27" s="4" t="s">
        <v>37</v>
      </c>
      <c r="C27" s="4" t="str">
        <f>'10thfloor'!E6</f>
        <v>rmt</v>
      </c>
      <c r="D27" s="59">
        <v>1</v>
      </c>
      <c r="E27" s="21">
        <f>'10thfloor'!C6</f>
        <v>383.45817073170736</v>
      </c>
      <c r="F27" s="21">
        <f>'11thfloor'!C63</f>
        <v>564.57065853658537</v>
      </c>
      <c r="G27" s="21"/>
      <c r="H27" s="21"/>
      <c r="I27" s="21"/>
      <c r="J27" s="21">
        <f t="shared" si="0"/>
        <v>948.02882926829272</v>
      </c>
    </row>
    <row r="28" spans="1:10">
      <c r="A28" s="4">
        <v>22</v>
      </c>
      <c r="B28" s="4" t="s">
        <v>276</v>
      </c>
      <c r="C28" s="4" t="str">
        <f>'10thfloor'!E23</f>
        <v>rmt</v>
      </c>
      <c r="D28" s="6">
        <f>'10thfloor'!D23</f>
        <v>1</v>
      </c>
      <c r="E28" s="21">
        <f>'10thfloor'!C23</f>
        <v>4.3932926829268295</v>
      </c>
      <c r="F28" s="21"/>
      <c r="G28" s="21"/>
      <c r="H28" s="21"/>
      <c r="I28" s="21"/>
      <c r="J28" s="21">
        <f t="shared" si="0"/>
        <v>4.3932926829268295</v>
      </c>
    </row>
    <row r="29" spans="1:10">
      <c r="A29" s="4">
        <v>23</v>
      </c>
      <c r="B29" s="4" t="s">
        <v>97</v>
      </c>
      <c r="C29" s="4" t="s">
        <v>14</v>
      </c>
      <c r="D29" s="6">
        <v>1</v>
      </c>
      <c r="E29" s="60">
        <f>'10thfloor'!C36</f>
        <v>1.2869999999999999</v>
      </c>
      <c r="F29" s="21">
        <f>'11thfloor'!C100</f>
        <v>1.8536585365853659</v>
      </c>
      <c r="G29" s="21"/>
      <c r="H29" s="21"/>
      <c r="I29" s="21"/>
      <c r="J29" s="21">
        <f t="shared" si="0"/>
        <v>3.1406585365853656</v>
      </c>
    </row>
    <row r="30" spans="1:10">
      <c r="A30" s="4">
        <v>24</v>
      </c>
      <c r="B30" s="4" t="s">
        <v>101</v>
      </c>
      <c r="C30" s="4" t="s">
        <v>14</v>
      </c>
      <c r="D30" s="6">
        <v>1</v>
      </c>
      <c r="E30" s="60">
        <f>'10thfloor'!C39</f>
        <v>0.99085365853658547</v>
      </c>
      <c r="F30" s="21">
        <f>'11thfloor'!C104</f>
        <v>0.83841463414634154</v>
      </c>
      <c r="G30" s="21"/>
      <c r="H30" s="21"/>
      <c r="I30" s="21"/>
      <c r="J30" s="21">
        <f t="shared" si="0"/>
        <v>1.8292682926829271</v>
      </c>
    </row>
    <row r="31" spans="1:10">
      <c r="A31" s="4">
        <v>25</v>
      </c>
      <c r="B31" s="4" t="s">
        <v>322</v>
      </c>
      <c r="C31" s="4" t="str">
        <f>'11thfloor'!E113</f>
        <v>rmt</v>
      </c>
      <c r="D31" s="6">
        <v>1</v>
      </c>
      <c r="E31" s="60">
        <f>'10thfloor'!C46</f>
        <v>6.0762195121951228</v>
      </c>
      <c r="F31" s="21">
        <f>'11thfloor'!C113</f>
        <v>3.8</v>
      </c>
      <c r="G31" s="21"/>
      <c r="H31" s="21"/>
      <c r="I31" s="21"/>
      <c r="J31" s="21">
        <f t="shared" si="0"/>
        <v>9.8762195121951226</v>
      </c>
    </row>
    <row r="32" spans="1:10">
      <c r="A32" s="4">
        <v>26</v>
      </c>
      <c r="B32" s="4" t="s">
        <v>200</v>
      </c>
      <c r="C32" s="4" t="str">
        <f>'10thfloor'!E95</f>
        <v>rmt</v>
      </c>
      <c r="D32" s="6">
        <v>1</v>
      </c>
      <c r="E32" s="21">
        <f>'10thfloor'!C95</f>
        <v>2.6046341463414633</v>
      </c>
      <c r="F32" s="21">
        <f>'11thfloor'!C166</f>
        <v>4.3764402214574298</v>
      </c>
      <c r="G32" s="21"/>
      <c r="H32" s="21"/>
      <c r="I32" s="21"/>
      <c r="J32" s="21">
        <f t="shared" si="0"/>
        <v>6.9810743677988931</v>
      </c>
    </row>
    <row r="33" spans="1:10">
      <c r="A33" s="4">
        <v>27</v>
      </c>
      <c r="B33" s="4" t="s">
        <v>277</v>
      </c>
      <c r="C33" s="4" t="str">
        <f>'10thfloor'!E68</f>
        <v>rmt</v>
      </c>
      <c r="D33" s="6">
        <v>1</v>
      </c>
      <c r="E33" s="21">
        <f>'10thfloor'!C68</f>
        <v>14.211951219512196</v>
      </c>
      <c r="F33" s="21">
        <f>'11thfloor'!C172</f>
        <v>6.191074367798894</v>
      </c>
      <c r="G33" s="21">
        <f>'12thfloor'!C10</f>
        <v>6.5500000000000007</v>
      </c>
      <c r="H33" s="21"/>
      <c r="I33" s="21"/>
      <c r="J33" s="21">
        <f t="shared" si="0"/>
        <v>26.953025587311092</v>
      </c>
    </row>
    <row r="34" spans="1:10">
      <c r="A34" s="4">
        <v>28</v>
      </c>
      <c r="B34" s="4" t="s">
        <v>69</v>
      </c>
      <c r="C34" s="4" t="str">
        <f>'10thfloor'!E76</f>
        <v>rmt</v>
      </c>
      <c r="D34" s="6">
        <v>1</v>
      </c>
      <c r="E34" s="21">
        <f>'10thfloor'!C76</f>
        <v>19.216707317073173</v>
      </c>
      <c r="F34" s="21">
        <f>'11thfloor'!C86</f>
        <v>130.28236585365852</v>
      </c>
      <c r="G34" s="21">
        <f>'12thfloor'!C15</f>
        <v>7.520975609756098</v>
      </c>
      <c r="H34" s="21"/>
      <c r="I34" s="21">
        <f>Groundfloor!C11</f>
        <v>5.7368292682926825</v>
      </c>
      <c r="J34" s="21">
        <f t="shared" si="0"/>
        <v>162.75687804878049</v>
      </c>
    </row>
    <row r="35" spans="1:10">
      <c r="A35" s="4">
        <v>29</v>
      </c>
      <c r="B35" s="4" t="s">
        <v>119</v>
      </c>
      <c r="C35" s="4" t="str">
        <f>'10thfloor'!E82</f>
        <v>rmt</v>
      </c>
      <c r="D35" s="6">
        <v>1</v>
      </c>
      <c r="E35" s="21">
        <f>'10thfloor'!C82</f>
        <v>15.035853658536585</v>
      </c>
      <c r="F35" s="21">
        <f>'11thfloor'!C14</f>
        <v>117.82195121951219</v>
      </c>
      <c r="G35" s="21">
        <f>'12thfloor'!C19</f>
        <v>7.5265853658536592</v>
      </c>
      <c r="H35" s="21"/>
      <c r="I35" s="21">
        <f>Groundfloor!C15</f>
        <v>5.7368292682926825</v>
      </c>
      <c r="J35" s="21">
        <f t="shared" si="0"/>
        <v>146.12121951219513</v>
      </c>
    </row>
    <row r="36" spans="1:10">
      <c r="A36" s="4">
        <v>30</v>
      </c>
      <c r="B36" s="4" t="s">
        <v>125</v>
      </c>
      <c r="C36" s="4" t="s">
        <v>14</v>
      </c>
      <c r="D36" s="6">
        <v>1</v>
      </c>
      <c r="E36" s="21">
        <f>'10thfloor'!C89</f>
        <v>41.845365853658535</v>
      </c>
      <c r="F36" s="21"/>
      <c r="G36" s="21"/>
      <c r="H36" s="21"/>
      <c r="I36" s="21"/>
      <c r="J36" s="21">
        <f t="shared" si="0"/>
        <v>41.845365853658535</v>
      </c>
    </row>
    <row r="37" spans="1:10">
      <c r="A37" s="4">
        <v>31</v>
      </c>
      <c r="B37" s="4" t="s">
        <v>278</v>
      </c>
      <c r="C37" s="4" t="str">
        <f>'10thfloor'!E92</f>
        <v>rmt</v>
      </c>
      <c r="D37" s="6">
        <v>1</v>
      </c>
      <c r="E37" s="21">
        <f>'10thfloor'!C92</f>
        <v>42.303902439024398</v>
      </c>
      <c r="F37" s="21"/>
      <c r="G37" s="21"/>
      <c r="H37" s="21"/>
      <c r="I37" s="21"/>
      <c r="J37" s="21">
        <f t="shared" si="0"/>
        <v>42.303902439024398</v>
      </c>
    </row>
    <row r="38" spans="1:10">
      <c r="A38" s="4">
        <v>32</v>
      </c>
      <c r="B38" s="4" t="s">
        <v>275</v>
      </c>
      <c r="C38" s="4" t="str">
        <f>'10thfloor'!E106</f>
        <v>rmt</v>
      </c>
      <c r="D38" s="6">
        <v>1</v>
      </c>
      <c r="E38" s="21">
        <f>'10thfloor'!C106</f>
        <v>2.35</v>
      </c>
      <c r="F38" s="21">
        <f>'11thfloor'!C207</f>
        <v>13.466463414634147</v>
      </c>
      <c r="G38" s="21"/>
      <c r="H38" s="21"/>
      <c r="I38" s="21"/>
      <c r="J38" s="21">
        <f t="shared" si="0"/>
        <v>15.816463414634146</v>
      </c>
    </row>
    <row r="39" spans="1:10">
      <c r="A39" s="4">
        <v>33</v>
      </c>
      <c r="B39" s="4" t="s">
        <v>232</v>
      </c>
      <c r="C39" s="4" t="str">
        <f>'10thfloor'!E109</f>
        <v>rmt</v>
      </c>
      <c r="D39" s="6">
        <v>1</v>
      </c>
      <c r="E39" s="21">
        <f>'10thfloor'!C109</f>
        <v>17.419024390243901</v>
      </c>
      <c r="F39" s="21">
        <f>'11thfloor'!C81</f>
        <v>13.65329268292683</v>
      </c>
      <c r="G39" s="21"/>
      <c r="H39" s="21"/>
      <c r="I39" s="21"/>
      <c r="J39" s="21">
        <f t="shared" si="0"/>
        <v>31.07231707317073</v>
      </c>
    </row>
    <row r="40" spans="1:10">
      <c r="A40" s="4">
        <v>34</v>
      </c>
      <c r="B40" s="4" t="s">
        <v>31</v>
      </c>
      <c r="C40" s="4" t="str">
        <f>'11thfloor'!E7</f>
        <v>rmt</v>
      </c>
      <c r="D40" s="6">
        <v>1</v>
      </c>
      <c r="E40" s="21"/>
      <c r="F40" s="21">
        <f>'11thfloor'!C7</f>
        <v>13.690609756097562</v>
      </c>
      <c r="G40" s="21"/>
      <c r="H40" s="21"/>
      <c r="I40" s="21"/>
      <c r="J40" s="21">
        <f t="shared" si="0"/>
        <v>13.690609756097562</v>
      </c>
    </row>
    <row r="41" spans="1:10">
      <c r="A41" s="4">
        <v>35</v>
      </c>
      <c r="B41" s="4" t="s">
        <v>79</v>
      </c>
      <c r="C41" s="4" t="str">
        <f>'11thfloor'!E73</f>
        <v>rmt</v>
      </c>
      <c r="D41" s="6">
        <v>1</v>
      </c>
      <c r="E41" s="21"/>
      <c r="F41" s="21">
        <f>'11thfloor'!C73</f>
        <v>2.9299999999999997</v>
      </c>
      <c r="G41" s="21"/>
      <c r="H41" s="21"/>
      <c r="I41" s="21"/>
      <c r="J41" s="21">
        <f t="shared" si="0"/>
        <v>2.9299999999999997</v>
      </c>
    </row>
    <row r="42" spans="1:10">
      <c r="A42" s="4">
        <v>36</v>
      </c>
      <c r="B42" s="4" t="s">
        <v>67</v>
      </c>
      <c r="C42" s="4" t="str">
        <f>'11thfloor'!E77</f>
        <v>smt</v>
      </c>
      <c r="D42" s="6">
        <v>1</v>
      </c>
      <c r="E42" s="21"/>
      <c r="F42" s="21">
        <f>'11thfloor'!C77</f>
        <v>1.3300327781082688</v>
      </c>
      <c r="G42" s="21"/>
      <c r="H42" s="21"/>
      <c r="I42" s="21"/>
      <c r="J42" s="21">
        <f t="shared" si="0"/>
        <v>1.3300327781082688</v>
      </c>
    </row>
    <row r="43" spans="1:10">
      <c r="A43" s="4">
        <v>37</v>
      </c>
      <c r="B43" s="4" t="s">
        <v>95</v>
      </c>
      <c r="C43" s="4" t="str">
        <f>'11thfloor'!E117</f>
        <v>rmt</v>
      </c>
      <c r="D43" s="6">
        <v>1</v>
      </c>
      <c r="E43" s="21">
        <f>'10thfloor'!C50</f>
        <v>0.99085365853658547</v>
      </c>
      <c r="F43" s="21">
        <f>'11thfloor'!C117</f>
        <v>8.2804878048780495</v>
      </c>
      <c r="G43" s="21"/>
      <c r="H43" s="21"/>
      <c r="I43" s="21"/>
      <c r="J43" s="21">
        <f t="shared" si="0"/>
        <v>9.2713414634146343</v>
      </c>
    </row>
    <row r="44" spans="1:10">
      <c r="A44" s="4">
        <v>38</v>
      </c>
      <c r="B44" s="4" t="s">
        <v>239</v>
      </c>
      <c r="C44" s="4" t="str">
        <f>'11thfloor'!E186</f>
        <v>smt</v>
      </c>
      <c r="D44" s="6">
        <v>1</v>
      </c>
      <c r="E44" s="21"/>
      <c r="F44" s="21">
        <f>'11thfloor'!C186</f>
        <v>4.161864217727544</v>
      </c>
      <c r="G44" s="21"/>
      <c r="H44" s="21"/>
      <c r="I44" s="21"/>
      <c r="J44" s="21">
        <f t="shared" si="0"/>
        <v>4.161864217727544</v>
      </c>
    </row>
    <row r="45" spans="1:10">
      <c r="A45" s="4">
        <v>39</v>
      </c>
      <c r="B45" s="4" t="s">
        <v>271</v>
      </c>
      <c r="C45" s="4" t="str">
        <f>'11thfloor'!E154</f>
        <v>rmt</v>
      </c>
      <c r="D45" s="6">
        <v>1</v>
      </c>
      <c r="E45" s="21"/>
      <c r="F45" s="21">
        <f>'11thfloor'!C154</f>
        <v>13.795731707317074</v>
      </c>
      <c r="G45" s="21">
        <f>'12thfloor'!C7</f>
        <v>2.73</v>
      </c>
      <c r="H45" s="21"/>
      <c r="I45" s="21"/>
      <c r="J45" s="21">
        <f t="shared" si="0"/>
        <v>16.525731707317075</v>
      </c>
    </row>
    <row r="46" spans="1:10">
      <c r="A46" s="4">
        <v>40</v>
      </c>
      <c r="B46" s="4" t="s">
        <v>269</v>
      </c>
      <c r="C46" s="4" t="str">
        <f>'11thfloor'!E121</f>
        <v>rmt</v>
      </c>
      <c r="D46" s="6">
        <v>1</v>
      </c>
      <c r="E46" s="21"/>
      <c r="F46" s="21">
        <f>'11thfloor'!C121</f>
        <v>6.0945121951219514</v>
      </c>
      <c r="G46" s="21">
        <f>'12thfloor'!C23</f>
        <v>2.73</v>
      </c>
      <c r="H46" s="21"/>
      <c r="I46" s="21"/>
      <c r="J46" s="21">
        <f t="shared" si="0"/>
        <v>8.824512195121951</v>
      </c>
    </row>
    <row r="47" spans="1:10">
      <c r="A47" s="4">
        <v>41</v>
      </c>
      <c r="B47" s="4" t="s">
        <v>293</v>
      </c>
      <c r="C47" s="4" t="str">
        <f>'11thfloor'!E125</f>
        <v>rmt</v>
      </c>
      <c r="D47" s="6">
        <v>1</v>
      </c>
      <c r="E47" s="21"/>
      <c r="F47" s="21">
        <f>'11thfloor'!C125</f>
        <v>44.265243902439025</v>
      </c>
      <c r="G47" s="21"/>
      <c r="H47" s="21"/>
      <c r="I47" s="21"/>
      <c r="J47" s="21">
        <f t="shared" si="0"/>
        <v>44.265243902439025</v>
      </c>
    </row>
    <row r="48" spans="1:10">
      <c r="A48" s="4">
        <v>42</v>
      </c>
      <c r="B48" s="4" t="s">
        <v>160</v>
      </c>
      <c r="C48" s="4" t="str">
        <f>'11thfloor'!E146</f>
        <v>rmt</v>
      </c>
      <c r="D48" s="6">
        <v>1</v>
      </c>
      <c r="E48" s="21"/>
      <c r="F48" s="21">
        <f>'11thfloor'!C146</f>
        <v>11.890243902439025</v>
      </c>
      <c r="G48" s="21"/>
      <c r="H48" s="21"/>
      <c r="I48" s="21"/>
      <c r="J48" s="21">
        <f t="shared" si="0"/>
        <v>11.890243902439025</v>
      </c>
    </row>
    <row r="49" spans="1:10">
      <c r="A49" s="4">
        <v>43</v>
      </c>
      <c r="B49" s="4" t="s">
        <v>273</v>
      </c>
      <c r="C49" s="4" t="str">
        <f>'11thfloor'!E163</f>
        <v>rmt</v>
      </c>
      <c r="D49" s="6">
        <v>1</v>
      </c>
      <c r="E49" s="21"/>
      <c r="F49" s="21">
        <f>'11thfloor'!C163</f>
        <v>5.2317073170731714</v>
      </c>
      <c r="G49" s="21"/>
      <c r="H49" s="21"/>
      <c r="I49" s="21"/>
      <c r="J49" s="21">
        <f t="shared" si="0"/>
        <v>5.2317073170731714</v>
      </c>
    </row>
    <row r="50" spans="1:10">
      <c r="A50" s="4">
        <v>44</v>
      </c>
      <c r="B50" s="4" t="s">
        <v>235</v>
      </c>
      <c r="C50" s="4" t="str">
        <f>'11thfloor'!E180</f>
        <v>smt</v>
      </c>
      <c r="D50" s="6">
        <v>1</v>
      </c>
      <c r="E50" s="21"/>
      <c r="F50" s="21">
        <f>'11thfloor'!C180</f>
        <v>4.5371058893515768</v>
      </c>
      <c r="G50" s="21"/>
      <c r="H50" s="21"/>
      <c r="I50" s="21"/>
      <c r="J50" s="21">
        <f t="shared" si="0"/>
        <v>4.5371058893515768</v>
      </c>
    </row>
    <row r="51" spans="1:10">
      <c r="A51" s="4">
        <v>45</v>
      </c>
      <c r="B51" s="4" t="s">
        <v>265</v>
      </c>
      <c r="C51" s="4" t="str">
        <f>'13thfloor'!E27</f>
        <v>rmt</v>
      </c>
      <c r="D51" s="6">
        <v>1</v>
      </c>
      <c r="E51" s="21"/>
      <c r="F51" s="21"/>
      <c r="G51" s="21"/>
      <c r="H51" s="21">
        <f>'13thfloor'!C27</f>
        <v>35.132926829268293</v>
      </c>
      <c r="I51" s="21"/>
      <c r="J51" s="21">
        <f t="shared" si="0"/>
        <v>35.132926829268293</v>
      </c>
    </row>
    <row r="52" spans="1:10">
      <c r="A52" s="4">
        <v>46</v>
      </c>
      <c r="B52" s="4" t="s">
        <v>265</v>
      </c>
      <c r="C52" s="4" t="str">
        <f>'13thfloor'!E30</f>
        <v>smt</v>
      </c>
      <c r="D52" s="6">
        <v>1</v>
      </c>
      <c r="E52" s="21"/>
      <c r="F52" s="21"/>
      <c r="G52" s="21"/>
      <c r="H52" s="21">
        <f>'13thfloor'!C30</f>
        <v>0.70289999999999997</v>
      </c>
      <c r="I52" s="21"/>
      <c r="J52" s="21">
        <f t="shared" si="0"/>
        <v>0.70289999999999997</v>
      </c>
    </row>
  </sheetData>
  <mergeCells count="3">
    <mergeCell ref="A1:G1"/>
    <mergeCell ref="A2:J2"/>
    <mergeCell ref="A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DEC6-78FD-49A1-AE6F-67412113A7B0}">
  <dimension ref="A1:I114"/>
  <sheetViews>
    <sheetView topLeftCell="A103" zoomScale="92" workbookViewId="0">
      <selection activeCell="D7" sqref="D7:D12"/>
    </sheetView>
  </sheetViews>
  <sheetFormatPr defaultRowHeight="14.4"/>
  <cols>
    <col min="2" max="2" width="28" customWidth="1"/>
  </cols>
  <sheetData>
    <row r="1" spans="1:9" ht="21">
      <c r="A1" s="211" t="s">
        <v>9</v>
      </c>
      <c r="B1" s="211"/>
      <c r="C1" s="211"/>
      <c r="D1" s="211"/>
      <c r="E1" s="211"/>
      <c r="F1" s="211"/>
      <c r="G1" s="211"/>
    </row>
    <row r="2" spans="1:9">
      <c r="A2" s="212" t="s">
        <v>10</v>
      </c>
      <c r="B2" s="212"/>
      <c r="C2" s="212"/>
      <c r="D2" s="212"/>
      <c r="E2" s="212"/>
      <c r="F2" s="212"/>
      <c r="G2" s="212"/>
      <c r="H2" s="212"/>
      <c r="I2" s="212"/>
    </row>
    <row r="3" spans="1:9">
      <c r="A3" s="2"/>
      <c r="B3" s="213" t="s">
        <v>369</v>
      </c>
      <c r="C3" s="213"/>
      <c r="D3" s="213"/>
      <c r="E3" s="213"/>
      <c r="F3" s="213"/>
      <c r="G3" s="2"/>
      <c r="H3" s="2"/>
      <c r="I3" s="2"/>
    </row>
    <row r="4" spans="1:9">
      <c r="D4" s="44"/>
    </row>
    <row r="5" spans="1:9">
      <c r="A5" s="45" t="s">
        <v>0</v>
      </c>
      <c r="B5" s="45" t="s">
        <v>1</v>
      </c>
      <c r="C5" s="45" t="s">
        <v>264</v>
      </c>
      <c r="D5" s="46" t="s">
        <v>7</v>
      </c>
      <c r="E5" s="45" t="s">
        <v>8</v>
      </c>
      <c r="F5" s="47"/>
      <c r="G5" s="47"/>
      <c r="H5" s="47"/>
      <c r="I5" s="47"/>
    </row>
    <row r="6" spans="1:9" s="9" customFormat="1">
      <c r="A6" s="5">
        <v>1</v>
      </c>
      <c r="B6" s="5" t="s">
        <v>37</v>
      </c>
      <c r="C6" s="5">
        <f>SUM(C7:C12)</f>
        <v>383.45817073170736</v>
      </c>
      <c r="D6" s="10">
        <v>1</v>
      </c>
      <c r="E6" s="5" t="s">
        <v>14</v>
      </c>
    </row>
    <row r="7" spans="1:9">
      <c r="A7" s="4"/>
      <c r="B7" s="4" t="str">
        <f>Sheet1!B144</f>
        <v>Guest Bathroom tile grouting</v>
      </c>
      <c r="C7" s="4">
        <f>Sheet1!G153</f>
        <v>63.403536585365856</v>
      </c>
      <c r="D7" s="6">
        <v>1</v>
      </c>
      <c r="E7" s="4" t="s">
        <v>14</v>
      </c>
    </row>
    <row r="8" spans="1:9">
      <c r="A8" s="4"/>
      <c r="B8" s="4" t="str">
        <f>Sheet1!B154</f>
        <v>Utility wall tile grouting</v>
      </c>
      <c r="C8" s="4">
        <f>Sheet1!G160</f>
        <v>114.72463414634146</v>
      </c>
      <c r="D8" s="6">
        <v>1</v>
      </c>
      <c r="E8" s="4" t="s">
        <v>14</v>
      </c>
    </row>
    <row r="9" spans="1:9">
      <c r="A9" s="4"/>
      <c r="B9" s="4" t="str">
        <f>Sheet1!B161</f>
        <v>Servent Bedroom grouting</v>
      </c>
      <c r="C9" s="4">
        <f>Sheet1!G165</f>
        <v>43.419999999999995</v>
      </c>
      <c r="D9" s="6">
        <v>1</v>
      </c>
      <c r="E9" s="4" t="s">
        <v>14</v>
      </c>
    </row>
    <row r="10" spans="1:9">
      <c r="A10" s="4"/>
      <c r="B10" s="4" t="str">
        <f>Sheet1!B166</f>
        <v>Kids Bathroom grouting</v>
      </c>
      <c r="C10" s="4">
        <f>Sheet1!G171</f>
        <v>74.98</v>
      </c>
      <c r="D10" s="6">
        <v>1</v>
      </c>
      <c r="E10" s="4" t="s">
        <v>14</v>
      </c>
    </row>
    <row r="11" spans="1:9">
      <c r="A11" s="4"/>
      <c r="B11" s="4" t="str">
        <f>Sheet1!B172</f>
        <v>Balcony Flooring grouting</v>
      </c>
      <c r="C11" s="4">
        <f>Sheet1!G175</f>
        <v>21.16</v>
      </c>
      <c r="D11" s="6">
        <v>1</v>
      </c>
      <c r="E11" s="4" t="s">
        <v>14</v>
      </c>
    </row>
    <row r="12" spans="1:9">
      <c r="A12" s="4"/>
      <c r="B12" s="4" t="str">
        <f>Sheet1!B176</f>
        <v>Kids bedroom grouting</v>
      </c>
      <c r="C12" s="4">
        <f>Sheet1!G179</f>
        <v>65.77000000000001</v>
      </c>
      <c r="D12" s="6">
        <v>1</v>
      </c>
      <c r="E12" s="4" t="s">
        <v>14</v>
      </c>
    </row>
    <row r="13" spans="1:9">
      <c r="A13" s="4"/>
      <c r="B13" s="4"/>
      <c r="C13" s="4"/>
      <c r="D13" s="4"/>
      <c r="E13" s="4"/>
    </row>
    <row r="14" spans="1:9" s="9" customFormat="1">
      <c r="A14" s="5">
        <v>2</v>
      </c>
      <c r="B14" s="5" t="str">
        <f>Sheet2!B9</f>
        <v>marble flooring polish</v>
      </c>
      <c r="C14" s="28">
        <f>SUM(C15:C21)</f>
        <v>85.926342281380144</v>
      </c>
      <c r="D14" s="10">
        <v>1</v>
      </c>
      <c r="E14" s="5" t="s">
        <v>53</v>
      </c>
    </row>
    <row r="15" spans="1:9">
      <c r="A15" s="4"/>
      <c r="B15" s="4" t="str">
        <f>Sheet2!B8</f>
        <v>Kids room</v>
      </c>
      <c r="C15" s="21">
        <f>Sheet2!I9</f>
        <v>26.019668352171333</v>
      </c>
      <c r="D15" s="6">
        <v>1</v>
      </c>
      <c r="E15" s="4" t="s">
        <v>53</v>
      </c>
    </row>
    <row r="16" spans="1:9">
      <c r="A16" s="4"/>
      <c r="B16" s="4" t="str">
        <f>Sheet2!B26</f>
        <v>passage</v>
      </c>
      <c r="C16" s="21">
        <f>Sheet2!I27</f>
        <v>4.6028963414634152</v>
      </c>
      <c r="D16" s="6">
        <v>1</v>
      </c>
      <c r="E16" s="4" t="s">
        <v>53</v>
      </c>
    </row>
    <row r="17" spans="1:5">
      <c r="A17" s="4"/>
      <c r="B17" s="4" t="str">
        <f>Sheet2!B31</f>
        <v>Master Bedroom 1</v>
      </c>
      <c r="C17" s="21">
        <f>Sheet2!I32</f>
        <v>15.090199999999999</v>
      </c>
      <c r="D17" s="6">
        <v>1</v>
      </c>
      <c r="E17" s="4" t="s">
        <v>53</v>
      </c>
    </row>
    <row r="18" spans="1:5">
      <c r="A18" s="4"/>
      <c r="B18" s="4" t="str">
        <f>Sheet2!B34</f>
        <v>Master Bedroom 1 (Inside room)</v>
      </c>
      <c r="C18" s="21">
        <f>Sheet2!I35</f>
        <v>8.75</v>
      </c>
      <c r="D18" s="6">
        <v>1</v>
      </c>
      <c r="E18" s="4" t="s">
        <v>53</v>
      </c>
    </row>
    <row r="19" spans="1:5">
      <c r="A19" s="4"/>
      <c r="B19" s="4" t="str">
        <f>Sheet2!B47</f>
        <v>Master Bedroom 1 toilet</v>
      </c>
      <c r="C19" s="21">
        <f>Sheet2!I54</f>
        <v>7.7317166121356342</v>
      </c>
      <c r="D19" s="6">
        <v>1</v>
      </c>
      <c r="E19" s="4" t="s">
        <v>53</v>
      </c>
    </row>
    <row r="20" spans="1:5">
      <c r="A20" s="4"/>
      <c r="B20" s="4" t="str">
        <f>Sheet2!B47</f>
        <v>Master Bedroom 1 toilet</v>
      </c>
      <c r="C20" s="21">
        <f>Sheet2!I62</f>
        <v>6.8392999999999997</v>
      </c>
      <c r="D20" s="6">
        <v>1</v>
      </c>
      <c r="E20" s="4" t="s">
        <v>53</v>
      </c>
    </row>
    <row r="21" spans="1:5">
      <c r="A21" s="4"/>
      <c r="B21" s="4" t="str">
        <f>Sheet2!B111</f>
        <v>terrace</v>
      </c>
      <c r="C21" s="21">
        <f>Sheet2!I114</f>
        <v>16.892560975609758</v>
      </c>
      <c r="D21" s="6">
        <v>1</v>
      </c>
      <c r="E21" s="4" t="s">
        <v>53</v>
      </c>
    </row>
    <row r="22" spans="1:5">
      <c r="A22" s="4"/>
      <c r="B22" s="4"/>
      <c r="C22" s="21"/>
      <c r="D22" s="4"/>
      <c r="E22" s="4"/>
    </row>
    <row r="23" spans="1:5" s="9" customFormat="1">
      <c r="A23" s="5">
        <v>3</v>
      </c>
      <c r="B23" s="5" t="s">
        <v>276</v>
      </c>
      <c r="C23" s="28">
        <f>SUM(C24)</f>
        <v>4.3932926829268295</v>
      </c>
      <c r="D23" s="10">
        <v>1</v>
      </c>
      <c r="E23" s="5" t="s">
        <v>14</v>
      </c>
    </row>
    <row r="24" spans="1:5">
      <c r="A24" s="4"/>
      <c r="B24" s="4" t="str">
        <f>Sheet2!B47</f>
        <v>Master Bedroom 1 toilet</v>
      </c>
      <c r="C24" s="21">
        <f>Sheet2!I59</f>
        <v>4.3932926829268295</v>
      </c>
      <c r="D24" s="6">
        <v>1</v>
      </c>
      <c r="E24" s="4" t="s">
        <v>14</v>
      </c>
    </row>
    <row r="25" spans="1:5">
      <c r="A25" s="4"/>
      <c r="B25" s="4"/>
      <c r="C25" s="4"/>
      <c r="D25" s="4"/>
      <c r="E25" s="4"/>
    </row>
    <row r="26" spans="1:5" s="9" customFormat="1">
      <c r="A26" s="5">
        <v>4</v>
      </c>
      <c r="B26" s="5" t="str">
        <f>Sheet2!B10</f>
        <v>marble skiritng polish</v>
      </c>
      <c r="C26" s="28">
        <f>SUM(C27:C34)</f>
        <v>98.016829268292682</v>
      </c>
      <c r="D26" s="10">
        <v>1</v>
      </c>
      <c r="E26" s="5" t="s">
        <v>14</v>
      </c>
    </row>
    <row r="27" spans="1:5">
      <c r="A27" s="4"/>
      <c r="B27" s="4" t="str">
        <f>Sheet2!B8</f>
        <v>Kids room</v>
      </c>
      <c r="C27" s="21">
        <f>Sheet2!I10</f>
        <v>16.158536585365855</v>
      </c>
      <c r="D27" s="6">
        <v>1</v>
      </c>
      <c r="E27" s="4" t="s">
        <v>14</v>
      </c>
    </row>
    <row r="28" spans="1:5">
      <c r="A28" s="4"/>
      <c r="B28" s="4" t="str">
        <f>Sheet2!B26</f>
        <v>passage</v>
      </c>
      <c r="C28" s="21">
        <f>Sheet2!I28</f>
        <v>8.8414634146341466</v>
      </c>
      <c r="D28" s="6">
        <v>1</v>
      </c>
      <c r="E28" s="4" t="s">
        <v>14</v>
      </c>
    </row>
    <row r="29" spans="1:5">
      <c r="A29" s="4"/>
      <c r="B29" s="4" t="str">
        <f>Sheet2!B31</f>
        <v>Master Bedroom 1</v>
      </c>
      <c r="C29" s="21">
        <f>Sheet2!I33</f>
        <v>11.280487804878049</v>
      </c>
      <c r="D29" s="6">
        <v>1</v>
      </c>
      <c r="E29" s="4" t="s">
        <v>14</v>
      </c>
    </row>
    <row r="30" spans="1:5">
      <c r="A30" s="4"/>
      <c r="B30" s="4" t="str">
        <f>Sheet2!B34</f>
        <v>Master Bedroom 1 (Inside room)</v>
      </c>
      <c r="C30" s="21">
        <f>Sheet2!I36</f>
        <v>6.0975609756097562</v>
      </c>
      <c r="D30" s="6">
        <v>1</v>
      </c>
      <c r="E30" s="4" t="s">
        <v>14</v>
      </c>
    </row>
    <row r="31" spans="1:5">
      <c r="A31" s="4"/>
      <c r="B31" s="4" t="str">
        <f>Sheet2!B47</f>
        <v>Master Bedroom 1 toilet</v>
      </c>
      <c r="C31" s="21">
        <f>Sheet2!I63</f>
        <v>5.69</v>
      </c>
      <c r="D31" s="6">
        <v>1</v>
      </c>
      <c r="E31" s="4" t="s">
        <v>14</v>
      </c>
    </row>
    <row r="32" spans="1:5">
      <c r="A32" s="4"/>
      <c r="B32" s="4" t="str">
        <f>Sheet2!B77</f>
        <v xml:space="preserve">10th -12th floor </v>
      </c>
      <c r="C32" s="21">
        <f>Sheet2!I109</f>
        <v>28.048780487804876</v>
      </c>
      <c r="D32" s="6">
        <v>1</v>
      </c>
      <c r="E32" s="4" t="s">
        <v>14</v>
      </c>
    </row>
    <row r="33" spans="1:5">
      <c r="A33" s="4"/>
      <c r="B33" s="4" t="str">
        <f>Sheet2!B110</f>
        <v xml:space="preserve">wall marble top tappa side wall polish </v>
      </c>
      <c r="C33" s="21">
        <f>Sheet2!I110</f>
        <v>10.9</v>
      </c>
      <c r="D33" s="6">
        <v>1</v>
      </c>
      <c r="E33" s="4" t="s">
        <v>14</v>
      </c>
    </row>
    <row r="34" spans="1:5">
      <c r="A34" s="4"/>
      <c r="B34" s="4" t="str">
        <f>Sheet2!B111</f>
        <v>terrace</v>
      </c>
      <c r="C34" s="21">
        <f>Sheet2!I115</f>
        <v>11</v>
      </c>
      <c r="D34" s="6">
        <v>1</v>
      </c>
      <c r="E34" s="4" t="s">
        <v>14</v>
      </c>
    </row>
    <row r="35" spans="1:5">
      <c r="A35" s="4"/>
      <c r="B35" s="4"/>
      <c r="C35" s="21"/>
      <c r="D35" s="4"/>
      <c r="E35" s="4"/>
    </row>
    <row r="36" spans="1:5" s="9" customFormat="1">
      <c r="A36" s="5">
        <v>5</v>
      </c>
      <c r="B36" s="5" t="s">
        <v>97</v>
      </c>
      <c r="C36" s="28">
        <f>SUM(C37:C37)</f>
        <v>1.2869999999999999</v>
      </c>
      <c r="D36" s="10">
        <v>1</v>
      </c>
      <c r="E36" s="5" t="s">
        <v>14</v>
      </c>
    </row>
    <row r="37" spans="1:5">
      <c r="A37" s="4"/>
      <c r="B37" s="4" t="str">
        <f>Sheet2!B8</f>
        <v>Kids room</v>
      </c>
      <c r="C37" s="21">
        <f>Sheet2!I15</f>
        <v>1.2869999999999999</v>
      </c>
      <c r="D37" s="6">
        <v>1</v>
      </c>
      <c r="E37" s="4" t="s">
        <v>14</v>
      </c>
    </row>
    <row r="38" spans="1:5">
      <c r="A38" s="4"/>
      <c r="B38" s="4"/>
      <c r="C38" s="21"/>
      <c r="D38" s="6"/>
      <c r="E38" s="4"/>
    </row>
    <row r="39" spans="1:5" s="9" customFormat="1">
      <c r="A39" s="5">
        <v>6</v>
      </c>
      <c r="B39" s="5" t="s">
        <v>101</v>
      </c>
      <c r="C39" s="28">
        <f>SUM(C40:C40)</f>
        <v>0.99085365853658547</v>
      </c>
      <c r="D39" s="10">
        <f>D40</f>
        <v>1</v>
      </c>
      <c r="E39" s="5" t="str">
        <f>E40</f>
        <v>rmt</v>
      </c>
    </row>
    <row r="40" spans="1:5">
      <c r="A40" s="4"/>
      <c r="B40" s="4" t="str">
        <f>Sheet2!B8</f>
        <v>Kids room</v>
      </c>
      <c r="C40" s="21">
        <f>Sheet2!I21</f>
        <v>0.99085365853658547</v>
      </c>
      <c r="D40" s="6">
        <v>1</v>
      </c>
      <c r="E40" s="4" t="s">
        <v>14</v>
      </c>
    </row>
    <row r="41" spans="1:5">
      <c r="A41" s="4"/>
      <c r="B41" s="4"/>
      <c r="C41" s="21"/>
      <c r="D41" s="6"/>
      <c r="E41" s="4"/>
    </row>
    <row r="42" spans="1:5">
      <c r="A42" s="4"/>
      <c r="B42" s="4"/>
      <c r="C42" s="21"/>
      <c r="D42" s="6"/>
      <c r="E42" s="4"/>
    </row>
    <row r="43" spans="1:5" s="9" customFormat="1">
      <c r="A43" s="5">
        <v>7</v>
      </c>
      <c r="B43" s="5" t="s">
        <v>294</v>
      </c>
      <c r="C43" s="28">
        <f>SUM(C44:C44)</f>
        <v>1.1414634146341465</v>
      </c>
      <c r="D43" s="10">
        <v>1</v>
      </c>
      <c r="E43" s="5" t="s">
        <v>53</v>
      </c>
    </row>
    <row r="44" spans="1:5">
      <c r="A44" s="4"/>
      <c r="B44" s="4" t="str">
        <f>Sheet2!B8</f>
        <v>Kids room</v>
      </c>
      <c r="C44" s="21">
        <f>Sheet2!I16</f>
        <v>1.1414634146341465</v>
      </c>
      <c r="D44" s="6">
        <v>1</v>
      </c>
      <c r="E44" s="4" t="s">
        <v>53</v>
      </c>
    </row>
    <row r="45" spans="1:5">
      <c r="A45" s="4"/>
      <c r="B45" s="4"/>
      <c r="C45" s="21"/>
      <c r="D45" s="4"/>
      <c r="E45" s="4"/>
    </row>
    <row r="46" spans="1:5" s="9" customFormat="1">
      <c r="A46" s="5">
        <v>8</v>
      </c>
      <c r="B46" s="5" t="s">
        <v>295</v>
      </c>
      <c r="C46" s="28">
        <f>SUM(C47:C48)</f>
        <v>6.0762195121951228</v>
      </c>
      <c r="D46" s="10">
        <v>1</v>
      </c>
      <c r="E46" s="5" t="s">
        <v>14</v>
      </c>
    </row>
    <row r="47" spans="1:5">
      <c r="A47" s="4"/>
      <c r="B47" s="4" t="str">
        <f>Sheet2!B8</f>
        <v>Kids room</v>
      </c>
      <c r="C47" s="21">
        <f>Sheet2!I22</f>
        <v>0.99085365853658547</v>
      </c>
      <c r="D47" s="6">
        <v>1</v>
      </c>
      <c r="E47" s="4" t="s">
        <v>14</v>
      </c>
    </row>
    <row r="48" spans="1:5">
      <c r="A48" s="4"/>
      <c r="B48" s="4" t="str">
        <f>Sheet2!B8</f>
        <v>Kids room</v>
      </c>
      <c r="C48" s="21">
        <f>Sheet2!I19</f>
        <v>5.0853658536585371</v>
      </c>
      <c r="D48" s="6">
        <v>1</v>
      </c>
      <c r="E48" s="4" t="s">
        <v>14</v>
      </c>
    </row>
    <row r="49" spans="1:5">
      <c r="A49" s="4"/>
      <c r="B49" s="4"/>
      <c r="C49" s="4"/>
      <c r="D49" s="4"/>
      <c r="E49" s="4"/>
    </row>
    <row r="50" spans="1:5" s="9" customFormat="1">
      <c r="A50" s="5">
        <v>9</v>
      </c>
      <c r="B50" s="5" t="s">
        <v>95</v>
      </c>
      <c r="C50" s="28">
        <f>SUM(C51:C51)</f>
        <v>0.99085365853658547</v>
      </c>
      <c r="D50" s="10">
        <v>1</v>
      </c>
      <c r="E50" s="5" t="s">
        <v>14</v>
      </c>
    </row>
    <row r="51" spans="1:5">
      <c r="A51" s="4"/>
      <c r="B51" t="str">
        <f>Sheet2!B8</f>
        <v>Kids room</v>
      </c>
      <c r="C51" s="21">
        <f>Sheet2!I23</f>
        <v>0.99085365853658547</v>
      </c>
      <c r="D51" s="6">
        <v>1</v>
      </c>
      <c r="E51" s="4" t="s">
        <v>14</v>
      </c>
    </row>
    <row r="52" spans="1:5" ht="15.6" customHeight="1">
      <c r="A52" s="4"/>
      <c r="B52" s="4"/>
      <c r="C52" s="4"/>
      <c r="D52" s="4"/>
      <c r="E52" s="4"/>
    </row>
    <row r="53" spans="1:5" s="9" customFormat="1">
      <c r="A53" s="5">
        <v>10</v>
      </c>
      <c r="B53" s="5" t="str">
        <f>Sheet2!B38</f>
        <v xml:space="preserve">granite window sill fixing </v>
      </c>
      <c r="C53" s="28">
        <f>SUM(C54:C55)</f>
        <v>6.0534146341463417</v>
      </c>
      <c r="D53" s="10">
        <v>1</v>
      </c>
      <c r="E53" s="5" t="s">
        <v>14</v>
      </c>
    </row>
    <row r="54" spans="1:5">
      <c r="A54" s="4"/>
      <c r="B54" s="4" t="str">
        <f>Sheet2!B34</f>
        <v>Master Bedroom 1 (Inside room)</v>
      </c>
      <c r="C54" s="21">
        <f>Sheet2!I40</f>
        <v>2.2834146341463417</v>
      </c>
      <c r="D54" s="6">
        <v>1</v>
      </c>
      <c r="E54" s="4" t="s">
        <v>14</v>
      </c>
    </row>
    <row r="55" spans="1:5">
      <c r="A55" s="4"/>
      <c r="B55" s="4" t="str">
        <f>Sheet3!B224</f>
        <v>Kitchen 1 (western &amp; Indian)</v>
      </c>
      <c r="C55" s="4">
        <f>Sheet3!G227</f>
        <v>3.77</v>
      </c>
      <c r="D55" s="6">
        <v>1</v>
      </c>
      <c r="E55" s="4" t="s">
        <v>14</v>
      </c>
    </row>
    <row r="56" spans="1:5">
      <c r="A56" s="4"/>
      <c r="B56" s="4"/>
      <c r="C56" s="4"/>
      <c r="D56" s="4"/>
      <c r="E56" s="4"/>
    </row>
    <row r="57" spans="1:5" s="9" customFormat="1">
      <c r="A57" s="5">
        <v>11</v>
      </c>
      <c r="B57" s="5" t="str">
        <f>Sheet2!B41</f>
        <v>window granite dhar polish</v>
      </c>
      <c r="C57" s="28">
        <f>SUM(C58:C59)</f>
        <v>8.6817073170731707</v>
      </c>
      <c r="D57" s="10">
        <v>1</v>
      </c>
      <c r="E57" s="5" t="s">
        <v>14</v>
      </c>
    </row>
    <row r="58" spans="1:5">
      <c r="A58" s="4"/>
      <c r="B58" s="4" t="str">
        <f>Sheet2!B34</f>
        <v>Master Bedroom 1 (Inside room)</v>
      </c>
      <c r="C58" s="21">
        <f>Sheet2!I43</f>
        <v>1.1417073170731709</v>
      </c>
      <c r="D58" s="6">
        <v>1</v>
      </c>
      <c r="E58" s="4" t="s">
        <v>14</v>
      </c>
    </row>
    <row r="59" spans="1:5">
      <c r="A59" s="4"/>
      <c r="B59" s="4" t="str">
        <f>Sheet3!B224</f>
        <v>Kitchen 1 (western &amp; Indian)</v>
      </c>
      <c r="C59" s="4">
        <f>Sheet3!G233</f>
        <v>7.54</v>
      </c>
      <c r="D59" s="6">
        <v>1</v>
      </c>
      <c r="E59" s="4" t="s">
        <v>14</v>
      </c>
    </row>
    <row r="60" spans="1:5">
      <c r="A60" s="4"/>
      <c r="B60" s="4"/>
      <c r="C60" s="4"/>
      <c r="D60" s="4"/>
      <c r="E60" s="4"/>
    </row>
    <row r="61" spans="1:5" s="9" customFormat="1">
      <c r="A61" s="5">
        <v>12</v>
      </c>
      <c r="B61" s="5" t="str">
        <f>Sheet2!B44</f>
        <v xml:space="preserve"> window Champering(patta)</v>
      </c>
      <c r="C61" s="28">
        <f>SUM(C62:C63)</f>
        <v>8.6817073170731707</v>
      </c>
      <c r="D61" s="10">
        <v>1</v>
      </c>
      <c r="E61" s="5" t="s">
        <v>14</v>
      </c>
    </row>
    <row r="62" spans="1:5">
      <c r="A62" s="4"/>
      <c r="B62" s="4" t="str">
        <f>Sheet2!B34</f>
        <v>Master Bedroom 1 (Inside room)</v>
      </c>
      <c r="C62" s="21">
        <f>Sheet2!I46</f>
        <v>1.1417073170731709</v>
      </c>
      <c r="D62" s="21">
        <v>1</v>
      </c>
      <c r="E62" s="21" t="str">
        <f>Sheet2!K46</f>
        <v>rmt</v>
      </c>
    </row>
    <row r="63" spans="1:5">
      <c r="A63" s="4"/>
      <c r="B63" s="4" t="str">
        <f>Sheet3!B224</f>
        <v>Kitchen 1 (western &amp; Indian)</v>
      </c>
      <c r="C63" s="4">
        <f>Sheet3!G230</f>
        <v>7.54</v>
      </c>
      <c r="D63" s="6">
        <v>1</v>
      </c>
      <c r="E63" s="4" t="s">
        <v>14</v>
      </c>
    </row>
    <row r="64" spans="1:5">
      <c r="A64" s="4"/>
      <c r="B64" s="4"/>
      <c r="C64" s="4"/>
      <c r="D64" s="4"/>
      <c r="E64" s="4"/>
    </row>
    <row r="65" spans="1:5" s="9" customFormat="1">
      <c r="A65" s="5">
        <v>13</v>
      </c>
      <c r="B65" s="5" t="s">
        <v>181</v>
      </c>
      <c r="C65" s="28">
        <f>SUM(C66)</f>
        <v>0.70200000000000007</v>
      </c>
      <c r="D65" s="10">
        <v>1</v>
      </c>
      <c r="E65" s="5" t="s">
        <v>53</v>
      </c>
    </row>
    <row r="66" spans="1:5">
      <c r="A66" s="4"/>
      <c r="B66" s="4" t="str">
        <f>Sheet2!B65</f>
        <v>Guest Bedroom</v>
      </c>
      <c r="C66" s="21">
        <f>Sheet2!I66</f>
        <v>0.70200000000000007</v>
      </c>
      <c r="D66" s="6">
        <v>1</v>
      </c>
      <c r="E66" s="4" t="s">
        <v>53</v>
      </c>
    </row>
    <row r="67" spans="1:5">
      <c r="A67" s="4"/>
      <c r="B67" s="4"/>
      <c r="C67" s="4"/>
      <c r="D67" s="4"/>
      <c r="E67" s="4"/>
    </row>
    <row r="68" spans="1:5" s="9" customFormat="1">
      <c r="A68" s="5">
        <v>14</v>
      </c>
      <c r="B68" s="5" t="s">
        <v>277</v>
      </c>
      <c r="C68" s="28">
        <f>SUM(C69:C74)</f>
        <v>14.211951219512196</v>
      </c>
      <c r="D68" s="10">
        <v>1</v>
      </c>
      <c r="E68" s="5" t="s">
        <v>14</v>
      </c>
    </row>
    <row r="69" spans="1:5">
      <c r="A69" s="4"/>
      <c r="B69" s="4" t="str">
        <f>Sheet2!B67</f>
        <v>Living room</v>
      </c>
      <c r="C69" s="21">
        <f>Sheet2!I69</f>
        <v>1.1158536585365855</v>
      </c>
      <c r="D69" s="6">
        <v>1</v>
      </c>
      <c r="E69" s="4" t="s">
        <v>14</v>
      </c>
    </row>
    <row r="70" spans="1:5">
      <c r="A70" s="4"/>
      <c r="B70" s="4" t="str">
        <f>Sheet2!B67</f>
        <v>Living room</v>
      </c>
      <c r="C70" s="21">
        <f>Sheet2!I72</f>
        <v>6.96</v>
      </c>
      <c r="D70" s="6">
        <v>1</v>
      </c>
      <c r="E70" s="4" t="s">
        <v>14</v>
      </c>
    </row>
    <row r="71" spans="1:5">
      <c r="A71" s="4"/>
      <c r="B71" s="4" t="str">
        <f>Sheet3!B217</f>
        <v xml:space="preserve">Hall </v>
      </c>
      <c r="C71" s="4">
        <f>Sheet3!G218</f>
        <v>2.74</v>
      </c>
      <c r="D71" s="6">
        <v>1</v>
      </c>
      <c r="E71" s="4" t="s">
        <v>14</v>
      </c>
    </row>
    <row r="72" spans="1:5">
      <c r="A72" s="4"/>
      <c r="B72" s="4" t="str">
        <f>Sheet3!B184</f>
        <v>Utility area passage</v>
      </c>
      <c r="C72" s="4">
        <f>Sheet3!G190</f>
        <v>2.00609756097561</v>
      </c>
      <c r="D72" s="6">
        <v>1</v>
      </c>
      <c r="E72" s="4" t="s">
        <v>14</v>
      </c>
    </row>
    <row r="73" spans="1:5">
      <c r="A73" s="4"/>
      <c r="B73" s="4" t="str">
        <f>Sheet3!B192</f>
        <v>Guestroom Toilet</v>
      </c>
      <c r="C73" s="4">
        <f>Sheet3!G194</f>
        <v>0.79</v>
      </c>
      <c r="D73" s="6">
        <v>1</v>
      </c>
      <c r="E73" s="4" t="s">
        <v>14</v>
      </c>
    </row>
    <row r="74" spans="1:5">
      <c r="A74" s="4"/>
      <c r="B74" s="4" t="str">
        <f>Sheet2!B67</f>
        <v>Living room</v>
      </c>
      <c r="C74" s="21">
        <f>Sheet2!I68</f>
        <v>0.6</v>
      </c>
      <c r="D74" s="6">
        <v>1</v>
      </c>
      <c r="E74" s="4" t="s">
        <v>14</v>
      </c>
    </row>
    <row r="75" spans="1:5">
      <c r="A75" s="4"/>
      <c r="B75" s="4"/>
      <c r="C75" s="4"/>
      <c r="D75" s="4"/>
      <c r="E75" s="4"/>
    </row>
    <row r="76" spans="1:5" s="9" customFormat="1">
      <c r="A76" s="5">
        <v>15</v>
      </c>
      <c r="B76" s="5" t="str">
        <f>Sheet2!B70</f>
        <v>granite patti dhar polish</v>
      </c>
      <c r="C76" s="28">
        <f>SUM(C77:C80)</f>
        <v>19.216707317073173</v>
      </c>
      <c r="D76" s="10">
        <v>1</v>
      </c>
      <c r="E76" s="5" t="s">
        <v>14</v>
      </c>
    </row>
    <row r="77" spans="1:5">
      <c r="A77" s="4"/>
      <c r="B77" s="4" t="str">
        <f>Sheet2!B67</f>
        <v>Living room</v>
      </c>
      <c r="C77" s="21">
        <f>Sheet2!I70</f>
        <v>1.1158536585365855</v>
      </c>
      <c r="D77" s="6">
        <v>1</v>
      </c>
      <c r="E77" s="4" t="s">
        <v>14</v>
      </c>
    </row>
    <row r="78" spans="1:5">
      <c r="A78" s="4"/>
      <c r="B78" s="4" t="str">
        <f>Sheet2!B67</f>
        <v>Living room</v>
      </c>
      <c r="C78" s="21">
        <f>Sheet2!I73</f>
        <v>13.92</v>
      </c>
      <c r="D78" s="6">
        <v>1</v>
      </c>
      <c r="E78" s="4" t="s">
        <v>14</v>
      </c>
    </row>
    <row r="79" spans="1:5">
      <c r="A79" s="4"/>
      <c r="B79" s="4" t="str">
        <f>Sheet3!B217</f>
        <v xml:space="preserve">Hall </v>
      </c>
      <c r="C79" s="4">
        <f>Sheet3!G221</f>
        <v>3.1900000000000004</v>
      </c>
      <c r="D79" s="6">
        <v>1</v>
      </c>
      <c r="E79" s="4" t="s">
        <v>14</v>
      </c>
    </row>
    <row r="80" spans="1:5">
      <c r="A80" s="4"/>
      <c r="B80" s="4" t="str">
        <f>Sheet2!B8</f>
        <v>Kids room</v>
      </c>
      <c r="C80" s="21">
        <f>Sheet2!I24</f>
        <v>0.99085365853658547</v>
      </c>
      <c r="D80" s="6">
        <v>1</v>
      </c>
      <c r="E80" s="4" t="s">
        <v>14</v>
      </c>
    </row>
    <row r="81" spans="1:5">
      <c r="A81" s="4"/>
      <c r="B81" s="4"/>
      <c r="C81" s="4"/>
      <c r="D81" s="4"/>
      <c r="E81" s="4"/>
    </row>
    <row r="82" spans="1:5" s="9" customFormat="1">
      <c r="A82" s="5">
        <v>16</v>
      </c>
      <c r="B82" s="5" t="str">
        <f>Sheet2!B71</f>
        <v>granite umbra patti champering(patta)</v>
      </c>
      <c r="C82" s="28">
        <f>SUM(C83:C84)</f>
        <v>15.035853658536585</v>
      </c>
      <c r="D82" s="10">
        <v>1</v>
      </c>
      <c r="E82" s="5" t="s">
        <v>14</v>
      </c>
    </row>
    <row r="83" spans="1:5">
      <c r="A83" s="4"/>
      <c r="B83" s="4" t="str">
        <f>Sheet2!B67</f>
        <v>Living room</v>
      </c>
      <c r="C83" s="21">
        <f>Sheet2!I71</f>
        <v>1.1158536585365855</v>
      </c>
      <c r="D83" s="6">
        <v>1</v>
      </c>
      <c r="E83" s="4" t="s">
        <v>14</v>
      </c>
    </row>
    <row r="84" spans="1:5">
      <c r="A84" s="4"/>
      <c r="B84" s="4" t="str">
        <f>Sheet2!B67</f>
        <v>Living room</v>
      </c>
      <c r="C84" s="21">
        <f>Sheet2!I74</f>
        <v>13.92</v>
      </c>
      <c r="D84" s="6">
        <v>1</v>
      </c>
      <c r="E84" s="4" t="s">
        <v>14</v>
      </c>
    </row>
    <row r="85" spans="1:5">
      <c r="A85" s="4"/>
      <c r="B85" s="4"/>
      <c r="C85" s="4"/>
      <c r="D85" s="4"/>
      <c r="E85" s="4"/>
    </row>
    <row r="86" spans="1:5" s="9" customFormat="1">
      <c r="A86" s="5">
        <v>17</v>
      </c>
      <c r="B86" s="5" t="s">
        <v>144</v>
      </c>
      <c r="C86" s="28">
        <f>SUM(C87)</f>
        <v>6.96</v>
      </c>
      <c r="D86" s="10">
        <v>1</v>
      </c>
      <c r="E86" s="5" t="s">
        <v>14</v>
      </c>
    </row>
    <row r="87" spans="1:5">
      <c r="A87" s="4"/>
      <c r="B87" s="4" t="str">
        <f>Sheet2!B67</f>
        <v>Living room</v>
      </c>
      <c r="C87" s="21">
        <f>Sheet2!I75</f>
        <v>6.96</v>
      </c>
      <c r="D87" s="6">
        <v>1</v>
      </c>
      <c r="E87" s="4" t="s">
        <v>14</v>
      </c>
    </row>
    <row r="88" spans="1:5">
      <c r="A88" s="4"/>
      <c r="B88" s="4"/>
      <c r="C88" s="4"/>
      <c r="D88" s="4"/>
      <c r="E88" s="4"/>
    </row>
    <row r="89" spans="1:5" s="9" customFormat="1">
      <c r="A89" s="5">
        <v>18</v>
      </c>
      <c r="B89" s="5" t="str">
        <f>Sheet2!B78</f>
        <v>Raiser polish</v>
      </c>
      <c r="C89" s="28">
        <f>SUM(C90)</f>
        <v>41.845365853658535</v>
      </c>
      <c r="D89" s="10">
        <v>1</v>
      </c>
      <c r="E89" s="5" t="s">
        <v>14</v>
      </c>
    </row>
    <row r="90" spans="1:5">
      <c r="A90" s="4" t="s">
        <v>36</v>
      </c>
      <c r="B90" s="4" t="str">
        <f>Sheet2!B77</f>
        <v xml:space="preserve">10th -12th floor </v>
      </c>
      <c r="C90" s="21">
        <f>Sheet2!I90</f>
        <v>41.845365853658535</v>
      </c>
      <c r="D90" s="6">
        <v>1</v>
      </c>
      <c r="E90" s="4" t="s">
        <v>14</v>
      </c>
    </row>
    <row r="91" spans="1:5">
      <c r="A91" s="4"/>
      <c r="B91" s="4"/>
      <c r="C91" s="4"/>
      <c r="D91" s="4"/>
      <c r="E91" s="4"/>
    </row>
    <row r="92" spans="1:5" s="9" customFormat="1">
      <c r="A92" s="5">
        <v>19</v>
      </c>
      <c r="B92" s="5" t="str">
        <f>Sheet2!B91</f>
        <v>Tappa polish</v>
      </c>
      <c r="C92" s="28">
        <f>SUM(C93)</f>
        <v>42.303902439024398</v>
      </c>
      <c r="D92" s="10">
        <v>1</v>
      </c>
      <c r="E92" s="5" t="s">
        <v>14</v>
      </c>
    </row>
    <row r="93" spans="1:5">
      <c r="A93" s="4"/>
      <c r="B93" s="4" t="str">
        <f>Sheet2!B77</f>
        <v xml:space="preserve">10th -12th floor </v>
      </c>
      <c r="C93" s="21">
        <f>Sheet2!I104</f>
        <v>42.303902439024398</v>
      </c>
      <c r="D93" s="6">
        <v>1</v>
      </c>
      <c r="E93" s="4" t="s">
        <v>14</v>
      </c>
    </row>
    <row r="94" spans="1:5">
      <c r="A94" s="4"/>
      <c r="B94" s="4"/>
      <c r="C94" s="4"/>
      <c r="D94" s="4"/>
      <c r="E94" s="4"/>
    </row>
    <row r="95" spans="1:5" s="9" customFormat="1">
      <c r="A95" s="5">
        <v>20</v>
      </c>
      <c r="B95" s="5" t="s">
        <v>200</v>
      </c>
      <c r="C95" s="5">
        <f>SUM(C96:C97)</f>
        <v>2.6046341463414633</v>
      </c>
      <c r="D95" s="10">
        <v>1</v>
      </c>
      <c r="E95" s="5" t="s">
        <v>14</v>
      </c>
    </row>
    <row r="96" spans="1:5">
      <c r="A96" s="4"/>
      <c r="B96" s="4" t="str">
        <f>Sheet3!B184</f>
        <v>Utility area passage</v>
      </c>
      <c r="C96" s="4">
        <f>Sheet3!G187</f>
        <v>1.8146341463414635</v>
      </c>
      <c r="D96" s="6">
        <v>1</v>
      </c>
      <c r="E96" s="4" t="s">
        <v>14</v>
      </c>
    </row>
    <row r="97" spans="1:5">
      <c r="A97" s="4"/>
      <c r="B97" s="4" t="str">
        <f>Sheet3!B192</f>
        <v>Guestroom Toilet</v>
      </c>
      <c r="C97" s="4">
        <f>Sheet3!G193</f>
        <v>0.79</v>
      </c>
      <c r="D97" s="6">
        <v>1</v>
      </c>
      <c r="E97" s="4" t="s">
        <v>14</v>
      </c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 s="9" customFormat="1">
      <c r="A100" s="5">
        <v>21</v>
      </c>
      <c r="B100" s="5" t="s">
        <v>279</v>
      </c>
      <c r="C100" s="5">
        <f>SUM(C101)</f>
        <v>0.79</v>
      </c>
      <c r="D100" s="10">
        <v>1</v>
      </c>
      <c r="E100" s="5" t="s">
        <v>14</v>
      </c>
    </row>
    <row r="101" spans="1:5">
      <c r="A101" s="4"/>
      <c r="B101" s="4" t="str">
        <f>Sheet3!B192</f>
        <v>Guestroom Toilet</v>
      </c>
      <c r="C101" s="4">
        <f>Sheet3!G195</f>
        <v>0.79</v>
      </c>
      <c r="D101" s="6">
        <v>1</v>
      </c>
      <c r="E101" s="4" t="s">
        <v>14</v>
      </c>
    </row>
    <row r="102" spans="1:5">
      <c r="A102" s="4"/>
      <c r="B102" s="4"/>
      <c r="C102" s="4"/>
      <c r="D102" s="4"/>
      <c r="E102" s="4"/>
    </row>
    <row r="103" spans="1:5" s="9" customFormat="1">
      <c r="A103" s="5">
        <v>22</v>
      </c>
      <c r="B103" s="5" t="s">
        <v>187</v>
      </c>
      <c r="C103" s="5">
        <f>SUM(C104)</f>
        <v>2.0000000000000004E-2</v>
      </c>
      <c r="D103" s="10">
        <v>1</v>
      </c>
      <c r="E103" s="5" t="s">
        <v>53</v>
      </c>
    </row>
    <row r="104" spans="1:5">
      <c r="A104" s="4"/>
      <c r="B104" s="4" t="str">
        <f>Sheet3!B198</f>
        <v>Maidroom Toilet</v>
      </c>
      <c r="C104" s="4">
        <f>Sheet3!G199</f>
        <v>2.0000000000000004E-2</v>
      </c>
      <c r="D104" s="6">
        <v>1</v>
      </c>
      <c r="E104" s="4" t="s">
        <v>53</v>
      </c>
    </row>
    <row r="105" spans="1:5">
      <c r="A105" s="4"/>
      <c r="B105" s="4"/>
      <c r="C105" s="4"/>
      <c r="D105" s="4"/>
      <c r="E105" s="4"/>
    </row>
    <row r="106" spans="1:5" s="9" customFormat="1">
      <c r="A106" s="5">
        <v>23</v>
      </c>
      <c r="B106" s="5" t="s">
        <v>275</v>
      </c>
      <c r="C106" s="5">
        <f>SUM(C107:C107)</f>
        <v>2.35</v>
      </c>
      <c r="D106" s="10">
        <v>1</v>
      </c>
      <c r="E106" s="5" t="s">
        <v>14</v>
      </c>
    </row>
    <row r="107" spans="1:5">
      <c r="A107" s="4"/>
      <c r="B107" s="4" t="str">
        <f>Sheet3!B201</f>
        <v>Utility area</v>
      </c>
      <c r="C107" s="4">
        <f>Sheet3!G204</f>
        <v>2.35</v>
      </c>
      <c r="D107" s="6">
        <v>1</v>
      </c>
      <c r="E107" s="4" t="s">
        <v>14</v>
      </c>
    </row>
    <row r="108" spans="1:5">
      <c r="A108" s="4"/>
      <c r="B108" s="4"/>
      <c r="C108" s="4"/>
      <c r="D108" s="4"/>
      <c r="E108" s="4"/>
    </row>
    <row r="109" spans="1:5" s="9" customFormat="1" ht="24.6">
      <c r="A109" s="5">
        <v>24</v>
      </c>
      <c r="B109" s="54" t="s">
        <v>232</v>
      </c>
      <c r="C109" s="5">
        <f>SUM(C110:C111)</f>
        <v>17.419024390243901</v>
      </c>
      <c r="D109" s="10">
        <v>1</v>
      </c>
      <c r="E109" s="5" t="s">
        <v>14</v>
      </c>
    </row>
    <row r="110" spans="1:5">
      <c r="A110" s="4"/>
      <c r="B110" s="4" t="str">
        <f>Sheet3!B201</f>
        <v>Utility area</v>
      </c>
      <c r="C110" s="4">
        <f>Sheet3!G213</f>
        <v>16.969024390243902</v>
      </c>
      <c r="D110" s="6">
        <v>1</v>
      </c>
      <c r="E110" s="4" t="s">
        <v>14</v>
      </c>
    </row>
    <row r="111" spans="1:5">
      <c r="A111" s="4"/>
      <c r="B111" s="4" t="str">
        <f>Sheet3!B217</f>
        <v xml:space="preserve">Hall </v>
      </c>
      <c r="C111" s="4">
        <f>Sheet3!G222</f>
        <v>0.45</v>
      </c>
      <c r="D111" s="6">
        <v>1</v>
      </c>
      <c r="E111" s="4" t="s">
        <v>14</v>
      </c>
    </row>
    <row r="112" spans="1:5">
      <c r="A112" s="4"/>
      <c r="B112" s="4"/>
      <c r="C112" s="4"/>
      <c r="D112" s="4"/>
      <c r="E112" s="4"/>
    </row>
    <row r="113" spans="1:5" s="9" customFormat="1">
      <c r="A113" s="5">
        <v>25</v>
      </c>
      <c r="B113" s="5" t="s">
        <v>25</v>
      </c>
      <c r="C113" s="5">
        <f>SUM(C114:C114)</f>
        <v>6.6775609756097563</v>
      </c>
      <c r="D113" s="10">
        <v>1</v>
      </c>
      <c r="E113" s="5" t="s">
        <v>14</v>
      </c>
    </row>
    <row r="114" spans="1:5">
      <c r="A114" s="4"/>
      <c r="B114" s="4" t="str">
        <f>Sheet3!B201</f>
        <v>Utility area</v>
      </c>
      <c r="C114" s="4">
        <f>Sheet3!G216</f>
        <v>6.6775609756097563</v>
      </c>
      <c r="D114" s="6">
        <v>1</v>
      </c>
      <c r="E114" s="4" t="s">
        <v>14</v>
      </c>
    </row>
  </sheetData>
  <mergeCells count="3">
    <mergeCell ref="A1:G1"/>
    <mergeCell ref="A2:I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3D31-663E-460C-A6D3-0ADE47700990}">
  <dimension ref="A1:I220"/>
  <sheetViews>
    <sheetView topLeftCell="A29" workbookViewId="0">
      <selection activeCell="C48" sqref="C48"/>
    </sheetView>
  </sheetViews>
  <sheetFormatPr defaultRowHeight="14.4"/>
  <cols>
    <col min="2" max="2" width="52.77734375" bestFit="1" customWidth="1"/>
  </cols>
  <sheetData>
    <row r="1" spans="1:9" ht="21">
      <c r="A1" s="211" t="s">
        <v>9</v>
      </c>
      <c r="B1" s="211"/>
      <c r="C1" s="211"/>
      <c r="D1" s="211"/>
      <c r="E1" s="211"/>
      <c r="F1" s="211"/>
      <c r="G1" s="211"/>
    </row>
    <row r="2" spans="1:9">
      <c r="A2" s="212" t="s">
        <v>10</v>
      </c>
      <c r="B2" s="212"/>
      <c r="C2" s="212"/>
      <c r="D2" s="212"/>
      <c r="E2" s="212"/>
      <c r="F2" s="212"/>
      <c r="G2" s="212"/>
      <c r="H2" s="212"/>
      <c r="I2" s="212"/>
    </row>
    <row r="3" spans="1:9">
      <c r="A3" s="2"/>
      <c r="B3" s="213" t="s">
        <v>263</v>
      </c>
      <c r="C3" s="213"/>
      <c r="D3" s="213"/>
      <c r="E3" s="213"/>
      <c r="F3" s="213"/>
      <c r="G3" s="2"/>
      <c r="H3" s="2"/>
      <c r="I3" s="2"/>
    </row>
    <row r="4" spans="1:9">
      <c r="D4" s="44"/>
    </row>
    <row r="5" spans="1:9">
      <c r="A5" s="45" t="s">
        <v>0</v>
      </c>
      <c r="B5" s="45" t="s">
        <v>1</v>
      </c>
      <c r="C5" s="45" t="s">
        <v>264</v>
      </c>
      <c r="D5" s="46" t="s">
        <v>7</v>
      </c>
      <c r="E5" s="45" t="s">
        <v>8</v>
      </c>
      <c r="F5" s="47"/>
      <c r="G5" s="47"/>
      <c r="H5" s="47"/>
      <c r="I5" s="47"/>
    </row>
    <row r="6" spans="1:9">
      <c r="A6" s="4"/>
      <c r="B6" s="4"/>
      <c r="C6" s="4"/>
      <c r="D6" s="4"/>
      <c r="E6" s="4"/>
    </row>
    <row r="7" spans="1:9" s="9" customFormat="1">
      <c r="A7" s="5">
        <v>1</v>
      </c>
      <c r="B7" s="5" t="s">
        <v>31</v>
      </c>
      <c r="C7" s="5">
        <f>SUM(C8:C12)</f>
        <v>13.690609756097562</v>
      </c>
      <c r="D7" s="10">
        <v>1</v>
      </c>
      <c r="E7" s="5" t="s">
        <v>14</v>
      </c>
    </row>
    <row r="8" spans="1:9">
      <c r="A8" s="4"/>
      <c r="B8" s="4" t="s">
        <v>30</v>
      </c>
      <c r="C8" s="4">
        <f>Sheet1!G48</f>
        <v>0.78658536585365857</v>
      </c>
      <c r="D8" s="6">
        <v>1</v>
      </c>
      <c r="E8" s="4" t="s">
        <v>14</v>
      </c>
    </row>
    <row r="9" spans="1:9">
      <c r="A9" s="4"/>
      <c r="B9" s="4" t="str">
        <f>Sheet3!B61</f>
        <v>Living room</v>
      </c>
      <c r="C9" s="21">
        <f>Sheet3!G64</f>
        <v>0.73475609756097571</v>
      </c>
      <c r="D9" s="6">
        <v>1</v>
      </c>
      <c r="E9" s="21" t="str">
        <f>Sheet3!I64</f>
        <v>rmt</v>
      </c>
    </row>
    <row r="10" spans="1:9">
      <c r="A10" s="4"/>
      <c r="B10" s="4" t="str">
        <f>Sheet3!B66</f>
        <v>Kitchen 1</v>
      </c>
      <c r="C10" s="4">
        <f>Sheet3!G171</f>
        <v>1.9200000000000002</v>
      </c>
      <c r="D10" s="6">
        <v>1</v>
      </c>
      <c r="E10" s="4" t="s">
        <v>14</v>
      </c>
    </row>
    <row r="11" spans="1:9">
      <c r="A11" s="4"/>
      <c r="B11" s="4" t="str">
        <f>Sheet2!B142</f>
        <v>mainder</v>
      </c>
      <c r="C11" s="21">
        <f>Sheet2!I145</f>
        <v>1.8292682926829269</v>
      </c>
      <c r="D11" s="6">
        <v>1</v>
      </c>
      <c r="E11" s="4" t="s">
        <v>14</v>
      </c>
    </row>
    <row r="12" spans="1:9">
      <c r="A12" s="4"/>
      <c r="B12" s="4" t="str">
        <f>Sheet4!B95</f>
        <v>Kalinga Table top</v>
      </c>
      <c r="C12" s="21">
        <f>Sheet4!G101</f>
        <v>8.42</v>
      </c>
      <c r="D12" s="6">
        <v>1</v>
      </c>
      <c r="E12" s="4" t="s">
        <v>14</v>
      </c>
    </row>
    <row r="13" spans="1:9">
      <c r="A13" s="4"/>
      <c r="B13" s="4"/>
      <c r="C13" s="4"/>
      <c r="D13" s="4"/>
      <c r="E13" s="4"/>
    </row>
    <row r="14" spans="1:9" s="9" customFormat="1">
      <c r="A14" s="5">
        <v>3</v>
      </c>
      <c r="B14" s="5" t="s">
        <v>33</v>
      </c>
      <c r="C14" s="5">
        <f>SUM(C15:C20)</f>
        <v>117.82195121951219</v>
      </c>
      <c r="D14" s="10">
        <v>1</v>
      </c>
      <c r="E14" s="5" t="s">
        <v>14</v>
      </c>
    </row>
    <row r="15" spans="1:9">
      <c r="A15" s="4"/>
      <c r="B15" s="4" t="s">
        <v>30</v>
      </c>
      <c r="C15" s="4">
        <f>Sheet1!G50</f>
        <v>1.8292682926829269</v>
      </c>
      <c r="D15" s="6">
        <v>1</v>
      </c>
      <c r="E15" s="4" t="s">
        <v>14</v>
      </c>
    </row>
    <row r="16" spans="1:9" ht="13.8" customHeight="1">
      <c r="A16" s="4"/>
      <c r="B16" s="4" t="str">
        <f>Sheet2!B282</f>
        <v>Lift lobby</v>
      </c>
      <c r="C16" s="21">
        <f>Sheet2!I291</f>
        <v>17.06707317073171</v>
      </c>
      <c r="D16" s="6">
        <v>1</v>
      </c>
      <c r="E16" s="4" t="s">
        <v>14</v>
      </c>
    </row>
    <row r="17" spans="1:5">
      <c r="A17" s="4"/>
      <c r="B17" s="4" t="str">
        <f>Sheet3!B66</f>
        <v>Kitchen 1</v>
      </c>
      <c r="C17" s="21">
        <f>Sheet3!G112</f>
        <v>21.567073170731703</v>
      </c>
      <c r="D17" s="6">
        <v>1</v>
      </c>
      <c r="E17" s="4" t="s">
        <v>14</v>
      </c>
    </row>
    <row r="18" spans="1:5">
      <c r="A18" s="4"/>
      <c r="B18" s="4" t="str">
        <f>Sheet2!B172</f>
        <v>master bedroom 2</v>
      </c>
      <c r="C18" s="21">
        <f>Sheet2!I179</f>
        <v>28.200000000000003</v>
      </c>
      <c r="D18" s="6">
        <v>1</v>
      </c>
      <c r="E18" s="4" t="s">
        <v>14</v>
      </c>
    </row>
    <row r="19" spans="1:5">
      <c r="A19" s="4"/>
      <c r="B19" s="4" t="str">
        <f>Sheet2!B274</f>
        <v>Living room</v>
      </c>
      <c r="C19" s="21">
        <f>Sheet2!I277</f>
        <v>6.8597560975609762</v>
      </c>
      <c r="D19" s="6">
        <v>1</v>
      </c>
      <c r="E19" s="4" t="s">
        <v>14</v>
      </c>
    </row>
    <row r="20" spans="1:5">
      <c r="A20" s="4"/>
      <c r="B20" s="4" t="str">
        <f>Sheet3!B7</f>
        <v>Terrace</v>
      </c>
      <c r="C20" s="21">
        <f>Sheet3!G29</f>
        <v>42.298780487804876</v>
      </c>
      <c r="D20" s="6">
        <v>1</v>
      </c>
      <c r="E20" s="4" t="s">
        <v>14</v>
      </c>
    </row>
    <row r="21" spans="1:5">
      <c r="A21" s="4"/>
      <c r="B21" s="4"/>
      <c r="C21" s="21"/>
      <c r="D21" s="4"/>
      <c r="E21" s="4"/>
    </row>
    <row r="22" spans="1:5" s="9" customFormat="1">
      <c r="A22" s="5">
        <v>4</v>
      </c>
      <c r="B22" s="5" t="s">
        <v>34</v>
      </c>
      <c r="C22" s="5">
        <f>SUM(C23:C25)</f>
        <v>7.9141932183224277</v>
      </c>
      <c r="D22" s="10">
        <v>1</v>
      </c>
      <c r="E22" s="5" t="s">
        <v>53</v>
      </c>
    </row>
    <row r="23" spans="1:5">
      <c r="A23" s="4"/>
      <c r="B23" s="4" t="s">
        <v>30</v>
      </c>
      <c r="C23" s="4">
        <f>Sheet1!G54</f>
        <v>2.3073000000000001</v>
      </c>
      <c r="D23" s="6">
        <v>1</v>
      </c>
      <c r="E23" s="4" t="s">
        <v>53</v>
      </c>
    </row>
    <row r="24" spans="1:5">
      <c r="A24" s="4"/>
      <c r="B24" s="4" t="str">
        <f>Sheet3!B7</f>
        <v>Terrace</v>
      </c>
      <c r="C24" s="4">
        <f>Sheet3!G24</f>
        <v>1.949174598453302</v>
      </c>
      <c r="D24" s="6">
        <v>1</v>
      </c>
      <c r="E24" s="4" t="s">
        <v>53</v>
      </c>
    </row>
    <row r="25" spans="1:5">
      <c r="A25" s="4"/>
      <c r="B25" s="4" t="str">
        <f>Sheet3!B66</f>
        <v>Kitchen 1</v>
      </c>
      <c r="C25" s="4">
        <f>Sheet3!G71</f>
        <v>3.6577186198691254</v>
      </c>
      <c r="D25" s="6">
        <v>1</v>
      </c>
      <c r="E25" s="4" t="s">
        <v>53</v>
      </c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 s="9" customFormat="1">
      <c r="A28" s="5">
        <v>5</v>
      </c>
      <c r="B28" s="5" t="s">
        <v>234</v>
      </c>
      <c r="C28" s="5">
        <f>SUM(C29)</f>
        <v>0.30208953004164191</v>
      </c>
      <c r="D28" s="10">
        <v>1</v>
      </c>
      <c r="E28" s="5" t="s">
        <v>53</v>
      </c>
    </row>
    <row r="29" spans="1:5">
      <c r="A29" s="4"/>
      <c r="B29" s="4" t="str">
        <f>Sheet3!B66</f>
        <v>Kitchen 1</v>
      </c>
      <c r="C29" s="4">
        <f>Sheet3!G130</f>
        <v>0.30208953004164191</v>
      </c>
      <c r="D29" s="6">
        <v>1</v>
      </c>
      <c r="E29" s="4" t="s">
        <v>53</v>
      </c>
    </row>
    <row r="30" spans="1:5">
      <c r="A30" s="4"/>
      <c r="B30" s="4"/>
      <c r="C30" s="4"/>
      <c r="D30" s="4"/>
      <c r="E30" s="4"/>
    </row>
    <row r="31" spans="1:5" s="9" customFormat="1">
      <c r="A31" s="5">
        <v>6</v>
      </c>
      <c r="B31" s="5" t="s">
        <v>63</v>
      </c>
      <c r="C31" s="5">
        <f>SUM(C32:C48)</f>
        <v>303.03752516359316</v>
      </c>
      <c r="D31" s="10">
        <v>1</v>
      </c>
      <c r="E31" s="5" t="s">
        <v>53</v>
      </c>
    </row>
    <row r="32" spans="1:5">
      <c r="A32" s="4"/>
      <c r="B32" s="48" t="s">
        <v>62</v>
      </c>
      <c r="C32" s="4">
        <f>Sheet1!G59</f>
        <v>19.0441</v>
      </c>
      <c r="D32" s="6">
        <v>1</v>
      </c>
      <c r="E32" s="4" t="s">
        <v>53</v>
      </c>
    </row>
    <row r="33" spans="1:5">
      <c r="A33" s="4"/>
      <c r="B33" s="4" t="s">
        <v>65</v>
      </c>
      <c r="C33" s="4">
        <f>Sheet1!G131</f>
        <v>10.407899999999998</v>
      </c>
      <c r="D33" s="6">
        <v>1</v>
      </c>
      <c r="E33" s="4" t="s">
        <v>53</v>
      </c>
    </row>
    <row r="34" spans="1:5">
      <c r="A34" s="4"/>
      <c r="B34" s="4" t="s">
        <v>66</v>
      </c>
      <c r="C34" s="4">
        <f>Sheet1!G133</f>
        <v>1.9007999999999998</v>
      </c>
      <c r="D34" s="6">
        <v>1</v>
      </c>
      <c r="E34" s="4" t="s">
        <v>53</v>
      </c>
    </row>
    <row r="35" spans="1:5">
      <c r="A35" s="4"/>
      <c r="B35" s="4" t="str">
        <f>Sheet2!B124</f>
        <v>passage</v>
      </c>
      <c r="C35" s="21">
        <f>Sheet2!I127</f>
        <v>7.9368292682926826</v>
      </c>
      <c r="D35" s="6">
        <v>1</v>
      </c>
      <c r="E35" s="4" t="s">
        <v>53</v>
      </c>
    </row>
    <row r="36" spans="1:5">
      <c r="A36" s="4"/>
      <c r="B36" s="4" t="str">
        <f>Sheet2!B128</f>
        <v>ward boy room</v>
      </c>
      <c r="C36" s="21">
        <f>Sheet2!I132</f>
        <v>6.568985365853659</v>
      </c>
      <c r="D36" s="6">
        <v>1</v>
      </c>
      <c r="E36" s="4" t="s">
        <v>53</v>
      </c>
    </row>
    <row r="37" spans="1:5">
      <c r="A37" s="4"/>
      <c r="B37" s="4" t="str">
        <f>Sheet2!B133</f>
        <v>hall</v>
      </c>
      <c r="C37" s="21">
        <f>Sheet2!I138</f>
        <v>100.5870761451517</v>
      </c>
      <c r="D37" s="6">
        <v>1</v>
      </c>
      <c r="E37" s="4" t="s">
        <v>53</v>
      </c>
    </row>
    <row r="38" spans="1:5">
      <c r="A38" s="4"/>
      <c r="B38" s="4" t="str">
        <f>Sheet2!B142</f>
        <v>mainder</v>
      </c>
      <c r="C38" s="21">
        <f>Sheet2!I143</f>
        <v>3.1320000000000001</v>
      </c>
      <c r="D38" s="6">
        <v>1</v>
      </c>
      <c r="E38" s="4" t="s">
        <v>53</v>
      </c>
    </row>
    <row r="39" spans="1:5">
      <c r="A39" s="4"/>
      <c r="B39" s="4" t="str">
        <f>Sheet2!B151</f>
        <v>kitchen1</v>
      </c>
      <c r="C39" s="21">
        <f>Sheet2!I155</f>
        <v>26.05022804878049</v>
      </c>
      <c r="D39" s="6">
        <v>1</v>
      </c>
      <c r="E39" s="4" t="s">
        <v>53</v>
      </c>
    </row>
    <row r="40" spans="1:5">
      <c r="A40" s="4"/>
      <c r="B40" s="4" t="str">
        <f>Sheet2!B156</f>
        <v>Kitchen store room</v>
      </c>
      <c r="C40" s="21">
        <f>Sheet2!I160</f>
        <v>9.3052870315288523</v>
      </c>
      <c r="D40" s="6">
        <v>1</v>
      </c>
      <c r="E40" s="4" t="s">
        <v>53</v>
      </c>
    </row>
    <row r="41" spans="1:5">
      <c r="A41" s="4"/>
      <c r="B41" s="4" t="str">
        <f>Sheet2!B161</f>
        <v>master bedroom 1</v>
      </c>
      <c r="C41" s="21">
        <f>Sheet2!I162</f>
        <v>26.001500000000004</v>
      </c>
      <c r="D41" s="6">
        <v>1</v>
      </c>
      <c r="E41" s="4" t="s">
        <v>53</v>
      </c>
    </row>
    <row r="42" spans="1:5">
      <c r="A42" s="4"/>
      <c r="B42" s="4" t="str">
        <f>Sheet2!B172</f>
        <v>master bedroom 2</v>
      </c>
      <c r="C42" s="21">
        <f>Sheet2!I175</f>
        <v>19.748182926829273</v>
      </c>
      <c r="D42" s="6">
        <v>1</v>
      </c>
      <c r="E42" s="4" t="s">
        <v>53</v>
      </c>
    </row>
    <row r="43" spans="1:5">
      <c r="A43" s="4"/>
      <c r="B43" s="4" t="str">
        <f>Sheet2!B195</f>
        <v>terrrace balcony</v>
      </c>
      <c r="C43" s="21">
        <f>Sheet2!I196</f>
        <v>12.932926829268295</v>
      </c>
      <c r="D43" s="6">
        <v>1</v>
      </c>
      <c r="E43" s="4" t="s">
        <v>53</v>
      </c>
    </row>
    <row r="44" spans="1:5">
      <c r="A44" s="4"/>
      <c r="B44" s="4" t="str">
        <f>Sheet2!B199</f>
        <v>guest room</v>
      </c>
      <c r="C44" s="21">
        <f>Sheet2!I200</f>
        <v>17.965961481261157</v>
      </c>
      <c r="D44" s="6">
        <v>1</v>
      </c>
      <c r="E44" s="4" t="s">
        <v>53</v>
      </c>
    </row>
    <row r="45" spans="1:5">
      <c r="A45" s="4"/>
      <c r="B45" s="4" t="str">
        <f>Sheet2!B214</f>
        <v>terrace balcony</v>
      </c>
      <c r="C45" s="21">
        <f>Sheet2!I215</f>
        <v>4.9579863176680554</v>
      </c>
      <c r="D45" s="6">
        <v>1</v>
      </c>
      <c r="E45" s="4" t="s">
        <v>53</v>
      </c>
    </row>
    <row r="46" spans="1:5">
      <c r="A46" s="4"/>
      <c r="B46" s="4" t="str">
        <f>Sheet2!B218</f>
        <v>Maid room</v>
      </c>
      <c r="C46" s="21">
        <f>Sheet2!I221</f>
        <v>10.917378048780488</v>
      </c>
      <c r="D46" s="6">
        <v>1</v>
      </c>
      <c r="E46" s="4" t="s">
        <v>53</v>
      </c>
    </row>
    <row r="47" spans="1:5">
      <c r="A47" s="4"/>
      <c r="B47" s="4" t="str">
        <f>Sheet2!B224</f>
        <v>kitchen 2</v>
      </c>
      <c r="C47" s="21">
        <f>Sheet2!I227</f>
        <v>7.9937537180249851</v>
      </c>
      <c r="D47" s="6">
        <v>1</v>
      </c>
      <c r="E47" s="4" t="s">
        <v>53</v>
      </c>
    </row>
    <row r="48" spans="1:5">
      <c r="A48" s="4"/>
      <c r="B48" s="4" t="str">
        <f>Sheet2!B293</f>
        <v>Kitchen 2</v>
      </c>
      <c r="C48" s="21">
        <f>Sheet2!I302</f>
        <v>17.586629982153482</v>
      </c>
      <c r="D48" s="6">
        <v>1</v>
      </c>
      <c r="E48" s="4" t="s">
        <v>53</v>
      </c>
    </row>
    <row r="49" spans="1:5" ht="12" customHeight="1">
      <c r="A49" s="4"/>
      <c r="B49" s="4"/>
      <c r="C49" s="21"/>
      <c r="D49" s="4"/>
      <c r="E49" s="4"/>
    </row>
    <row r="50" spans="1:5" s="9" customFormat="1">
      <c r="A50" s="5">
        <v>7</v>
      </c>
      <c r="B50" s="5" t="s">
        <v>64</v>
      </c>
      <c r="C50" s="5">
        <f>SUM(C51:C61)</f>
        <v>128.159756097561</v>
      </c>
      <c r="D50" s="10">
        <v>1</v>
      </c>
      <c r="E50" s="5" t="s">
        <v>14</v>
      </c>
    </row>
    <row r="51" spans="1:5">
      <c r="A51" s="4"/>
      <c r="B51" s="4" t="s">
        <v>62</v>
      </c>
      <c r="C51" s="4">
        <f>Sheet1!G60</f>
        <v>9.2200000000000006</v>
      </c>
      <c r="D51" s="6">
        <v>1</v>
      </c>
      <c r="E51" s="4" t="s">
        <v>14</v>
      </c>
    </row>
    <row r="52" spans="1:5">
      <c r="A52" s="4"/>
      <c r="B52" s="4" t="s">
        <v>66</v>
      </c>
      <c r="C52" s="4">
        <f>Sheet1!G134</f>
        <v>2.74</v>
      </c>
      <c r="D52" s="6">
        <v>1</v>
      </c>
      <c r="E52" s="4" t="s">
        <v>14</v>
      </c>
    </row>
    <row r="53" spans="1:5">
      <c r="A53" s="4"/>
      <c r="B53" s="4" t="str">
        <f>Sheet2!B133</f>
        <v>hall</v>
      </c>
      <c r="C53" s="21">
        <f>Sheet2!I141</f>
        <v>16.792682926829269</v>
      </c>
      <c r="D53" s="6">
        <v>1</v>
      </c>
      <c r="E53" s="4" t="s">
        <v>14</v>
      </c>
    </row>
    <row r="54" spans="1:5">
      <c r="A54" s="4"/>
      <c r="B54" s="4" t="str">
        <f>Sheet2!B142</f>
        <v>mainder</v>
      </c>
      <c r="C54" s="21">
        <f>Sheet2!I144</f>
        <v>5.4878048780487809</v>
      </c>
      <c r="D54" s="6">
        <v>1</v>
      </c>
      <c r="E54" s="4" t="s">
        <v>14</v>
      </c>
    </row>
    <row r="55" spans="1:5">
      <c r="A55" s="4"/>
      <c r="B55" s="4" t="str">
        <f>Sheet2!B161</f>
        <v>master bedroom 1</v>
      </c>
      <c r="C55" s="21">
        <f>Sheet2!I165</f>
        <v>23.042682926829272</v>
      </c>
      <c r="D55" s="6">
        <v>1</v>
      </c>
      <c r="E55" s="4" t="s">
        <v>14</v>
      </c>
    </row>
    <row r="56" spans="1:5">
      <c r="A56" s="4"/>
      <c r="B56" s="4" t="str">
        <f>Sheet2!B195</f>
        <v>terrrace balcony</v>
      </c>
      <c r="C56" s="21">
        <f>Sheet2!I197</f>
        <v>14.329268292682928</v>
      </c>
      <c r="D56" s="6">
        <v>1</v>
      </c>
      <c r="E56" s="4" t="s">
        <v>14</v>
      </c>
    </row>
    <row r="57" spans="1:5">
      <c r="A57" s="4"/>
      <c r="B57" s="4" t="str">
        <f>Sheet2!B199</f>
        <v>guest room</v>
      </c>
      <c r="C57" s="21">
        <f>Sheet2!I201</f>
        <v>14</v>
      </c>
      <c r="D57" s="6">
        <v>1</v>
      </c>
      <c r="E57" s="4" t="s">
        <v>14</v>
      </c>
    </row>
    <row r="58" spans="1:5">
      <c r="A58" s="4"/>
      <c r="B58" s="4" t="str">
        <f>Sheet2!B214</f>
        <v>terrace balcony</v>
      </c>
      <c r="C58" s="21">
        <f>Sheet2!I216</f>
        <v>9.1463414634146343</v>
      </c>
      <c r="D58" s="6">
        <v>1</v>
      </c>
      <c r="E58" s="4" t="s">
        <v>14</v>
      </c>
    </row>
    <row r="59" spans="1:5">
      <c r="A59" s="4"/>
      <c r="B59" s="4" t="str">
        <f>Sheet2!B218</f>
        <v>Maid room</v>
      </c>
      <c r="C59" s="21">
        <f>Sheet2!I222</f>
        <v>10.060975609756099</v>
      </c>
      <c r="D59" s="6">
        <v>1</v>
      </c>
      <c r="E59" s="4" t="s">
        <v>14</v>
      </c>
    </row>
    <row r="60" spans="1:5">
      <c r="A60" s="4"/>
      <c r="B60" s="4" t="str">
        <f>Sheet2!B224</f>
        <v>kitchen 2</v>
      </c>
      <c r="C60" s="21">
        <f>Sheet2!I228</f>
        <v>10.9</v>
      </c>
      <c r="D60" s="6">
        <v>1</v>
      </c>
      <c r="E60" s="4" t="s">
        <v>14</v>
      </c>
    </row>
    <row r="61" spans="1:5">
      <c r="A61" s="4"/>
      <c r="B61" s="4" t="str">
        <f>Sheet2!B172</f>
        <v>master bedroom 2</v>
      </c>
      <c r="C61" s="21">
        <f>Sheet2!I176</f>
        <v>12.44</v>
      </c>
      <c r="D61" s="6">
        <v>1</v>
      </c>
      <c r="E61" s="4" t="s">
        <v>14</v>
      </c>
    </row>
    <row r="62" spans="1:5">
      <c r="A62" s="4"/>
      <c r="B62" s="4"/>
      <c r="C62" s="4"/>
      <c r="D62" s="4"/>
      <c r="E62" s="4"/>
    </row>
    <row r="63" spans="1:5" s="9" customFormat="1">
      <c r="A63" s="5">
        <v>8</v>
      </c>
      <c r="B63" s="5" t="s">
        <v>37</v>
      </c>
      <c r="C63" s="5">
        <f>SUM(C64:C71)</f>
        <v>564.57065853658537</v>
      </c>
      <c r="D63" s="10">
        <v>1</v>
      </c>
      <c r="E63" s="5" t="s">
        <v>14</v>
      </c>
    </row>
    <row r="64" spans="1:5">
      <c r="A64" s="4"/>
      <c r="B64" s="4" t="s">
        <v>49</v>
      </c>
      <c r="C64" s="4">
        <f>Sheet1!G69</f>
        <v>93.179999999999993</v>
      </c>
      <c r="D64" s="6">
        <v>1</v>
      </c>
      <c r="E64" s="4" t="s">
        <v>14</v>
      </c>
    </row>
    <row r="65" spans="1:5">
      <c r="A65" s="4"/>
      <c r="B65" s="4" t="s">
        <v>49</v>
      </c>
      <c r="C65" s="4">
        <f>Sheet1!G80</f>
        <v>103.94670731707316</v>
      </c>
      <c r="D65" s="6">
        <v>1</v>
      </c>
      <c r="E65" s="4" t="s">
        <v>14</v>
      </c>
    </row>
    <row r="66" spans="1:5">
      <c r="A66" s="4"/>
      <c r="B66" s="4" t="s">
        <v>41</v>
      </c>
      <c r="C66" s="4">
        <f>Sheet1!G90</f>
        <v>72.42</v>
      </c>
      <c r="D66" s="6">
        <v>1</v>
      </c>
      <c r="E66" s="4" t="s">
        <v>14</v>
      </c>
    </row>
    <row r="67" spans="1:5">
      <c r="A67" s="4"/>
      <c r="B67" s="4" t="s">
        <v>81</v>
      </c>
      <c r="C67" s="4">
        <f>Sheet1!G95</f>
        <v>11.833951219512194</v>
      </c>
      <c r="D67" s="6">
        <v>1</v>
      </c>
      <c r="E67" s="4" t="s">
        <v>14</v>
      </c>
    </row>
    <row r="68" spans="1:5">
      <c r="A68" s="4"/>
      <c r="B68" s="4" t="s">
        <v>51</v>
      </c>
      <c r="C68" s="4">
        <f>Sheet1!G111</f>
        <v>119.97</v>
      </c>
      <c r="D68" s="6">
        <v>1</v>
      </c>
      <c r="E68" s="4" t="s">
        <v>14</v>
      </c>
    </row>
    <row r="69" spans="1:5">
      <c r="A69" s="4"/>
      <c r="B69" s="4" t="s">
        <v>44</v>
      </c>
      <c r="C69" s="4">
        <f>Sheet1!G116</f>
        <v>24.29</v>
      </c>
      <c r="D69" s="6">
        <v>1</v>
      </c>
      <c r="E69" s="4" t="s">
        <v>14</v>
      </c>
    </row>
    <row r="70" spans="1:5">
      <c r="A70" s="4"/>
      <c r="B70" s="4" t="s">
        <v>52</v>
      </c>
      <c r="C70" s="4">
        <f>Sheet1!G125</f>
        <v>64.63</v>
      </c>
      <c r="D70" s="6">
        <v>1</v>
      </c>
      <c r="E70" s="4" t="s">
        <v>14</v>
      </c>
    </row>
    <row r="71" spans="1:5">
      <c r="A71" s="4"/>
      <c r="B71" s="4" t="str">
        <f>Sheet4!B84</f>
        <v>11th. Floor Formal area</v>
      </c>
      <c r="C71" s="21">
        <f>Sheet4!I94</f>
        <v>74.300000000000011</v>
      </c>
      <c r="D71" s="6">
        <v>1</v>
      </c>
      <c r="E71" s="4" t="s">
        <v>14</v>
      </c>
    </row>
    <row r="72" spans="1:5">
      <c r="A72" s="4"/>
      <c r="B72" s="4"/>
      <c r="C72" s="4"/>
      <c r="D72" s="4"/>
      <c r="E72" s="4"/>
    </row>
    <row r="73" spans="1:5" s="9" customFormat="1">
      <c r="A73" s="5">
        <v>9</v>
      </c>
      <c r="B73" s="18" t="s">
        <v>79</v>
      </c>
      <c r="C73" s="5">
        <f>SUM(C74:C75)</f>
        <v>2.9299999999999997</v>
      </c>
      <c r="D73" s="10">
        <v>1</v>
      </c>
      <c r="E73" s="5" t="s">
        <v>14</v>
      </c>
    </row>
    <row r="74" spans="1:5">
      <c r="A74" s="4"/>
      <c r="B74" s="4" t="s">
        <v>49</v>
      </c>
      <c r="C74" s="4">
        <f>Sheet1!G82</f>
        <v>1.49</v>
      </c>
      <c r="D74" s="6">
        <v>1</v>
      </c>
      <c r="E74" s="4" t="s">
        <v>14</v>
      </c>
    </row>
    <row r="75" spans="1:5">
      <c r="A75" s="4"/>
      <c r="B75" s="4" t="s">
        <v>70</v>
      </c>
      <c r="C75" s="4">
        <f>Sheet1!G138</f>
        <v>1.44</v>
      </c>
      <c r="D75" s="6">
        <v>1</v>
      </c>
      <c r="E75" s="4" t="s">
        <v>14</v>
      </c>
    </row>
    <row r="76" spans="1:5">
      <c r="A76" s="4"/>
      <c r="B76" s="4"/>
      <c r="C76" s="4"/>
      <c r="D76" s="4"/>
      <c r="E76" s="4"/>
    </row>
    <row r="77" spans="1:5" s="9" customFormat="1">
      <c r="A77" s="5">
        <v>10</v>
      </c>
      <c r="B77" s="5" t="s">
        <v>67</v>
      </c>
      <c r="C77" s="5">
        <f>SUM(C78:C79)</f>
        <v>1.3300327781082688</v>
      </c>
      <c r="D77" s="10">
        <v>1</v>
      </c>
      <c r="E77" s="5" t="s">
        <v>53</v>
      </c>
    </row>
    <row r="78" spans="1:5">
      <c r="A78" s="4"/>
      <c r="B78" s="4" t="s">
        <v>81</v>
      </c>
      <c r="C78" s="4">
        <f>Sheet1!G96</f>
        <v>0.91959999999999997</v>
      </c>
      <c r="D78" s="6">
        <v>1</v>
      </c>
      <c r="E78" s="4" t="s">
        <v>53</v>
      </c>
    </row>
    <row r="79" spans="1:5">
      <c r="A79" s="4"/>
      <c r="B79" s="4" t="s">
        <v>49</v>
      </c>
      <c r="C79" s="4">
        <f>Sheet1!G84</f>
        <v>0.41043277810826889</v>
      </c>
      <c r="D79" s="6">
        <v>1</v>
      </c>
      <c r="E79" s="4" t="s">
        <v>53</v>
      </c>
    </row>
    <row r="80" spans="1:5">
      <c r="A80" s="4"/>
      <c r="B80" s="4"/>
      <c r="C80" s="4"/>
      <c r="D80" s="4"/>
      <c r="E80" s="4"/>
    </row>
    <row r="81" spans="1:5" s="9" customFormat="1">
      <c r="A81" s="5">
        <v>11</v>
      </c>
      <c r="B81" s="49" t="s">
        <v>68</v>
      </c>
      <c r="C81" s="5">
        <f>SUM(C82:C84)</f>
        <v>13.65329268292683</v>
      </c>
      <c r="D81" s="10">
        <v>1</v>
      </c>
      <c r="E81" s="5" t="s">
        <v>14</v>
      </c>
    </row>
    <row r="82" spans="1:5">
      <c r="A82" s="4"/>
      <c r="B82" s="4" t="s">
        <v>81</v>
      </c>
      <c r="C82" s="4">
        <f>Sheet1!G97</f>
        <v>0.76</v>
      </c>
      <c r="D82" s="6">
        <v>1</v>
      </c>
      <c r="E82" s="4" t="s">
        <v>14</v>
      </c>
    </row>
    <row r="83" spans="1:5">
      <c r="A83" s="4"/>
      <c r="B83" s="4" t="str">
        <f>Sheet3!B66</f>
        <v>Kitchen 1</v>
      </c>
      <c r="C83" s="4">
        <f>Sheet3!G128</f>
        <v>9.0396341463414647</v>
      </c>
      <c r="D83" s="6">
        <v>1</v>
      </c>
      <c r="E83" s="4" t="s">
        <v>14</v>
      </c>
    </row>
    <row r="84" spans="1:5">
      <c r="A84" s="4"/>
      <c r="B84" s="4" t="str">
        <f>Sheet3!B66</f>
        <v>Kitchen 1</v>
      </c>
      <c r="C84" s="4">
        <f>Sheet3!G176</f>
        <v>3.8536585365853662</v>
      </c>
      <c r="D84" s="6">
        <v>1</v>
      </c>
      <c r="E84" s="4" t="s">
        <v>14</v>
      </c>
    </row>
    <row r="85" spans="1:5">
      <c r="A85" s="4"/>
      <c r="B85" s="4"/>
      <c r="C85" s="4"/>
      <c r="D85" s="4"/>
      <c r="E85" s="4"/>
    </row>
    <row r="86" spans="1:5" s="9" customFormat="1">
      <c r="A86" s="5">
        <v>12</v>
      </c>
      <c r="B86" s="5" t="s">
        <v>69</v>
      </c>
      <c r="C86" s="5">
        <f>SUM(C87:C97)</f>
        <v>130.28236585365852</v>
      </c>
      <c r="D86" s="10">
        <v>1</v>
      </c>
      <c r="E86" s="5" t="s">
        <v>14</v>
      </c>
    </row>
    <row r="87" spans="1:5">
      <c r="A87" s="4"/>
      <c r="B87" s="4" t="s">
        <v>49</v>
      </c>
      <c r="C87" s="4">
        <f>Sheet1!G83</f>
        <v>2.13</v>
      </c>
      <c r="D87" s="6">
        <v>1</v>
      </c>
      <c r="E87" s="4" t="s">
        <v>14</v>
      </c>
    </row>
    <row r="88" spans="1:5">
      <c r="A88" s="4"/>
      <c r="B88" s="4" t="s">
        <v>49</v>
      </c>
      <c r="C88" s="4">
        <f>Sheet1!G85</f>
        <v>3.5548780487804881</v>
      </c>
      <c r="D88" s="6">
        <v>1</v>
      </c>
      <c r="E88" s="4" t="s">
        <v>14</v>
      </c>
    </row>
    <row r="89" spans="1:5">
      <c r="A89" s="4"/>
      <c r="B89" s="48" t="s">
        <v>81</v>
      </c>
      <c r="C89" s="4">
        <f>Sheet1!G98</f>
        <v>0.76200000000000001</v>
      </c>
      <c r="D89" s="6">
        <v>1</v>
      </c>
      <c r="E89" s="4" t="s">
        <v>14</v>
      </c>
    </row>
    <row r="90" spans="1:5">
      <c r="A90" s="4"/>
      <c r="B90" s="48" t="s">
        <v>70</v>
      </c>
      <c r="C90" s="4">
        <f>Sheet1!G139</f>
        <v>2.13</v>
      </c>
      <c r="D90" s="6">
        <v>1</v>
      </c>
      <c r="E90" s="4" t="s">
        <v>14</v>
      </c>
    </row>
    <row r="91" spans="1:5">
      <c r="A91" s="4"/>
      <c r="B91" s="53" t="str">
        <f>Sheet2!B282</f>
        <v>Lift lobby</v>
      </c>
      <c r="C91" s="21">
        <f>Sheet2!I288</f>
        <v>14.478658536585368</v>
      </c>
      <c r="D91" s="6">
        <v>1</v>
      </c>
      <c r="E91" s="4" t="s">
        <v>14</v>
      </c>
    </row>
    <row r="92" spans="1:5">
      <c r="A92" s="4"/>
      <c r="B92" s="53" t="str">
        <f>Sheet3!B7</f>
        <v>Terrace</v>
      </c>
      <c r="C92" s="21">
        <f>Sheet3!G37</f>
        <v>36.506097560975611</v>
      </c>
      <c r="D92" s="6">
        <v>1</v>
      </c>
      <c r="E92" s="4" t="s">
        <v>14</v>
      </c>
    </row>
    <row r="93" spans="1:5">
      <c r="A93" s="4"/>
      <c r="B93" s="53" t="str">
        <f>Sheet3!B66</f>
        <v>Kitchen 1</v>
      </c>
      <c r="C93" s="21">
        <f>Sheet3!G98</f>
        <v>39.624999999999993</v>
      </c>
      <c r="D93" s="6">
        <v>1</v>
      </c>
      <c r="E93" s="4" t="s">
        <v>14</v>
      </c>
    </row>
    <row r="94" spans="1:5">
      <c r="A94" s="4"/>
      <c r="B94" s="4" t="s">
        <v>30</v>
      </c>
      <c r="C94" s="4">
        <f>Sheet1!G49</f>
        <v>1.8292682926829269</v>
      </c>
      <c r="D94" s="6">
        <v>1</v>
      </c>
      <c r="E94" s="4" t="s">
        <v>14</v>
      </c>
    </row>
    <row r="95" spans="1:5">
      <c r="A95" s="4"/>
      <c r="B95" s="4" t="str">
        <f>Sheet2!B172</f>
        <v>master bedroom 2</v>
      </c>
      <c r="C95" s="21">
        <f>Sheet2!I178</f>
        <v>18.8</v>
      </c>
      <c r="D95" s="6">
        <v>1</v>
      </c>
      <c r="E95" s="4" t="s">
        <v>14</v>
      </c>
    </row>
    <row r="96" spans="1:5">
      <c r="A96" s="4"/>
      <c r="B96" s="4" t="str">
        <f>Sheet2!B274</f>
        <v>Living room</v>
      </c>
      <c r="C96" s="21">
        <f>Sheet2!I276</f>
        <v>6.8597560975609762</v>
      </c>
      <c r="D96" s="6">
        <v>1</v>
      </c>
      <c r="E96" s="4" t="s">
        <v>14</v>
      </c>
    </row>
    <row r="97" spans="1:5">
      <c r="A97" s="4"/>
      <c r="B97" s="4" t="str">
        <f>Sheet2!B203</f>
        <v>guest bathroom</v>
      </c>
      <c r="C97" s="21">
        <f>Sheet2!I206</f>
        <v>3.6067073170731705</v>
      </c>
      <c r="D97" s="6">
        <v>1</v>
      </c>
      <c r="E97" s="4" t="s">
        <v>14</v>
      </c>
    </row>
    <row r="98" spans="1:5">
      <c r="A98" s="4"/>
      <c r="B98" s="48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 s="9" customFormat="1">
      <c r="A100" s="5">
        <v>13</v>
      </c>
      <c r="B100" s="5" t="s">
        <v>97</v>
      </c>
      <c r="C100" s="28">
        <f>SUM(C101:C102)</f>
        <v>1.8536585365853659</v>
      </c>
      <c r="D100" s="10">
        <v>1</v>
      </c>
      <c r="E100" s="5" t="s">
        <v>53</v>
      </c>
    </row>
    <row r="101" spans="1:5">
      <c r="A101" s="4"/>
      <c r="B101" s="4" t="str">
        <f>Sheet2!B203</f>
        <v>guest bathroom</v>
      </c>
      <c r="C101" s="21">
        <f>Sheet2!I208</f>
        <v>0.9390243902439025</v>
      </c>
      <c r="D101" s="6">
        <v>1</v>
      </c>
      <c r="E101" s="4" t="s">
        <v>14</v>
      </c>
    </row>
    <row r="102" spans="1:5">
      <c r="A102" s="4"/>
      <c r="B102" s="4" t="str">
        <f>Sheet2!B183</f>
        <v>master bedroom 2 toilet</v>
      </c>
      <c r="C102" s="21">
        <f>Sheet2!I185</f>
        <v>0.91463414634146345</v>
      </c>
      <c r="D102" s="6">
        <v>1</v>
      </c>
      <c r="E102" s="4" t="s">
        <v>14</v>
      </c>
    </row>
    <row r="103" spans="1:5">
      <c r="A103" s="4"/>
      <c r="B103" s="4"/>
      <c r="C103" s="4"/>
      <c r="D103" s="4"/>
      <c r="E103" s="4"/>
    </row>
    <row r="104" spans="1:5" s="9" customFormat="1">
      <c r="A104" s="5">
        <v>14</v>
      </c>
      <c r="B104" s="5" t="s">
        <v>101</v>
      </c>
      <c r="C104" s="28">
        <f>SUM(C105:C105)</f>
        <v>0.83841463414634154</v>
      </c>
      <c r="D104" s="10">
        <f>D105</f>
        <v>1</v>
      </c>
      <c r="E104" s="5" t="str">
        <f>E105</f>
        <v>rmt</v>
      </c>
    </row>
    <row r="105" spans="1:5">
      <c r="A105" s="4"/>
      <c r="B105" s="4" t="str">
        <f>Sheet2!B190</f>
        <v>master bedroom 2 toilet</v>
      </c>
      <c r="C105" s="21">
        <f>Sheet2!I192</f>
        <v>0.83841463414634154</v>
      </c>
      <c r="D105" s="6">
        <v>1</v>
      </c>
      <c r="E105" s="4" t="s">
        <v>14</v>
      </c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 s="9" customFormat="1">
      <c r="A108" s="5">
        <v>15</v>
      </c>
      <c r="B108" s="5" t="s">
        <v>294</v>
      </c>
      <c r="C108" s="28">
        <f>SUM(C109:C111)</f>
        <v>2.148518738845925</v>
      </c>
      <c r="D108" s="10">
        <v>1</v>
      </c>
      <c r="E108" s="5" t="s">
        <v>53</v>
      </c>
    </row>
    <row r="109" spans="1:5">
      <c r="A109" s="4"/>
      <c r="B109" s="21" t="str">
        <f>Sheet2!B166</f>
        <v>master bedroom 1 toilet</v>
      </c>
      <c r="C109" s="21">
        <f>Sheet2!I170</f>
        <v>0.82317073170731714</v>
      </c>
      <c r="D109" s="6">
        <v>1</v>
      </c>
      <c r="E109" s="4" t="s">
        <v>53</v>
      </c>
    </row>
    <row r="110" spans="1:5">
      <c r="A110" s="4"/>
      <c r="B110" s="21" t="str">
        <f>Sheet2!B203</f>
        <v>guest bathroom</v>
      </c>
      <c r="C110" s="21">
        <f>Sheet2!I209</f>
        <v>0.95925044616299826</v>
      </c>
      <c r="D110" s="6">
        <v>1</v>
      </c>
      <c r="E110" s="4" t="s">
        <v>53</v>
      </c>
    </row>
    <row r="111" spans="1:5">
      <c r="A111" s="4"/>
      <c r="B111" s="21" t="str">
        <f>Sheet2!B183</f>
        <v>master bedroom 2 toilet</v>
      </c>
      <c r="C111" s="21">
        <f>Sheet2!I186</f>
        <v>0.3660975609756098</v>
      </c>
      <c r="D111" s="6">
        <v>1</v>
      </c>
      <c r="E111" s="4" t="s">
        <v>53</v>
      </c>
    </row>
    <row r="112" spans="1:5">
      <c r="A112" s="4"/>
      <c r="B112" s="21"/>
      <c r="C112" s="21"/>
      <c r="D112" s="6"/>
      <c r="E112" s="4"/>
    </row>
    <row r="113" spans="1:5" s="9" customFormat="1">
      <c r="A113" s="5">
        <v>16</v>
      </c>
      <c r="B113" s="5" t="s">
        <v>138</v>
      </c>
      <c r="C113" s="28">
        <f>SUM(C114:C115)</f>
        <v>3.8</v>
      </c>
      <c r="D113" s="10">
        <v>1</v>
      </c>
      <c r="E113" s="5" t="s">
        <v>14</v>
      </c>
    </row>
    <row r="114" spans="1:5">
      <c r="A114" s="4"/>
      <c r="B114" s="4" t="str">
        <f>Sheet2!B166</f>
        <v>master bedroom 1 toilet</v>
      </c>
      <c r="C114" s="21">
        <f>Sheet2!I168</f>
        <v>2.5</v>
      </c>
      <c r="D114" s="6">
        <v>1</v>
      </c>
      <c r="E114" s="4" t="s">
        <v>14</v>
      </c>
    </row>
    <row r="115" spans="1:5">
      <c r="A115" s="4"/>
      <c r="B115" s="4" t="str">
        <f>Sheet2!B190</f>
        <v>master bedroom 2 toilet</v>
      </c>
      <c r="C115" s="21">
        <f>Sheet2!I193</f>
        <v>1.3</v>
      </c>
      <c r="D115" s="6">
        <v>1</v>
      </c>
      <c r="E115" s="4" t="s">
        <v>14</v>
      </c>
    </row>
    <row r="116" spans="1:5">
      <c r="A116" s="4"/>
      <c r="B116" s="4"/>
      <c r="C116" s="4"/>
      <c r="D116" s="4"/>
      <c r="E116" s="4"/>
    </row>
    <row r="117" spans="1:5" s="9" customFormat="1">
      <c r="A117" s="5">
        <v>17</v>
      </c>
      <c r="B117" s="5" t="s">
        <v>95</v>
      </c>
      <c r="C117" s="28">
        <f>SUM(C118:C119)</f>
        <v>8.2804878048780495</v>
      </c>
      <c r="D117" s="10">
        <v>1</v>
      </c>
      <c r="E117" s="5" t="s">
        <v>14</v>
      </c>
    </row>
    <row r="118" spans="1:5">
      <c r="A118" s="4"/>
      <c r="B118" s="4" t="str">
        <f>Sheet2!B142</f>
        <v>mainder</v>
      </c>
      <c r="C118" s="21">
        <f>Sheet2!I146</f>
        <v>3.6585365853658538</v>
      </c>
      <c r="D118" s="6">
        <v>1</v>
      </c>
      <c r="E118" s="4" t="s">
        <v>14</v>
      </c>
    </row>
    <row r="119" spans="1:5">
      <c r="A119" s="4"/>
      <c r="B119" s="4" t="str">
        <f>Sheet2!B203</f>
        <v>guest bathroom</v>
      </c>
      <c r="C119" s="21">
        <f>Sheet2!I211</f>
        <v>4.6219512195121952</v>
      </c>
      <c r="D119" s="6">
        <v>1</v>
      </c>
      <c r="E119" s="4" t="s">
        <v>14</v>
      </c>
    </row>
    <row r="120" spans="1:5">
      <c r="A120" s="4"/>
      <c r="B120" s="4"/>
      <c r="C120" s="4"/>
      <c r="D120" s="4"/>
      <c r="E120" s="4"/>
    </row>
    <row r="121" spans="1:5" s="9" customFormat="1">
      <c r="A121" s="5">
        <v>18</v>
      </c>
      <c r="B121" s="5" t="s">
        <v>269</v>
      </c>
      <c r="C121" s="28">
        <f>SUM(C122:C123)</f>
        <v>6.0945121951219514</v>
      </c>
      <c r="D121" s="10">
        <v>1</v>
      </c>
      <c r="E121" s="5" t="s">
        <v>14</v>
      </c>
    </row>
    <row r="122" spans="1:5">
      <c r="A122" s="4"/>
      <c r="B122" s="4" t="str">
        <f>Sheet2!B142</f>
        <v>mainder</v>
      </c>
      <c r="C122" s="21">
        <f>Sheet2!I147</f>
        <v>4.3932926829268295</v>
      </c>
      <c r="D122" s="6">
        <v>1</v>
      </c>
      <c r="E122" s="4" t="s">
        <v>14</v>
      </c>
    </row>
    <row r="123" spans="1:5">
      <c r="A123" s="4"/>
      <c r="B123" s="4" t="str">
        <f>Sheet2!B203</f>
        <v>guest bathroom</v>
      </c>
      <c r="C123" s="21">
        <f>Sheet2!I210</f>
        <v>1.7012195121951221</v>
      </c>
      <c r="D123" s="6">
        <v>1</v>
      </c>
      <c r="E123" s="4" t="s">
        <v>14</v>
      </c>
    </row>
    <row r="124" spans="1:5">
      <c r="A124" s="4"/>
      <c r="B124" s="4"/>
      <c r="C124" s="4"/>
      <c r="D124" s="4"/>
      <c r="E124" s="4"/>
    </row>
    <row r="125" spans="1:5" s="9" customFormat="1">
      <c r="A125" s="5">
        <v>19</v>
      </c>
      <c r="B125" s="5" t="s">
        <v>293</v>
      </c>
      <c r="C125" s="5">
        <f>SUM(C126:C129)</f>
        <v>44.265243902439025</v>
      </c>
      <c r="D125" s="10">
        <v>1</v>
      </c>
      <c r="E125" s="5" t="s">
        <v>14</v>
      </c>
    </row>
    <row r="126" spans="1:5">
      <c r="A126" s="4"/>
      <c r="B126" s="4" t="str">
        <f>Sheet3!B7</f>
        <v>Terrace</v>
      </c>
      <c r="C126" s="4">
        <f>Sheet3!G33</f>
        <v>16.242682926829268</v>
      </c>
      <c r="D126" s="6">
        <v>1</v>
      </c>
      <c r="E126" s="4" t="str">
        <f>Sheet3!I33</f>
        <v>rmt</v>
      </c>
    </row>
    <row r="127" spans="1:5">
      <c r="A127" s="4"/>
      <c r="B127" s="4" t="str">
        <f>Sheet2!B172</f>
        <v>master bedroom 2</v>
      </c>
      <c r="C127" s="21">
        <f>Sheet2!I177</f>
        <v>18.8</v>
      </c>
      <c r="D127" s="6">
        <v>1</v>
      </c>
      <c r="E127" s="4" t="s">
        <v>14</v>
      </c>
    </row>
    <row r="128" spans="1:5">
      <c r="A128" s="4"/>
      <c r="B128" s="4" t="str">
        <f>Sheet2!B274</f>
        <v>Living room</v>
      </c>
      <c r="C128" s="21">
        <f>Sheet2!I275</f>
        <v>3.4298780487804881</v>
      </c>
      <c r="D128" s="6">
        <v>1</v>
      </c>
      <c r="E128" s="4" t="s">
        <v>14</v>
      </c>
    </row>
    <row r="129" spans="1:5">
      <c r="A129" s="4"/>
      <c r="B129" s="4" t="str">
        <f>Sheet3!B7</f>
        <v>Terrace</v>
      </c>
      <c r="C129" s="21">
        <f>Sheet3!G25</f>
        <v>5.7926829268292686</v>
      </c>
      <c r="D129" s="6">
        <v>1</v>
      </c>
      <c r="E129" s="4" t="s">
        <v>14</v>
      </c>
    </row>
    <row r="130" spans="1:5">
      <c r="A130" s="4"/>
      <c r="B130" s="4"/>
      <c r="C130" s="4"/>
      <c r="D130" s="4"/>
      <c r="E130" s="4"/>
    </row>
    <row r="131" spans="1:5" s="9" customFormat="1">
      <c r="A131" s="5">
        <v>20</v>
      </c>
      <c r="B131" s="5" t="str">
        <f>Sheet2!B180</f>
        <v>V groove</v>
      </c>
      <c r="C131" s="28">
        <f>SUM(C132:C136)</f>
        <v>78.238926829268294</v>
      </c>
      <c r="D131" s="10">
        <v>1</v>
      </c>
      <c r="E131" s="5" t="s">
        <v>14</v>
      </c>
    </row>
    <row r="132" spans="1:5">
      <c r="A132" s="4"/>
      <c r="B132" s="4" t="str">
        <f>Sheet2!B172</f>
        <v>master bedroom 2</v>
      </c>
      <c r="C132" s="21">
        <f>Sheet2!I180</f>
        <v>18.8</v>
      </c>
      <c r="D132" s="6">
        <v>1</v>
      </c>
      <c r="E132" s="4" t="s">
        <v>14</v>
      </c>
    </row>
    <row r="133" spans="1:5">
      <c r="A133" s="4"/>
      <c r="B133" s="4" t="str">
        <f>Sheet2!B274</f>
        <v>Living room</v>
      </c>
      <c r="C133" s="21">
        <f>Sheet2!I278</f>
        <v>3.4298780487804881</v>
      </c>
      <c r="D133" s="6">
        <v>1</v>
      </c>
      <c r="E133" s="4" t="s">
        <v>14</v>
      </c>
    </row>
    <row r="134" spans="1:5">
      <c r="A134" s="4"/>
      <c r="B134" s="4" t="str">
        <f>Sheet3!B7</f>
        <v>Terrace</v>
      </c>
      <c r="C134" s="4">
        <f>Sheet3!G41</f>
        <v>32.518292682926827</v>
      </c>
      <c r="D134" s="6">
        <v>1</v>
      </c>
      <c r="E134" s="4" t="s">
        <v>14</v>
      </c>
    </row>
    <row r="135" spans="1:5">
      <c r="A135" s="4"/>
      <c r="B135" s="4" t="str">
        <f>Sheet3!B66</f>
        <v>Kitchen 1</v>
      </c>
      <c r="C135" s="4">
        <f>Sheet3!G121</f>
        <v>14.090756097560973</v>
      </c>
      <c r="D135" s="6">
        <v>1</v>
      </c>
      <c r="E135" s="4" t="s">
        <v>14</v>
      </c>
    </row>
    <row r="136" spans="1:5">
      <c r="A136" s="4"/>
      <c r="B136" s="4" t="str">
        <f>Sheet4!B46</f>
        <v>11th. Floor Formal area</v>
      </c>
      <c r="C136" s="21">
        <f>Sheet4!I56</f>
        <v>9.4</v>
      </c>
      <c r="D136" s="6">
        <v>1</v>
      </c>
      <c r="E136" s="4" t="s">
        <v>14</v>
      </c>
    </row>
    <row r="137" spans="1:5">
      <c r="A137" s="4"/>
      <c r="B137" s="4"/>
      <c r="C137" s="21"/>
      <c r="D137" s="4"/>
      <c r="E137" s="4"/>
    </row>
    <row r="138" spans="1:5" s="9" customFormat="1">
      <c r="A138" s="5">
        <v>21</v>
      </c>
      <c r="B138" s="5" t="str">
        <f>Sheet2!B181</f>
        <v>jari</v>
      </c>
      <c r="C138" s="28">
        <f>SUM(C139:C140)</f>
        <v>9.5975609756097562</v>
      </c>
      <c r="D138" s="10">
        <v>1</v>
      </c>
      <c r="E138" s="5" t="s">
        <v>14</v>
      </c>
    </row>
    <row r="139" spans="1:5">
      <c r="A139" s="4"/>
      <c r="B139" s="4" t="str">
        <f>Sheet2!B172</f>
        <v>master bedroom 2</v>
      </c>
      <c r="C139" s="21">
        <f>Sheet2!I181</f>
        <v>3.5</v>
      </c>
      <c r="D139" s="6">
        <v>1</v>
      </c>
      <c r="E139" s="4" t="s">
        <v>14</v>
      </c>
    </row>
    <row r="140" spans="1:5">
      <c r="A140" s="4"/>
      <c r="B140" s="4" t="str">
        <f>Sheet2!B270</f>
        <v>terrace</v>
      </c>
      <c r="C140" s="21">
        <f>Sheet2!I272</f>
        <v>6.0975609756097562</v>
      </c>
      <c r="D140" s="6">
        <v>1</v>
      </c>
      <c r="E140" s="4" t="s">
        <v>14</v>
      </c>
    </row>
    <row r="141" spans="1:5">
      <c r="A141" s="4"/>
      <c r="B141" s="4"/>
      <c r="C141" s="4"/>
      <c r="D141" s="4"/>
      <c r="E141" s="4"/>
    </row>
    <row r="142" spans="1:5" s="9" customFormat="1">
      <c r="A142" s="5">
        <v>22</v>
      </c>
      <c r="B142" s="5" t="s">
        <v>187</v>
      </c>
      <c r="C142" s="28">
        <f>SUM(C143:C144)</f>
        <v>9.4512195121951219</v>
      </c>
      <c r="D142" s="10">
        <v>1</v>
      </c>
      <c r="E142" s="5" t="s">
        <v>14</v>
      </c>
    </row>
    <row r="143" spans="1:5">
      <c r="A143" s="4"/>
      <c r="B143" s="4" t="str">
        <f>Sheet2!B230</f>
        <v>main door frame plater</v>
      </c>
      <c r="C143" s="21">
        <f>Sheet2!I230</f>
        <v>7.6219512195121952</v>
      </c>
      <c r="D143" s="6">
        <v>1</v>
      </c>
      <c r="E143" s="4" t="s">
        <v>14</v>
      </c>
    </row>
    <row r="144" spans="1:5">
      <c r="A144" s="4"/>
      <c r="B144" s="4" t="str">
        <f>Sheet2!B270</f>
        <v>terrace</v>
      </c>
      <c r="C144" s="21">
        <f>Sheet2!I271</f>
        <v>1.8292682926829267</v>
      </c>
      <c r="D144" s="6">
        <v>1</v>
      </c>
      <c r="E144" s="4" t="s">
        <v>14</v>
      </c>
    </row>
    <row r="145" spans="1:5">
      <c r="A145" s="4"/>
      <c r="B145" s="4"/>
      <c r="C145" s="4"/>
      <c r="D145" s="4"/>
      <c r="E145" s="4"/>
    </row>
    <row r="146" spans="1:5" s="9" customFormat="1">
      <c r="A146" s="5">
        <v>23</v>
      </c>
      <c r="B146" s="5" t="s">
        <v>160</v>
      </c>
      <c r="C146" s="28">
        <f>SUM(C147:C147)</f>
        <v>11.890243902439025</v>
      </c>
      <c r="D146" s="10">
        <v>1</v>
      </c>
      <c r="E146" s="5" t="s">
        <v>14</v>
      </c>
    </row>
    <row r="147" spans="1:5">
      <c r="A147" s="4"/>
      <c r="B147" s="4" t="str">
        <f>Sheet2!B274</f>
        <v>Living room</v>
      </c>
      <c r="C147" s="21">
        <f>Sheet2!I279</f>
        <v>11.890243902439025</v>
      </c>
      <c r="D147" s="6">
        <v>1</v>
      </c>
      <c r="E147" s="4" t="s">
        <v>14</v>
      </c>
    </row>
    <row r="148" spans="1:5">
      <c r="A148" s="4"/>
      <c r="B148" s="4"/>
      <c r="C148" s="4"/>
      <c r="D148" s="4"/>
      <c r="E148" s="4"/>
    </row>
    <row r="149" spans="1:5" s="9" customFormat="1">
      <c r="A149" s="5">
        <v>24</v>
      </c>
      <c r="B149" s="5" t="s">
        <v>181</v>
      </c>
      <c r="C149" s="5">
        <f>SUM(C150:C152)</f>
        <v>34.07412314098751</v>
      </c>
      <c r="D149" s="10">
        <v>1</v>
      </c>
      <c r="E149" s="5" t="s">
        <v>53</v>
      </c>
    </row>
    <row r="150" spans="1:5">
      <c r="A150" s="4"/>
      <c r="B150" s="4" t="str">
        <f>Sheet3!B7</f>
        <v>Terrace</v>
      </c>
      <c r="C150" s="4">
        <f>Sheet3!G15</f>
        <v>26.065646044021413</v>
      </c>
      <c r="D150" s="6">
        <v>1</v>
      </c>
      <c r="E150" s="4" t="s">
        <v>53</v>
      </c>
    </row>
    <row r="151" spans="1:5">
      <c r="A151" s="4"/>
      <c r="B151" s="4" t="str">
        <f>Sheet3!B66</f>
        <v>Kitchen 1</v>
      </c>
      <c r="C151" s="4">
        <f>Sheet3!G129</f>
        <v>0.71341463414634154</v>
      </c>
      <c r="D151" s="6">
        <v>1</v>
      </c>
      <c r="E151" s="4" t="s">
        <v>53</v>
      </c>
    </row>
    <row r="152" spans="1:5">
      <c r="A152" s="4"/>
      <c r="B152" s="4" t="str">
        <f>Sheet3!B66</f>
        <v>Kitchen 1</v>
      </c>
      <c r="C152" s="4">
        <f>Sheet3!G156</f>
        <v>7.2950624628197511</v>
      </c>
      <c r="D152" s="6">
        <v>1</v>
      </c>
      <c r="E152" s="4" t="s">
        <v>53</v>
      </c>
    </row>
    <row r="153" spans="1:5">
      <c r="A153" s="4"/>
      <c r="B153" s="4"/>
      <c r="C153" s="4"/>
      <c r="D153" s="6"/>
      <c r="E153" s="4"/>
    </row>
    <row r="154" spans="1:5" s="9" customFormat="1">
      <c r="A154" s="5">
        <v>25</v>
      </c>
      <c r="B154" s="5" t="s">
        <v>271</v>
      </c>
      <c r="C154" s="28">
        <f>SUM(C155:C157)</f>
        <v>13.795731707317074</v>
      </c>
      <c r="D154" s="10">
        <v>1</v>
      </c>
      <c r="E154" s="5" t="s">
        <v>14</v>
      </c>
    </row>
    <row r="155" spans="1:5">
      <c r="A155" s="4"/>
      <c r="B155" s="4" t="str">
        <f>Sheet2!B274</f>
        <v>Living room</v>
      </c>
      <c r="C155" s="21">
        <f>Sheet2!I280</f>
        <v>1.2195121951219512</v>
      </c>
      <c r="D155" s="6">
        <v>1</v>
      </c>
      <c r="E155" s="4" t="s">
        <v>14</v>
      </c>
    </row>
    <row r="156" spans="1:5">
      <c r="A156" s="4"/>
      <c r="B156" s="4" t="str">
        <f>Sheet3!B7</f>
        <v>Terrace</v>
      </c>
      <c r="C156" s="21">
        <f>Sheet3!G16</f>
        <v>10.975609756097562</v>
      </c>
      <c r="D156" s="6">
        <v>1</v>
      </c>
      <c r="E156" s="4" t="s">
        <v>14</v>
      </c>
    </row>
    <row r="157" spans="1:5">
      <c r="A157" s="4"/>
      <c r="B157" s="4" t="str">
        <f>Sheet3!B42</f>
        <v xml:space="preserve">Hall </v>
      </c>
      <c r="C157" s="21">
        <f>Sheet3!G43</f>
        <v>1.6006097560975612</v>
      </c>
      <c r="D157" s="6">
        <v>1</v>
      </c>
      <c r="E157" s="4" t="s">
        <v>14</v>
      </c>
    </row>
    <row r="158" spans="1:5">
      <c r="A158" s="4"/>
      <c r="B158" s="4"/>
      <c r="C158" s="4"/>
      <c r="D158" s="4"/>
      <c r="E158" s="4"/>
    </row>
    <row r="159" spans="1:5" s="9" customFormat="1">
      <c r="A159" s="5">
        <v>26</v>
      </c>
      <c r="B159" s="5" t="s">
        <v>74</v>
      </c>
      <c r="C159" s="28">
        <f>SUM(C160:C161)</f>
        <v>19.710365853658537</v>
      </c>
      <c r="D159" s="10">
        <v>1</v>
      </c>
      <c r="E159" s="5" t="s">
        <v>14</v>
      </c>
    </row>
    <row r="160" spans="1:5">
      <c r="A160" s="4"/>
      <c r="B160" s="4" t="str">
        <f>Sheet2!B282</f>
        <v>Lift lobby</v>
      </c>
      <c r="C160" s="21">
        <f>Sheet2!I285</f>
        <v>14.478658536585368</v>
      </c>
      <c r="D160" s="6">
        <v>1</v>
      </c>
      <c r="E160" s="4" t="s">
        <v>14</v>
      </c>
    </row>
    <row r="161" spans="1:5">
      <c r="A161" s="4"/>
      <c r="B161" s="4" t="str">
        <f>Sheet3!B7</f>
        <v>Terrace</v>
      </c>
      <c r="C161" s="4">
        <f>Sheet3!G22</f>
        <v>5.2317073170731714</v>
      </c>
      <c r="D161" s="6">
        <v>1</v>
      </c>
      <c r="E161" s="4" t="s">
        <v>14</v>
      </c>
    </row>
    <row r="162" spans="1:5">
      <c r="A162" s="4"/>
      <c r="B162" s="4"/>
      <c r="C162" s="4"/>
      <c r="D162" s="4"/>
      <c r="E162" s="4"/>
    </row>
    <row r="163" spans="1:5" s="9" customFormat="1">
      <c r="A163" s="5">
        <v>27</v>
      </c>
      <c r="B163" s="5" t="s">
        <v>273</v>
      </c>
      <c r="C163" s="5">
        <f>SUM(C164:C164)</f>
        <v>5.2317073170731714</v>
      </c>
      <c r="D163" s="10">
        <v>1</v>
      </c>
      <c r="E163" s="5" t="s">
        <v>14</v>
      </c>
    </row>
    <row r="164" spans="1:5">
      <c r="A164" s="4"/>
      <c r="B164" s="4" t="str">
        <f>Sheet3!B7</f>
        <v>Terrace</v>
      </c>
      <c r="C164" s="4">
        <f>Sheet3!G19</f>
        <v>5.2317073170731714</v>
      </c>
      <c r="D164" s="6">
        <v>1</v>
      </c>
      <c r="E164" s="4" t="s">
        <v>14</v>
      </c>
    </row>
    <row r="165" spans="1:5">
      <c r="A165" s="4"/>
      <c r="B165" s="4"/>
      <c r="C165" s="4"/>
      <c r="D165" s="4"/>
      <c r="E165" s="4"/>
    </row>
    <row r="166" spans="1:5" s="9" customFormat="1">
      <c r="A166" s="5">
        <v>28</v>
      </c>
      <c r="B166" s="5" t="str">
        <f>Sheet3!B46</f>
        <v>umbra patti breaking</v>
      </c>
      <c r="C166" s="5">
        <f>SUM(C167:C170)</f>
        <v>4.3764402214574298</v>
      </c>
      <c r="D166" s="10">
        <v>1</v>
      </c>
      <c r="E166" s="5" t="s">
        <v>14</v>
      </c>
    </row>
    <row r="167" spans="1:5">
      <c r="A167" s="4"/>
      <c r="B167" s="4" t="str">
        <f>Sheet3!B45</f>
        <v>Master 1 Bathroom</v>
      </c>
      <c r="C167" s="4">
        <f>Sheet3!G46</f>
        <v>0.94478527607361973</v>
      </c>
      <c r="D167" s="6">
        <v>1</v>
      </c>
      <c r="E167" s="4" t="s">
        <v>14</v>
      </c>
    </row>
    <row r="168" spans="1:5">
      <c r="A168" s="4"/>
      <c r="B168" s="4" t="str">
        <f>Sheet3!B49</f>
        <v>Master 2 Bathroom</v>
      </c>
      <c r="C168" s="4">
        <f>Sheet3!G50</f>
        <v>0.79141104294478537</v>
      </c>
      <c r="D168" s="6">
        <v>1</v>
      </c>
      <c r="E168" s="4" t="s">
        <v>14</v>
      </c>
    </row>
    <row r="169" spans="1:5">
      <c r="A169" s="4"/>
      <c r="B169" s="4" t="str">
        <f>Sheet3!B53</f>
        <v>Ward boy room</v>
      </c>
      <c r="C169" s="4">
        <f>Sheet3!G56</f>
        <v>1.625</v>
      </c>
      <c r="D169" s="6">
        <v>1</v>
      </c>
      <c r="E169" s="4" t="s">
        <v>14</v>
      </c>
    </row>
    <row r="170" spans="1:5">
      <c r="A170" s="4"/>
      <c r="B170" s="4" t="str">
        <f>Sheet3!B66</f>
        <v>Kitchen 1</v>
      </c>
      <c r="C170" s="4">
        <f>Sheet3!G72</f>
        <v>1.0152439024390245</v>
      </c>
      <c r="D170" s="6">
        <v>1</v>
      </c>
      <c r="E170" s="4" t="s">
        <v>14</v>
      </c>
    </row>
    <row r="171" spans="1:5">
      <c r="A171" s="4"/>
      <c r="B171" s="4"/>
      <c r="C171" s="4"/>
      <c r="D171" s="4"/>
      <c r="E171" s="4"/>
    </row>
    <row r="172" spans="1:5" s="9" customFormat="1">
      <c r="A172" s="5">
        <v>29</v>
      </c>
      <c r="B172" s="5" t="str">
        <f>Sheet3!B51</f>
        <v>umbra patti fixing</v>
      </c>
      <c r="C172" s="5">
        <f>SUM(C173:C178)</f>
        <v>6.191074367798894</v>
      </c>
      <c r="D172" s="10">
        <v>1</v>
      </c>
      <c r="E172" s="5" t="s">
        <v>14</v>
      </c>
    </row>
    <row r="173" spans="1:5">
      <c r="A173" s="4"/>
      <c r="B173" s="4" t="str">
        <f>Sheet3!B45</f>
        <v>Master 1 Bathroom</v>
      </c>
      <c r="C173" s="4">
        <f>Sheet3!G47</f>
        <v>0.94478527607361973</v>
      </c>
      <c r="D173" s="6">
        <v>1</v>
      </c>
      <c r="E173" s="4" t="s">
        <v>14</v>
      </c>
    </row>
    <row r="174" spans="1:5">
      <c r="A174" s="4"/>
      <c r="B174" s="4" t="str">
        <f>Sheet3!B49</f>
        <v>Master 2 Bathroom</v>
      </c>
      <c r="C174" s="4">
        <f>Sheet3!G51</f>
        <v>0.79141104294478537</v>
      </c>
      <c r="D174" s="6">
        <v>1</v>
      </c>
      <c r="E174" s="4" t="s">
        <v>14</v>
      </c>
    </row>
    <row r="175" spans="1:5">
      <c r="A175" s="4"/>
      <c r="B175" s="4" t="str">
        <f>Sheet3!B53</f>
        <v>Ward boy room</v>
      </c>
      <c r="C175" s="4">
        <f>Sheet3!G59</f>
        <v>1.625</v>
      </c>
      <c r="D175" s="6">
        <v>1</v>
      </c>
      <c r="E175" s="4" t="s">
        <v>14</v>
      </c>
    </row>
    <row r="176" spans="1:5">
      <c r="A176" s="4"/>
      <c r="B176" s="4" t="str">
        <f>Sheet3!B66</f>
        <v>Kitchen 1</v>
      </c>
      <c r="C176" s="4">
        <f>Sheet3!G73</f>
        <v>1.0152439024390245</v>
      </c>
      <c r="D176" s="6">
        <v>1</v>
      </c>
      <c r="E176" s="4" t="s">
        <v>14</v>
      </c>
    </row>
    <row r="177" spans="1:5">
      <c r="A177" s="4"/>
      <c r="B177" s="4" t="str">
        <f>Sheet2!B166</f>
        <v>master bedroom 1 toilet</v>
      </c>
      <c r="C177" s="21">
        <f>Sheet2!I169</f>
        <v>0.9</v>
      </c>
      <c r="D177" s="6">
        <v>1</v>
      </c>
      <c r="E177" s="4" t="s">
        <v>14</v>
      </c>
    </row>
    <row r="178" spans="1:5">
      <c r="A178" s="4"/>
      <c r="B178" s="4" t="str">
        <f>Sheet2!B183</f>
        <v>master bedroom 2 toilet</v>
      </c>
      <c r="C178" s="21">
        <f>Sheet2!I187</f>
        <v>0.91463414634146345</v>
      </c>
      <c r="D178" s="6">
        <v>1</v>
      </c>
      <c r="E178" s="4" t="s">
        <v>14</v>
      </c>
    </row>
    <row r="179" spans="1:5">
      <c r="A179" s="4"/>
      <c r="B179" s="4"/>
      <c r="C179" s="4"/>
      <c r="D179" s="6"/>
      <c r="E179" s="4"/>
    </row>
    <row r="180" spans="1:5" s="9" customFormat="1">
      <c r="A180" s="5">
        <v>30</v>
      </c>
      <c r="B180" s="18" t="s">
        <v>235</v>
      </c>
      <c r="C180" s="5">
        <f>SUM(C181)</f>
        <v>4.5371058893515768</v>
      </c>
      <c r="D180" s="10">
        <v>1</v>
      </c>
      <c r="E180" s="5" t="s">
        <v>53</v>
      </c>
    </row>
    <row r="181" spans="1:5">
      <c r="A181" s="4"/>
      <c r="B181" s="7" t="str">
        <f>Sheet3!B66</f>
        <v>Kitchen 1</v>
      </c>
      <c r="C181" s="4">
        <f>Sheet3!G137</f>
        <v>4.5371058893515768</v>
      </c>
      <c r="D181" s="6">
        <v>1</v>
      </c>
      <c r="E181" s="4" t="s">
        <v>53</v>
      </c>
    </row>
    <row r="182" spans="1:5">
      <c r="A182" s="4"/>
      <c r="B182" s="18"/>
      <c r="C182" s="4"/>
      <c r="D182" s="4"/>
      <c r="E182" s="4"/>
    </row>
    <row r="183" spans="1:5" s="9" customFormat="1">
      <c r="A183" s="5">
        <v>31</v>
      </c>
      <c r="B183" s="18" t="s">
        <v>236</v>
      </c>
      <c r="C183" s="5">
        <f>SUM(C184)</f>
        <v>2.5380168054729331</v>
      </c>
      <c r="D183" s="10">
        <v>1</v>
      </c>
      <c r="E183" s="5" t="s">
        <v>53</v>
      </c>
    </row>
    <row r="184" spans="1:5">
      <c r="A184" s="4"/>
      <c r="B184" s="7" t="str">
        <f>Sheet3!B66</f>
        <v>Kitchen 1</v>
      </c>
      <c r="C184" s="4">
        <f>Sheet3!G141</f>
        <v>2.5380168054729331</v>
      </c>
      <c r="D184" s="6">
        <v>1</v>
      </c>
      <c r="E184" s="4" t="s">
        <v>53</v>
      </c>
    </row>
    <row r="185" spans="1:5">
      <c r="A185" s="4"/>
      <c r="B185" s="7"/>
      <c r="C185" s="4"/>
      <c r="D185" s="4"/>
      <c r="E185" s="4"/>
    </row>
    <row r="186" spans="1:5" s="9" customFormat="1">
      <c r="A186" s="5">
        <v>32</v>
      </c>
      <c r="B186" s="18" t="str">
        <f>Sheet3!B146</f>
        <v>wall tile breaking</v>
      </c>
      <c r="C186" s="5">
        <f>SUM(C187)</f>
        <v>4.161864217727544</v>
      </c>
      <c r="D186" s="10">
        <v>1</v>
      </c>
      <c r="E186" s="5" t="s">
        <v>53</v>
      </c>
    </row>
    <row r="187" spans="1:5">
      <c r="A187" s="4"/>
      <c r="B187" s="7" t="str">
        <f>Sheet3!B66</f>
        <v>Kitchen 1</v>
      </c>
      <c r="C187" s="4">
        <f>Sheet3!G148</f>
        <v>4.161864217727544</v>
      </c>
      <c r="D187" s="6">
        <v>1</v>
      </c>
      <c r="E187" s="4" t="s">
        <v>53</v>
      </c>
    </row>
    <row r="188" spans="1:5">
      <c r="A188" s="4"/>
      <c r="B188" s="7"/>
      <c r="C188" s="4"/>
      <c r="D188" s="4"/>
      <c r="E188" s="4"/>
    </row>
    <row r="189" spans="1:5" s="9" customFormat="1">
      <c r="A189" s="5">
        <v>33</v>
      </c>
      <c r="B189" s="18" t="s">
        <v>25</v>
      </c>
      <c r="C189" s="5">
        <f>SUM(C190)</f>
        <v>3.8400000000000003</v>
      </c>
      <c r="D189" s="10">
        <v>1</v>
      </c>
      <c r="E189" s="5" t="s">
        <v>14</v>
      </c>
    </row>
    <row r="190" spans="1:5">
      <c r="A190" s="4"/>
      <c r="B190" s="7" t="str">
        <f>Sheet3!B66</f>
        <v>Kitchen 1</v>
      </c>
      <c r="C190" s="4">
        <f>Sheet3!G168</f>
        <v>3.8400000000000003</v>
      </c>
      <c r="D190" s="6">
        <v>1</v>
      </c>
      <c r="E190" s="4" t="s">
        <v>14</v>
      </c>
    </row>
    <row r="191" spans="1:5">
      <c r="A191" s="4"/>
      <c r="B191" s="7"/>
      <c r="C191" s="4"/>
      <c r="D191" s="6"/>
      <c r="E191" s="4"/>
    </row>
    <row r="192" spans="1:5">
      <c r="A192" s="4"/>
      <c r="B192" s="4"/>
      <c r="C192" s="4"/>
      <c r="D192" s="4"/>
      <c r="E192" s="4"/>
    </row>
    <row r="193" spans="1:5" s="9" customFormat="1">
      <c r="A193" s="5">
        <v>35</v>
      </c>
      <c r="B193" s="5" t="s">
        <v>272</v>
      </c>
      <c r="C193" s="5">
        <f>SUM(C194)</f>
        <v>40.394381618084473</v>
      </c>
      <c r="D193" s="10">
        <v>1</v>
      </c>
      <c r="E193" s="5" t="s">
        <v>53</v>
      </c>
    </row>
    <row r="194" spans="1:5">
      <c r="A194" s="4"/>
      <c r="B194" s="4" t="str">
        <f>Sheet3!B7</f>
        <v>Terrace</v>
      </c>
      <c r="C194" s="4">
        <f>Sheet3!G11</f>
        <v>40.394381618084473</v>
      </c>
      <c r="D194" s="6">
        <v>1</v>
      </c>
      <c r="E194" s="4" t="s">
        <v>53</v>
      </c>
    </row>
    <row r="195" spans="1:5">
      <c r="A195" s="4"/>
      <c r="B195" s="4"/>
      <c r="C195" s="4"/>
      <c r="D195" s="4"/>
      <c r="E195" s="4"/>
    </row>
    <row r="196" spans="1:5" s="9" customFormat="1">
      <c r="A196" s="5">
        <v>36</v>
      </c>
      <c r="B196" s="5" t="str">
        <f>Sheet3!B23</f>
        <v>Brick bed coba (Rework)</v>
      </c>
      <c r="C196" s="5">
        <f>SUM(C197:C197)</f>
        <v>0.43314991076740039</v>
      </c>
      <c r="D196" s="10">
        <v>1</v>
      </c>
      <c r="E196" s="5" t="s">
        <v>53</v>
      </c>
    </row>
    <row r="197" spans="1:5">
      <c r="A197" s="4"/>
      <c r="B197" s="4" t="str">
        <f>Sheet3!B7</f>
        <v>Terrace</v>
      </c>
      <c r="C197" s="4">
        <f>Sheet3!G23</f>
        <v>0.43314991076740039</v>
      </c>
      <c r="D197" s="6">
        <v>1</v>
      </c>
      <c r="E197" s="4" t="s">
        <v>53</v>
      </c>
    </row>
    <row r="198" spans="1:5">
      <c r="A198" s="4"/>
      <c r="B198" s="4"/>
      <c r="C198" s="4"/>
      <c r="D198" s="4"/>
      <c r="E198" s="4"/>
    </row>
    <row r="199" spans="1:5" s="9" customFormat="1">
      <c r="A199" s="5">
        <v>37</v>
      </c>
      <c r="B199" s="5" t="s">
        <v>274</v>
      </c>
      <c r="C199" s="5">
        <f>SUM(C200:C202)</f>
        <v>8.6108471076740045</v>
      </c>
      <c r="D199" s="10">
        <v>1</v>
      </c>
      <c r="E199" s="5" t="s">
        <v>53</v>
      </c>
    </row>
    <row r="200" spans="1:5">
      <c r="A200" s="4"/>
      <c r="B200" s="4" t="str">
        <f>Sheet3!B61</f>
        <v>Living room</v>
      </c>
      <c r="C200" s="4">
        <f>Sheet3!G63</f>
        <v>3.9564991076740044</v>
      </c>
      <c r="D200" s="6">
        <v>1</v>
      </c>
      <c r="E200" s="4" t="s">
        <v>53</v>
      </c>
    </row>
    <row r="201" spans="1:5">
      <c r="A201" s="4"/>
      <c r="B201" s="4" t="str">
        <f>Sheet3!B66</f>
        <v>Kitchen 1</v>
      </c>
      <c r="C201" s="4">
        <f>Sheet3!G163</f>
        <v>3.9343479999999995</v>
      </c>
      <c r="D201" s="6">
        <v>1</v>
      </c>
      <c r="E201" s="4" t="s">
        <v>53</v>
      </c>
    </row>
    <row r="202" spans="1:5">
      <c r="A202" s="4"/>
      <c r="B202" s="4" t="str">
        <f>Sheet4!B110</f>
        <v xml:space="preserve">RE Work - Western Kitchen Lift share wall Due to Crack in tiles </v>
      </c>
      <c r="C202" s="21">
        <f>Sheet4!G112</f>
        <v>0.72</v>
      </c>
      <c r="D202" s="6">
        <v>1</v>
      </c>
      <c r="E202" s="4" t="s">
        <v>53</v>
      </c>
    </row>
    <row r="203" spans="1:5">
      <c r="A203" s="4"/>
      <c r="B203" s="4"/>
      <c r="C203" s="4"/>
      <c r="D203" s="4"/>
      <c r="E203" s="4"/>
    </row>
    <row r="204" spans="1:5" s="9" customFormat="1">
      <c r="A204" s="5">
        <v>38</v>
      </c>
      <c r="B204" s="9" t="s">
        <v>442</v>
      </c>
      <c r="C204" s="28">
        <f>C205</f>
        <v>5.7227000000000006</v>
      </c>
      <c r="D204" s="10">
        <v>1</v>
      </c>
      <c r="E204" s="5" t="s">
        <v>53</v>
      </c>
    </row>
    <row r="205" spans="1:5">
      <c r="A205" s="4"/>
      <c r="B205" s="4" t="str">
        <f>Sheet4!B74</f>
        <v>11th. Floor Formal area</v>
      </c>
      <c r="C205" s="21">
        <f>Sheet4!I82</f>
        <v>5.7227000000000006</v>
      </c>
      <c r="D205" s="6">
        <v>1</v>
      </c>
      <c r="E205" s="4" t="s">
        <v>53</v>
      </c>
    </row>
    <row r="206" spans="1:5">
      <c r="A206" s="4"/>
      <c r="B206" s="4"/>
      <c r="C206" s="4"/>
      <c r="D206" s="4"/>
      <c r="E206" s="4"/>
    </row>
    <row r="207" spans="1:5" s="9" customFormat="1">
      <c r="A207" s="5">
        <v>39</v>
      </c>
      <c r="B207" s="5" t="s">
        <v>275</v>
      </c>
      <c r="C207" s="5">
        <f>SUM(C208:C208)</f>
        <v>13.466463414634147</v>
      </c>
      <c r="D207" s="10">
        <v>1</v>
      </c>
      <c r="E207" s="5" t="s">
        <v>14</v>
      </c>
    </row>
    <row r="208" spans="1:5">
      <c r="A208" s="4"/>
      <c r="B208" s="4" t="str">
        <f>Sheet3!B66</f>
        <v>Kitchen 1</v>
      </c>
      <c r="C208" s="4">
        <f>Sheet3!G80</f>
        <v>13.466463414634147</v>
      </c>
      <c r="D208" s="6">
        <v>1</v>
      </c>
      <c r="E208" s="4" t="s">
        <v>14</v>
      </c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 s="9" customFormat="1">
      <c r="A211" s="5">
        <v>40</v>
      </c>
      <c r="B211" s="28" t="s">
        <v>257</v>
      </c>
      <c r="C211" s="28">
        <f>SUM(C212:C212)</f>
        <v>28.44</v>
      </c>
      <c r="D211" s="10">
        <v>1</v>
      </c>
      <c r="E211" s="5" t="s">
        <v>14</v>
      </c>
    </row>
    <row r="212" spans="1:5">
      <c r="A212" s="4"/>
      <c r="B212" s="4" t="str">
        <f>Sheet4!B9</f>
        <v>11th. Floor Formal area</v>
      </c>
      <c r="C212" s="21">
        <f>Sheet4!I22</f>
        <v>28.44</v>
      </c>
      <c r="D212" s="6">
        <v>1</v>
      </c>
      <c r="E212" s="4" t="s">
        <v>14</v>
      </c>
    </row>
    <row r="213" spans="1:5">
      <c r="A213" s="4"/>
      <c r="B213" s="4"/>
      <c r="C213" s="4"/>
      <c r="D213" s="4"/>
      <c r="E213" s="4"/>
    </row>
    <row r="214" spans="1:5" s="9" customFormat="1">
      <c r="A214" s="5">
        <v>41</v>
      </c>
      <c r="B214" s="5" t="s">
        <v>317</v>
      </c>
      <c r="C214" s="28">
        <f>SUM(C215:C216)</f>
        <v>38.1</v>
      </c>
      <c r="D214" s="10">
        <v>1</v>
      </c>
      <c r="E214" s="5" t="s">
        <v>14</v>
      </c>
    </row>
    <row r="215" spans="1:5">
      <c r="A215" s="4"/>
      <c r="B215" s="4" t="str">
        <f>Sheet4!B58</f>
        <v>11th. Floor Formal area</v>
      </c>
      <c r="C215" s="21">
        <f>Sheet4!I72</f>
        <v>31.68</v>
      </c>
      <c r="D215" s="6">
        <v>1</v>
      </c>
      <c r="E215" s="4" t="s">
        <v>14</v>
      </c>
    </row>
    <row r="216" spans="1:5">
      <c r="A216" s="4"/>
      <c r="B216" s="4" t="str">
        <f>Sheet4!B102</f>
        <v>Kalinga Table top Edge Polishing</v>
      </c>
      <c r="C216" s="21">
        <f>Sheet4!G107</f>
        <v>6.42</v>
      </c>
      <c r="D216" s="6">
        <v>1</v>
      </c>
      <c r="E216" s="4" t="s">
        <v>14</v>
      </c>
    </row>
    <row r="217" spans="1:5">
      <c r="A217" s="4"/>
      <c r="B217" s="4"/>
      <c r="C217" s="21"/>
      <c r="D217" s="6"/>
      <c r="E217" s="4"/>
    </row>
    <row r="218" spans="1:5" s="9" customFormat="1">
      <c r="A218" s="5">
        <v>42</v>
      </c>
      <c r="B218" s="5" t="s">
        <v>108</v>
      </c>
      <c r="C218" s="28">
        <f>SUM(C219:C220)</f>
        <v>23.39</v>
      </c>
      <c r="D218" s="10">
        <v>1</v>
      </c>
      <c r="E218" s="5" t="s">
        <v>14</v>
      </c>
    </row>
    <row r="219" spans="1:5">
      <c r="A219" s="4"/>
      <c r="B219" s="4" t="str">
        <f>Sheet4!B24</f>
        <v>11th. Floor Formal area</v>
      </c>
      <c r="C219" s="21">
        <f>Sheet4!I34</f>
        <v>17.740000000000002</v>
      </c>
      <c r="D219" s="6">
        <v>1</v>
      </c>
      <c r="E219" s="4" t="s">
        <v>14</v>
      </c>
    </row>
    <row r="220" spans="1:5">
      <c r="A220" s="4"/>
      <c r="B220" s="4" t="str">
        <f>Sheet4!B36</f>
        <v>11th. Floor Formal area</v>
      </c>
      <c r="C220" s="21">
        <f>Sheet4!I44</f>
        <v>5.65</v>
      </c>
      <c r="D220" s="6">
        <v>1</v>
      </c>
      <c r="E220" s="4" t="s">
        <v>14</v>
      </c>
    </row>
  </sheetData>
  <mergeCells count="3">
    <mergeCell ref="A1:G1"/>
    <mergeCell ref="A2:I2"/>
    <mergeCell ref="B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C307-8867-4E45-85F9-A694E770A69C}">
  <dimension ref="A1:I44"/>
  <sheetViews>
    <sheetView workbookViewId="0">
      <selection activeCell="C12" sqref="C12"/>
    </sheetView>
  </sheetViews>
  <sheetFormatPr defaultRowHeight="14.4"/>
  <cols>
    <col min="2" max="2" width="25.5546875" bestFit="1" customWidth="1"/>
  </cols>
  <sheetData>
    <row r="1" spans="1:9" ht="21">
      <c r="A1" s="211" t="s">
        <v>9</v>
      </c>
      <c r="B1" s="211"/>
      <c r="C1" s="211"/>
      <c r="D1" s="211"/>
      <c r="E1" s="211"/>
      <c r="F1" s="211"/>
      <c r="G1" s="211"/>
    </row>
    <row r="2" spans="1:9">
      <c r="A2" s="212" t="s">
        <v>10</v>
      </c>
      <c r="B2" s="212"/>
      <c r="C2" s="212"/>
      <c r="D2" s="212"/>
      <c r="E2" s="212"/>
      <c r="F2" s="212"/>
      <c r="G2" s="212"/>
      <c r="H2" s="212"/>
      <c r="I2" s="212"/>
    </row>
    <row r="3" spans="1:9">
      <c r="A3" s="2"/>
      <c r="B3" s="213" t="s">
        <v>267</v>
      </c>
      <c r="C3" s="213"/>
      <c r="D3" s="213"/>
      <c r="E3" s="213"/>
      <c r="F3" s="213"/>
      <c r="G3" s="2"/>
      <c r="H3" s="2"/>
      <c r="I3" s="2"/>
    </row>
    <row r="4" spans="1:9">
      <c r="D4" s="44"/>
    </row>
    <row r="5" spans="1:9">
      <c r="A5" s="45" t="s">
        <v>0</v>
      </c>
      <c r="B5" s="45" t="s">
        <v>1</v>
      </c>
      <c r="C5" s="45" t="s">
        <v>264</v>
      </c>
      <c r="D5" s="46" t="s">
        <v>7</v>
      </c>
      <c r="E5" s="45" t="s">
        <v>8</v>
      </c>
      <c r="F5" s="47"/>
      <c r="G5" s="47"/>
      <c r="H5" s="47"/>
      <c r="I5" s="47"/>
    </row>
    <row r="6" spans="1:9">
      <c r="A6" s="4"/>
      <c r="B6" s="4"/>
      <c r="C6" s="4"/>
      <c r="D6" s="4"/>
      <c r="E6" s="4"/>
    </row>
    <row r="7" spans="1:9" s="9" customFormat="1">
      <c r="A7" s="5">
        <v>1</v>
      </c>
      <c r="B7" s="5" t="s">
        <v>17</v>
      </c>
      <c r="C7" s="5">
        <f>Sheet1!G25</f>
        <v>2.73</v>
      </c>
      <c r="D7" s="10">
        <v>1</v>
      </c>
      <c r="E7" s="5" t="s">
        <v>14</v>
      </c>
    </row>
    <row r="8" spans="1:9">
      <c r="A8" s="4"/>
      <c r="B8" s="4" t="str">
        <f>Sheet1!B24</f>
        <v>Stalf Bathroom</v>
      </c>
      <c r="C8" s="4">
        <f>Sheet1!G25</f>
        <v>2.73</v>
      </c>
      <c r="D8" s="6">
        <v>1</v>
      </c>
      <c r="E8" s="4" t="s">
        <v>14</v>
      </c>
    </row>
    <row r="9" spans="1:9">
      <c r="A9" s="4"/>
      <c r="B9" s="4"/>
      <c r="C9" s="4"/>
      <c r="D9" s="4"/>
      <c r="E9" s="4"/>
    </row>
    <row r="10" spans="1:9" s="9" customFormat="1">
      <c r="A10" s="5">
        <v>2</v>
      </c>
      <c r="B10" s="5" t="s">
        <v>18</v>
      </c>
      <c r="C10" s="5">
        <f>SUM(C11:C13)</f>
        <v>6.5500000000000007</v>
      </c>
      <c r="D10" s="10">
        <v>1</v>
      </c>
      <c r="E10" s="5" t="s">
        <v>14</v>
      </c>
    </row>
    <row r="11" spans="1:9">
      <c r="A11" s="4"/>
      <c r="B11" s="4" t="str">
        <f>Sheet1!B24</f>
        <v>Stalf Bathroom</v>
      </c>
      <c r="C11" s="4">
        <f>Sheet1!G26</f>
        <v>0.91</v>
      </c>
      <c r="D11" s="6">
        <v>1</v>
      </c>
      <c r="E11" s="4" t="s">
        <v>14</v>
      </c>
    </row>
    <row r="12" spans="1:9">
      <c r="A12" s="4"/>
      <c r="B12" s="4" t="str">
        <f>Sheet1!B30</f>
        <v>Terrace</v>
      </c>
      <c r="C12" s="4">
        <f>Sheet1!G44</f>
        <v>3.06</v>
      </c>
      <c r="D12" s="6">
        <v>1</v>
      </c>
      <c r="E12" s="4" t="s">
        <v>14</v>
      </c>
    </row>
    <row r="13" spans="1:9">
      <c r="A13" s="4"/>
      <c r="B13" s="4" t="str">
        <f>Sheet1!B30</f>
        <v>Terrace</v>
      </c>
      <c r="C13" s="4">
        <f>Sheet1!G32</f>
        <v>2.58</v>
      </c>
      <c r="D13" s="6">
        <v>1</v>
      </c>
      <c r="E13" s="4" t="s">
        <v>14</v>
      </c>
    </row>
    <row r="14" spans="1:9">
      <c r="A14" s="4"/>
      <c r="B14" s="4"/>
      <c r="C14" s="4"/>
      <c r="D14" s="4"/>
      <c r="E14" s="4"/>
    </row>
    <row r="15" spans="1:9" s="9" customFormat="1" ht="28.8">
      <c r="A15" s="5">
        <v>3</v>
      </c>
      <c r="B15" s="18" t="s">
        <v>19</v>
      </c>
      <c r="C15" s="5">
        <f>SUM(C16:C17)</f>
        <v>7.520975609756098</v>
      </c>
      <c r="D15" s="10">
        <v>1</v>
      </c>
      <c r="E15" s="5" t="s">
        <v>14</v>
      </c>
    </row>
    <row r="16" spans="1:9">
      <c r="A16" s="4"/>
      <c r="B16" s="4" t="str">
        <f>Sheet1!B24</f>
        <v>Stalf Bathroom</v>
      </c>
      <c r="C16" s="4">
        <f>Sheet1!G27</f>
        <v>1.74</v>
      </c>
      <c r="D16" s="6">
        <v>1</v>
      </c>
      <c r="E16" s="4" t="s">
        <v>14</v>
      </c>
    </row>
    <row r="17" spans="1:5">
      <c r="A17" s="4"/>
      <c r="B17" s="7" t="str">
        <f>Sheet1!B30</f>
        <v>Terrace</v>
      </c>
      <c r="C17" s="4">
        <f>Sheet1!G36</f>
        <v>5.7809756097560978</v>
      </c>
      <c r="D17" s="6">
        <v>1</v>
      </c>
      <c r="E17" s="4" t="s">
        <v>14</v>
      </c>
    </row>
    <row r="18" spans="1:5">
      <c r="A18" s="4"/>
      <c r="B18" s="4"/>
      <c r="C18" s="4"/>
      <c r="D18" s="4"/>
      <c r="E18" s="4"/>
    </row>
    <row r="19" spans="1:5" s="9" customFormat="1" ht="28.8">
      <c r="A19" s="5">
        <v>4</v>
      </c>
      <c r="B19" s="49" t="s">
        <v>20</v>
      </c>
      <c r="C19" s="5">
        <f>SUM(C20:C21)</f>
        <v>7.5265853658536592</v>
      </c>
      <c r="D19" s="10">
        <v>1</v>
      </c>
      <c r="E19" s="5" t="s">
        <v>14</v>
      </c>
    </row>
    <row r="20" spans="1:5">
      <c r="A20" s="4"/>
      <c r="B20" s="4" t="str">
        <f>Sheet1!B24</f>
        <v>Stalf Bathroom</v>
      </c>
      <c r="C20" s="5">
        <f>Sheet1!G28</f>
        <v>1.74</v>
      </c>
      <c r="D20" s="6">
        <v>1</v>
      </c>
      <c r="E20" s="4" t="s">
        <v>14</v>
      </c>
    </row>
    <row r="21" spans="1:5">
      <c r="A21" s="4"/>
      <c r="B21" s="4" t="str">
        <f>Sheet1!B30</f>
        <v>Terrace</v>
      </c>
      <c r="C21" s="5">
        <f>Sheet1!G40</f>
        <v>5.786585365853659</v>
      </c>
      <c r="D21" s="6">
        <v>1</v>
      </c>
      <c r="E21" s="4" t="s">
        <v>14</v>
      </c>
    </row>
    <row r="22" spans="1:5">
      <c r="A22" s="4"/>
      <c r="B22" s="4"/>
      <c r="C22" s="5"/>
      <c r="D22" s="4"/>
      <c r="E22" s="4"/>
    </row>
    <row r="23" spans="1:5" s="9" customFormat="1">
      <c r="A23" s="5">
        <v>5</v>
      </c>
      <c r="B23" s="5" t="s">
        <v>22</v>
      </c>
      <c r="C23" s="5">
        <f>C24</f>
        <v>2.73</v>
      </c>
      <c r="D23" s="10">
        <v>1</v>
      </c>
      <c r="E23" s="5" t="s">
        <v>14</v>
      </c>
    </row>
    <row r="24" spans="1:5">
      <c r="A24" s="4"/>
      <c r="B24" s="4" t="str">
        <f>Sheet1!B30</f>
        <v>Terrace</v>
      </c>
      <c r="C24" s="4">
        <f>Sheet1!G31</f>
        <v>2.73</v>
      </c>
      <c r="D24" s="6">
        <v>1</v>
      </c>
      <c r="E24" s="4" t="s">
        <v>14</v>
      </c>
    </row>
    <row r="25" spans="1:5">
      <c r="A25" s="4"/>
      <c r="B25" s="7"/>
      <c r="C25" s="4"/>
      <c r="D25" s="6"/>
      <c r="E25" s="4"/>
    </row>
    <row r="26" spans="1:5" s="9" customFormat="1">
      <c r="A26" s="5">
        <v>8</v>
      </c>
      <c r="B26" s="5" t="s">
        <v>25</v>
      </c>
      <c r="C26" s="5">
        <f>C27</f>
        <v>1.6006097560975612</v>
      </c>
      <c r="D26" s="10">
        <v>1</v>
      </c>
      <c r="E26" s="5" t="s">
        <v>14</v>
      </c>
    </row>
    <row r="27" spans="1:5">
      <c r="A27" s="4"/>
      <c r="B27" s="4" t="str">
        <f>Sheet1!B30</f>
        <v>Terrace</v>
      </c>
      <c r="C27" s="4">
        <f>Sheet1!G41</f>
        <v>1.6006097560975612</v>
      </c>
      <c r="D27" s="6">
        <v>1</v>
      </c>
      <c r="E27" s="4" t="s">
        <v>14</v>
      </c>
    </row>
    <row r="28" spans="1:5">
      <c r="A28" s="4"/>
      <c r="B28" s="4"/>
      <c r="C28" s="4"/>
      <c r="D28" s="4"/>
      <c r="E28" s="4"/>
    </row>
    <row r="29" spans="1:5" s="9" customFormat="1">
      <c r="A29" s="5">
        <v>9</v>
      </c>
      <c r="B29" s="5" t="s">
        <v>63</v>
      </c>
      <c r="C29" s="5">
        <f>SUM(C30:C35)</f>
        <v>50.084776591314686</v>
      </c>
      <c r="D29" s="10">
        <v>1</v>
      </c>
      <c r="E29" s="5" t="s">
        <v>53</v>
      </c>
    </row>
    <row r="30" spans="1:5">
      <c r="A30" s="4"/>
      <c r="B30" s="4" t="s">
        <v>422</v>
      </c>
      <c r="C30" s="4">
        <f>Sheet2!I321</f>
        <v>6.1988771564544924</v>
      </c>
      <c r="D30" s="6">
        <v>1</v>
      </c>
      <c r="E30" s="4" t="s">
        <v>53</v>
      </c>
    </row>
    <row r="31" spans="1:5">
      <c r="A31" s="4"/>
      <c r="B31" s="4" t="s">
        <v>424</v>
      </c>
      <c r="C31" s="4">
        <f>Sheet2!I324</f>
        <v>6.2126524390243905</v>
      </c>
      <c r="D31" s="6">
        <v>1</v>
      </c>
      <c r="E31" s="4" t="s">
        <v>53</v>
      </c>
    </row>
    <row r="32" spans="1:5">
      <c r="A32" s="4"/>
      <c r="B32" s="4" t="s">
        <v>427</v>
      </c>
      <c r="C32" s="4">
        <f>Sheet2!I329</f>
        <v>11.978546995835814</v>
      </c>
      <c r="D32" s="6">
        <v>1</v>
      </c>
      <c r="E32" s="4" t="s">
        <v>53</v>
      </c>
    </row>
    <row r="33" spans="1:5">
      <c r="A33" s="4"/>
      <c r="B33" s="4" t="str">
        <f>Sheet2!B334</f>
        <v>flooring polish</v>
      </c>
      <c r="C33" s="4">
        <f>Sheet2!I334</f>
        <v>7.0606999999999989</v>
      </c>
      <c r="D33" s="6">
        <v>1</v>
      </c>
      <c r="E33" s="4" t="s">
        <v>53</v>
      </c>
    </row>
    <row r="34" spans="1:5">
      <c r="A34" s="4"/>
      <c r="B34" s="4" t="str">
        <f>Sheet2!B346</f>
        <v>store room</v>
      </c>
      <c r="C34" s="4">
        <f>Sheet2!I347</f>
        <v>13.282</v>
      </c>
      <c r="D34" s="6">
        <v>1</v>
      </c>
      <c r="E34" s="4" t="s">
        <v>53</v>
      </c>
    </row>
    <row r="35" spans="1:5">
      <c r="A35" s="4"/>
      <c r="B35" s="4" t="str">
        <f>Sheet2!B353</f>
        <v>trade and riser polish</v>
      </c>
      <c r="C35" s="4">
        <f>Sheet2!I353</f>
        <v>5.3519999999999994</v>
      </c>
      <c r="D35" s="6">
        <v>1</v>
      </c>
      <c r="E35" s="4" t="s">
        <v>53</v>
      </c>
    </row>
    <row r="36" spans="1:5">
      <c r="A36" s="4"/>
      <c r="B36" s="4"/>
      <c r="C36" s="4"/>
      <c r="D36" s="4"/>
      <c r="E36" s="4"/>
    </row>
    <row r="37" spans="1:5" s="9" customFormat="1">
      <c r="A37" s="5">
        <v>10</v>
      </c>
      <c r="B37" s="5" t="s">
        <v>13</v>
      </c>
      <c r="C37" s="5">
        <f>SUM(C38:C44)</f>
        <v>69.052560975609765</v>
      </c>
      <c r="D37" s="10">
        <v>1</v>
      </c>
      <c r="E37" s="5" t="s">
        <v>14</v>
      </c>
    </row>
    <row r="38" spans="1:5">
      <c r="A38" s="4"/>
      <c r="B38" s="4" t="str">
        <f>Sheet2!B320</f>
        <v>room 1</v>
      </c>
      <c r="C38" s="4">
        <f>Sheet2!I322</f>
        <v>9.3628048780487809</v>
      </c>
      <c r="D38" s="6">
        <v>1</v>
      </c>
      <c r="E38" s="4" t="s">
        <v>14</v>
      </c>
    </row>
    <row r="39" spans="1:5">
      <c r="A39" s="4"/>
      <c r="B39" s="4" t="str">
        <f>Sheet2!B323</f>
        <v>room 2</v>
      </c>
      <c r="C39" s="4">
        <f>Sheet2!I325</f>
        <v>14.939024390243903</v>
      </c>
      <c r="D39" s="6">
        <v>1</v>
      </c>
      <c r="E39" s="4" t="s">
        <v>14</v>
      </c>
    </row>
    <row r="40" spans="1:5">
      <c r="A40" s="4"/>
      <c r="B40" s="4" t="str">
        <f>Sheet2!B326</f>
        <v xml:space="preserve">terrrace </v>
      </c>
      <c r="C40" s="4">
        <f>Sheet2!I330</f>
        <v>10.670731707317074</v>
      </c>
      <c r="D40" s="6">
        <v>1</v>
      </c>
      <c r="E40" s="4" t="s">
        <v>14</v>
      </c>
    </row>
    <row r="41" spans="1:5">
      <c r="A41" s="4"/>
      <c r="B41" s="4" t="str">
        <f>Sheet2!B331</f>
        <v>Staircase terrazzo floor polish</v>
      </c>
      <c r="C41" s="21">
        <f>Sheet2!I332</f>
        <v>11.54</v>
      </c>
      <c r="D41" s="6">
        <v>1</v>
      </c>
      <c r="E41" s="4" t="s">
        <v>14</v>
      </c>
    </row>
    <row r="42" spans="1:5">
      <c r="A42" s="4"/>
      <c r="B42" s="4" t="str">
        <f>Sheet2!B340</f>
        <v>skirting polish</v>
      </c>
      <c r="C42" s="4">
        <f>Sheet2!I340</f>
        <v>5.94</v>
      </c>
      <c r="D42" s="6">
        <v>1</v>
      </c>
      <c r="E42" s="4" t="s">
        <v>14</v>
      </c>
    </row>
    <row r="43" spans="1:5">
      <c r="A43" s="4"/>
      <c r="B43" s="4" t="str">
        <f>Sheet2!B346</f>
        <v>store room</v>
      </c>
      <c r="C43" s="4">
        <f>Sheet2!I348</f>
        <v>14.2</v>
      </c>
      <c r="D43" s="6">
        <v>1</v>
      </c>
      <c r="E43" s="4" t="s">
        <v>14</v>
      </c>
    </row>
    <row r="44" spans="1:5">
      <c r="A44" s="4"/>
      <c r="B44" s="4" t="str">
        <f>Sheet2!B356</f>
        <v>patti polish</v>
      </c>
      <c r="C44" s="4">
        <f>Sheet2!I356</f>
        <v>2.4</v>
      </c>
      <c r="D44" s="6">
        <v>1</v>
      </c>
      <c r="E44" s="4" t="s">
        <v>14</v>
      </c>
    </row>
  </sheetData>
  <mergeCells count="3">
    <mergeCell ref="A1:G1"/>
    <mergeCell ref="A2:I2"/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B859-514E-46C1-9BAC-916F3C747C4D}">
  <dimension ref="A1:I34"/>
  <sheetViews>
    <sheetView topLeftCell="A25" workbookViewId="0">
      <selection activeCell="C20" sqref="C20"/>
    </sheetView>
  </sheetViews>
  <sheetFormatPr defaultRowHeight="14.4"/>
  <cols>
    <col min="1" max="1" width="6.33203125" customWidth="1"/>
    <col min="2" max="2" width="36.44140625" bestFit="1" customWidth="1"/>
  </cols>
  <sheetData>
    <row r="1" spans="1:9" ht="21">
      <c r="A1" s="211" t="s">
        <v>9</v>
      </c>
      <c r="B1" s="211"/>
      <c r="C1" s="211"/>
      <c r="D1" s="211"/>
      <c r="E1" s="211"/>
      <c r="F1" s="211"/>
      <c r="G1" s="211"/>
    </row>
    <row r="2" spans="1:9">
      <c r="A2" s="212" t="s">
        <v>10</v>
      </c>
      <c r="B2" s="212"/>
      <c r="C2" s="212"/>
      <c r="D2" s="212"/>
      <c r="E2" s="212"/>
      <c r="F2" s="212"/>
      <c r="G2" s="212"/>
      <c r="H2" s="212"/>
      <c r="I2" s="212"/>
    </row>
    <row r="3" spans="1:9">
      <c r="A3" s="2"/>
      <c r="B3" s="213" t="s">
        <v>266</v>
      </c>
      <c r="C3" s="213"/>
      <c r="D3" s="213"/>
      <c r="E3" s="213"/>
      <c r="F3" s="213"/>
      <c r="G3" s="2"/>
      <c r="H3" s="2"/>
      <c r="I3" s="2"/>
    </row>
    <row r="4" spans="1:9">
      <c r="D4" s="44"/>
    </row>
    <row r="5" spans="1:9">
      <c r="A5" s="45" t="s">
        <v>0</v>
      </c>
      <c r="B5" s="45" t="s">
        <v>1</v>
      </c>
      <c r="C5" s="45" t="s">
        <v>264</v>
      </c>
      <c r="D5" s="46" t="s">
        <v>7</v>
      </c>
      <c r="E5" s="45" t="s">
        <v>8</v>
      </c>
      <c r="F5" s="47"/>
      <c r="G5" s="47"/>
      <c r="H5" s="47"/>
      <c r="I5" s="47"/>
    </row>
    <row r="6" spans="1:9">
      <c r="A6" s="4"/>
      <c r="B6" s="4"/>
      <c r="C6" s="4"/>
      <c r="D6" s="4"/>
      <c r="E6" s="4"/>
    </row>
    <row r="7" spans="1:9" s="9" customFormat="1">
      <c r="A7" s="5">
        <v>1</v>
      </c>
      <c r="B7" s="5" t="s">
        <v>12</v>
      </c>
      <c r="C7" s="5">
        <f>C8</f>
        <v>2.4060000000000001</v>
      </c>
      <c r="D7" s="10">
        <v>1</v>
      </c>
      <c r="E7" s="5" t="s">
        <v>14</v>
      </c>
    </row>
    <row r="8" spans="1:9">
      <c r="A8" s="4"/>
      <c r="B8" s="4" t="str">
        <f>Sheet1!B8</f>
        <v>Servant room</v>
      </c>
      <c r="C8" s="4">
        <f>Sheet1!G9</f>
        <v>2.4060000000000001</v>
      </c>
      <c r="D8" s="6">
        <v>1</v>
      </c>
      <c r="E8" s="4" t="s">
        <v>14</v>
      </c>
    </row>
    <row r="9" spans="1:9">
      <c r="A9" s="4"/>
      <c r="B9" s="4"/>
      <c r="C9" s="4"/>
      <c r="D9" s="6"/>
      <c r="E9" s="4"/>
    </row>
    <row r="10" spans="1:9" s="9" customFormat="1">
      <c r="A10" s="5">
        <v>2</v>
      </c>
      <c r="B10" s="5" t="s">
        <v>13</v>
      </c>
      <c r="C10" s="5">
        <f>SUM(C11:C15)</f>
        <v>36.460878048780486</v>
      </c>
      <c r="D10" s="10">
        <v>1</v>
      </c>
      <c r="E10" s="5" t="s">
        <v>14</v>
      </c>
    </row>
    <row r="11" spans="1:9">
      <c r="A11" s="4"/>
      <c r="B11" s="4" t="str">
        <f>Sheet1!B8</f>
        <v>Servant room</v>
      </c>
      <c r="C11" s="4">
        <f>Sheet1!G10</f>
        <v>2.4060000000000001</v>
      </c>
      <c r="D11" s="6">
        <v>1</v>
      </c>
      <c r="E11" s="4" t="s">
        <v>14</v>
      </c>
    </row>
    <row r="12" spans="1:9">
      <c r="A12" s="4"/>
      <c r="B12" s="4" t="s">
        <v>422</v>
      </c>
      <c r="C12" s="4">
        <f>Sheet2!I308</f>
        <v>10.060975609756099</v>
      </c>
      <c r="D12" s="6">
        <v>1</v>
      </c>
      <c r="E12" s="4" t="s">
        <v>14</v>
      </c>
    </row>
    <row r="13" spans="1:9">
      <c r="A13" s="4"/>
      <c r="B13" s="4" t="str">
        <f>Sheet2!B309</f>
        <v>room 2</v>
      </c>
      <c r="C13" s="4">
        <f>Sheet2!I311</f>
        <v>8.75</v>
      </c>
      <c r="D13" s="6">
        <v>1</v>
      </c>
      <c r="E13" s="4" t="s">
        <v>14</v>
      </c>
    </row>
    <row r="14" spans="1:9">
      <c r="A14" s="4"/>
      <c r="B14" s="4" t="str">
        <f>Sheet2!B312</f>
        <v>room 3</v>
      </c>
      <c r="C14" s="4">
        <f>Sheet2!I314</f>
        <v>9.1463414634146343</v>
      </c>
      <c r="D14" s="6">
        <v>1</v>
      </c>
      <c r="E14" s="4" t="s">
        <v>14</v>
      </c>
    </row>
    <row r="15" spans="1:9">
      <c r="A15" s="4"/>
      <c r="B15" s="4" t="str">
        <f>Sheet2!B315</f>
        <v>hall</v>
      </c>
      <c r="C15" s="4">
        <f>Sheet2!I317</f>
        <v>6.0975609756097562</v>
      </c>
      <c r="D15" s="6">
        <v>1</v>
      </c>
      <c r="E15" s="4" t="s">
        <v>14</v>
      </c>
    </row>
    <row r="16" spans="1:9">
      <c r="A16" s="4"/>
      <c r="B16" s="4"/>
      <c r="C16" s="4"/>
      <c r="D16" s="6"/>
      <c r="E16" s="4"/>
    </row>
    <row r="17" spans="1:5">
      <c r="A17" s="4"/>
      <c r="B17" s="4"/>
      <c r="C17" s="4"/>
      <c r="D17" s="6"/>
      <c r="E17" s="4"/>
    </row>
    <row r="18" spans="1:5">
      <c r="A18" s="4"/>
      <c r="B18" s="4"/>
      <c r="C18" s="4"/>
      <c r="D18" s="6"/>
      <c r="E18" s="4"/>
    </row>
    <row r="19" spans="1:5">
      <c r="A19" s="4">
        <v>3</v>
      </c>
      <c r="B19" s="5" t="s">
        <v>63</v>
      </c>
      <c r="C19" s="5">
        <f>SUM(C20:C23)</f>
        <v>24.351044765020823</v>
      </c>
      <c r="D19" s="10">
        <v>1</v>
      </c>
      <c r="E19" s="5" t="s">
        <v>53</v>
      </c>
    </row>
    <row r="20" spans="1:5">
      <c r="A20" s="4"/>
      <c r="B20" s="4" t="str">
        <f>Sheet2!B306</f>
        <v>room 1</v>
      </c>
      <c r="C20" s="4">
        <f>Sheet2!I307</f>
        <v>6.7526829268292694</v>
      </c>
      <c r="D20" s="6">
        <v>1</v>
      </c>
      <c r="E20" s="4" t="s">
        <v>53</v>
      </c>
    </row>
    <row r="21" spans="1:5">
      <c r="A21" s="4"/>
      <c r="B21" s="4" t="str">
        <f>Sheet2!B309</f>
        <v>room 2</v>
      </c>
      <c r="C21" s="4">
        <f>Sheet2!I310</f>
        <v>5.8689024390243905</v>
      </c>
      <c r="D21" s="6">
        <v>1</v>
      </c>
      <c r="E21" s="4" t="s">
        <v>53</v>
      </c>
    </row>
    <row r="22" spans="1:5">
      <c r="A22" s="4"/>
      <c r="B22" s="4" t="str">
        <f>Sheet2!B312</f>
        <v>room 3</v>
      </c>
      <c r="C22" s="4">
        <f>Sheet2!I313</f>
        <v>4.829939024390244</v>
      </c>
      <c r="D22" s="6">
        <v>1</v>
      </c>
      <c r="E22" s="4" t="s">
        <v>53</v>
      </c>
    </row>
    <row r="23" spans="1:5">
      <c r="A23" s="4"/>
      <c r="B23" s="4" t="str">
        <f>Sheet2!B315</f>
        <v>hall</v>
      </c>
      <c r="C23" s="4">
        <f>Sheet2!I316</f>
        <v>6.8995203747769196</v>
      </c>
      <c r="D23" s="6">
        <v>1</v>
      </c>
      <c r="E23" s="4" t="s">
        <v>53</v>
      </c>
    </row>
    <row r="24" spans="1:5">
      <c r="A24" s="4"/>
      <c r="B24" s="4"/>
      <c r="C24" s="4"/>
      <c r="D24" s="6"/>
      <c r="E24" s="4"/>
    </row>
    <row r="25" spans="1:5">
      <c r="A25" s="4"/>
      <c r="B25" s="4"/>
      <c r="C25" s="4"/>
      <c r="D25" s="6"/>
      <c r="E25" s="4"/>
    </row>
    <row r="26" spans="1:5">
      <c r="A26" s="4"/>
      <c r="B26" s="4"/>
      <c r="C26" s="4"/>
      <c r="D26" s="6"/>
      <c r="E26" s="4"/>
    </row>
    <row r="27" spans="1:5" s="9" customFormat="1">
      <c r="A27" s="5">
        <v>4</v>
      </c>
      <c r="B27" s="5" t="s">
        <v>265</v>
      </c>
      <c r="C27" s="5">
        <f>C28</f>
        <v>35.132926829268293</v>
      </c>
      <c r="D27" s="10">
        <v>1</v>
      </c>
      <c r="E27" s="5" t="s">
        <v>14</v>
      </c>
    </row>
    <row r="28" spans="1:5">
      <c r="A28" s="4"/>
      <c r="B28" s="4" t="str">
        <f>Sheet1!B11</f>
        <v>staircase  Kaleji fooring(12th 10-13th floor)</v>
      </c>
      <c r="C28" s="4">
        <f>Sheet1!G17</f>
        <v>35.132926829268293</v>
      </c>
      <c r="D28" s="6">
        <v>1</v>
      </c>
      <c r="E28" s="4" t="s">
        <v>14</v>
      </c>
    </row>
    <row r="29" spans="1:5">
      <c r="A29" s="4"/>
      <c r="B29" s="4"/>
      <c r="C29" s="4"/>
      <c r="D29" s="6"/>
      <c r="E29" s="4"/>
    </row>
    <row r="30" spans="1:5" s="9" customFormat="1">
      <c r="A30" s="5">
        <v>5</v>
      </c>
      <c r="B30" s="5" t="s">
        <v>265</v>
      </c>
      <c r="C30" s="5">
        <f>C31</f>
        <v>0.70289999999999997</v>
      </c>
      <c r="D30" s="10">
        <v>1</v>
      </c>
      <c r="E30" s="5" t="s">
        <v>53</v>
      </c>
    </row>
    <row r="31" spans="1:5">
      <c r="A31" s="4"/>
      <c r="B31" s="4" t="str">
        <f>Sheet1!B11</f>
        <v>staircase  Kaleji fooring(12th 10-13th floor)</v>
      </c>
      <c r="C31" s="4">
        <f>Sheet1!G18</f>
        <v>0.70289999999999997</v>
      </c>
      <c r="D31" s="6">
        <v>1</v>
      </c>
      <c r="E31" s="4" t="s">
        <v>53</v>
      </c>
    </row>
    <row r="32" spans="1:5">
      <c r="A32" s="4"/>
      <c r="B32" s="4"/>
      <c r="C32" s="4"/>
      <c r="D32" s="6"/>
      <c r="E32" s="4"/>
    </row>
    <row r="33" spans="1:5" s="9" customFormat="1">
      <c r="A33" s="5">
        <v>6</v>
      </c>
      <c r="B33" s="5" t="s">
        <v>209</v>
      </c>
      <c r="C33" s="5">
        <f>C34</f>
        <v>2.9699999999999998</v>
      </c>
      <c r="D33" s="10">
        <v>1</v>
      </c>
      <c r="E33" s="5" t="s">
        <v>53</v>
      </c>
    </row>
    <row r="34" spans="1:5">
      <c r="A34" s="4"/>
      <c r="B34" s="4" t="str">
        <f>Sheet3!B240</f>
        <v>Staff room</v>
      </c>
      <c r="C34" s="4">
        <f>Sheet3!G241</f>
        <v>2.9699999999999998</v>
      </c>
      <c r="D34" s="6">
        <v>1</v>
      </c>
      <c r="E34" s="4" t="s">
        <v>53</v>
      </c>
    </row>
  </sheetData>
  <mergeCells count="3">
    <mergeCell ref="A1:G1"/>
    <mergeCell ref="A2:I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206B-364E-4015-8FE7-65923951C02B}">
  <dimension ref="A1:I19"/>
  <sheetViews>
    <sheetView workbookViewId="0">
      <selection activeCell="C19" sqref="C19"/>
    </sheetView>
  </sheetViews>
  <sheetFormatPr defaultRowHeight="14.4"/>
  <cols>
    <col min="2" max="2" width="18.6640625" customWidth="1"/>
  </cols>
  <sheetData>
    <row r="1" spans="1:9" ht="21">
      <c r="A1" s="211" t="s">
        <v>9</v>
      </c>
      <c r="B1" s="211"/>
      <c r="C1" s="211"/>
      <c r="D1" s="211"/>
      <c r="E1" s="211"/>
      <c r="F1" s="211"/>
      <c r="G1" s="211"/>
    </row>
    <row r="2" spans="1:9">
      <c r="A2" s="212" t="s">
        <v>10</v>
      </c>
      <c r="B2" s="212"/>
      <c r="C2" s="212"/>
      <c r="D2" s="212"/>
      <c r="E2" s="212"/>
      <c r="F2" s="212"/>
      <c r="G2" s="212"/>
      <c r="H2" s="212"/>
      <c r="I2" s="212"/>
    </row>
    <row r="3" spans="1:9">
      <c r="A3" s="2"/>
      <c r="B3" s="213" t="s">
        <v>280</v>
      </c>
      <c r="C3" s="213"/>
      <c r="D3" s="213"/>
      <c r="E3" s="213"/>
      <c r="F3" s="213"/>
      <c r="G3" s="2"/>
      <c r="H3" s="2"/>
      <c r="I3" s="2"/>
    </row>
    <row r="4" spans="1:9">
      <c r="D4" s="44"/>
    </row>
    <row r="5" spans="1:9">
      <c r="A5" s="45" t="s">
        <v>0</v>
      </c>
      <c r="B5" s="45" t="s">
        <v>1</v>
      </c>
      <c r="C5" s="45" t="s">
        <v>264</v>
      </c>
      <c r="D5" s="46" t="s">
        <v>7</v>
      </c>
      <c r="E5" s="45" t="s">
        <v>8</v>
      </c>
      <c r="F5" s="47"/>
      <c r="G5" s="47"/>
      <c r="H5" s="47"/>
      <c r="I5" s="47"/>
    </row>
    <row r="6" spans="1:9">
      <c r="A6" s="4"/>
      <c r="B6" s="4"/>
      <c r="C6" s="4"/>
      <c r="D6" s="4"/>
      <c r="E6" s="4"/>
    </row>
    <row r="7" spans="1:9" s="9" customFormat="1">
      <c r="A7" s="5">
        <v>1</v>
      </c>
      <c r="B7" s="5" t="str">
        <f>Sheet1!B184</f>
        <v>granite frame</v>
      </c>
      <c r="C7" s="5">
        <f>C8</f>
        <v>4.8984146341463415</v>
      </c>
      <c r="D7" s="10">
        <v>1</v>
      </c>
      <c r="E7" s="5" t="s">
        <v>14</v>
      </c>
    </row>
    <row r="8" spans="1:9">
      <c r="A8" s="4"/>
      <c r="B8" s="4" t="str">
        <f>Sheet1!B183</f>
        <v xml:space="preserve">Lift lobby </v>
      </c>
      <c r="C8" s="4">
        <f>Sheet1!G186</f>
        <v>4.8984146341463415</v>
      </c>
      <c r="D8" s="6">
        <v>1</v>
      </c>
      <c r="E8" s="4" t="s">
        <v>14</v>
      </c>
    </row>
    <row r="9" spans="1:9">
      <c r="A9" s="4"/>
      <c r="B9" s="4"/>
      <c r="C9" s="4"/>
      <c r="D9" s="4"/>
      <c r="E9" s="4"/>
    </row>
    <row r="10" spans="1:9">
      <c r="A10" s="4"/>
      <c r="B10" s="4"/>
      <c r="C10" s="4"/>
      <c r="D10" s="4"/>
      <c r="E10" s="4"/>
    </row>
    <row r="11" spans="1:9" s="9" customFormat="1">
      <c r="A11" s="5">
        <v>2</v>
      </c>
      <c r="B11" s="5" t="str">
        <f>Sheet1!B187</f>
        <v>Edge dhar polish</v>
      </c>
      <c r="C11" s="5">
        <f>C12</f>
        <v>5.7368292682926825</v>
      </c>
      <c r="D11" s="10">
        <v>1</v>
      </c>
      <c r="E11" s="5" t="s">
        <v>14</v>
      </c>
    </row>
    <row r="12" spans="1:9">
      <c r="A12" s="4"/>
      <c r="B12" s="4" t="str">
        <f>Sheet1!B183</f>
        <v xml:space="preserve">Lift lobby </v>
      </c>
      <c r="C12" s="4">
        <f>Sheet1!G189</f>
        <v>5.7368292682926825</v>
      </c>
      <c r="D12" s="6">
        <v>1</v>
      </c>
      <c r="E12" s="4" t="s">
        <v>14</v>
      </c>
    </row>
    <row r="13" spans="1:9">
      <c r="A13" s="4"/>
      <c r="B13" s="4"/>
      <c r="C13" s="4"/>
      <c r="D13" s="4"/>
      <c r="E13" s="4"/>
    </row>
    <row r="14" spans="1:9">
      <c r="A14" s="4"/>
      <c r="B14" s="4"/>
      <c r="C14" s="4"/>
      <c r="D14" s="4"/>
      <c r="E14" s="4"/>
    </row>
    <row r="15" spans="1:9" s="9" customFormat="1">
      <c r="A15" s="5">
        <v>3</v>
      </c>
      <c r="B15" s="5" t="str">
        <f>Sheet1!B190</f>
        <v>Champering</v>
      </c>
      <c r="C15" s="5">
        <f>C16</f>
        <v>5.7368292682926825</v>
      </c>
      <c r="D15" s="10">
        <v>1</v>
      </c>
      <c r="E15" s="5" t="s">
        <v>14</v>
      </c>
    </row>
    <row r="16" spans="1:9">
      <c r="A16" s="4"/>
      <c r="B16" s="4" t="str">
        <f>Sheet1!B183</f>
        <v xml:space="preserve">Lift lobby </v>
      </c>
      <c r="C16" s="4">
        <f>Sheet1!G192</f>
        <v>5.7368292682926825</v>
      </c>
      <c r="D16" s="6">
        <v>1</v>
      </c>
      <c r="E16" s="4" t="s">
        <v>14</v>
      </c>
    </row>
    <row r="17" spans="1:5">
      <c r="A17" s="4"/>
      <c r="B17" s="4"/>
      <c r="C17" s="4"/>
      <c r="D17" s="4"/>
      <c r="E17" s="4"/>
    </row>
    <row r="18" spans="1:5" s="9" customFormat="1">
      <c r="A18" s="5">
        <v>4</v>
      </c>
      <c r="B18" s="5" t="str">
        <f>Sheet1!B193</f>
        <v>granite skiritng</v>
      </c>
      <c r="C18" s="5">
        <f>C19</f>
        <v>1.52</v>
      </c>
      <c r="D18" s="10">
        <v>1</v>
      </c>
      <c r="E18" s="5" t="s">
        <v>14</v>
      </c>
    </row>
    <row r="19" spans="1:5">
      <c r="A19" s="4"/>
      <c r="B19" s="4" t="str">
        <f>Sheet1!B193</f>
        <v>granite skiritng</v>
      </c>
      <c r="C19" s="4">
        <f>Sheet1!G193</f>
        <v>1.52</v>
      </c>
      <c r="D19" s="6">
        <v>1</v>
      </c>
      <c r="E19" s="4" t="s">
        <v>14</v>
      </c>
    </row>
  </sheetData>
  <mergeCells count="3">
    <mergeCell ref="A1:G1"/>
    <mergeCell ref="A2:I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A49-876E-49C1-A8E7-2A2301ECED73}">
  <dimension ref="A2:O194"/>
  <sheetViews>
    <sheetView topLeftCell="A246" zoomScaleNormal="100" workbookViewId="0">
      <selection activeCell="G193" sqref="G193"/>
    </sheetView>
  </sheetViews>
  <sheetFormatPr defaultRowHeight="14.4"/>
  <cols>
    <col min="1" max="1" width="5.33203125" customWidth="1"/>
    <col min="2" max="2" width="32.88671875" customWidth="1"/>
    <col min="3" max="3" width="6.109375" customWidth="1"/>
    <col min="6" max="6" width="6.77734375" customWidth="1"/>
    <col min="8" max="8" width="6.33203125" customWidth="1"/>
    <col min="9" max="9" width="6.77734375" customWidth="1"/>
  </cols>
  <sheetData>
    <row r="2" spans="1:10" ht="21">
      <c r="A2" s="211" t="s">
        <v>9</v>
      </c>
      <c r="B2" s="211"/>
      <c r="C2" s="211"/>
      <c r="D2" s="211"/>
      <c r="E2" s="211"/>
      <c r="F2" s="1"/>
      <c r="G2" s="1"/>
    </row>
    <row r="3" spans="1:10">
      <c r="A3" s="209" t="s">
        <v>10</v>
      </c>
      <c r="B3" s="209"/>
      <c r="C3" s="209"/>
      <c r="D3" s="209"/>
      <c r="E3" s="209"/>
      <c r="F3" s="209"/>
      <c r="G3" s="209"/>
      <c r="H3" s="209"/>
      <c r="I3" s="209"/>
    </row>
    <row r="4" spans="1:10" ht="15.6">
      <c r="A4" s="2"/>
      <c r="B4" s="210" t="s">
        <v>59</v>
      </c>
      <c r="C4" s="210"/>
      <c r="D4" s="210"/>
      <c r="E4" s="210"/>
      <c r="F4" s="2"/>
      <c r="G4" s="2"/>
      <c r="H4" s="2"/>
      <c r="I4" s="2"/>
    </row>
    <row r="5" spans="1:10" ht="18.600000000000001" customHeight="1">
      <c r="A5" s="2"/>
      <c r="B5" s="218" t="s">
        <v>11</v>
      </c>
      <c r="C5" s="218"/>
      <c r="D5" s="218"/>
      <c r="E5" s="218"/>
      <c r="F5" s="218"/>
      <c r="G5" s="2"/>
      <c r="H5" s="2"/>
      <c r="I5" s="2"/>
    </row>
    <row r="6" spans="1:10">
      <c r="A6" s="2"/>
      <c r="B6" s="3"/>
      <c r="C6" s="3"/>
      <c r="D6" s="3"/>
      <c r="E6" s="3"/>
      <c r="F6" s="3"/>
      <c r="G6" s="2"/>
      <c r="H6" s="2"/>
      <c r="I6" s="2"/>
    </row>
    <row r="7" spans="1:10">
      <c r="A7" s="5" t="s">
        <v>0</v>
      </c>
      <c r="B7" s="5" t="s">
        <v>1</v>
      </c>
      <c r="C7" s="5" t="s">
        <v>5</v>
      </c>
      <c r="D7" s="5" t="s">
        <v>2</v>
      </c>
      <c r="E7" s="5" t="s">
        <v>3</v>
      </c>
      <c r="F7" s="5" t="s">
        <v>4</v>
      </c>
      <c r="G7" s="5" t="s">
        <v>6</v>
      </c>
      <c r="H7" s="5" t="s">
        <v>7</v>
      </c>
      <c r="I7" s="5" t="s">
        <v>8</v>
      </c>
      <c r="J7" s="9"/>
    </row>
    <row r="8" spans="1:10">
      <c r="A8" s="4">
        <v>1</v>
      </c>
      <c r="B8" s="5" t="s">
        <v>281</v>
      </c>
      <c r="C8" s="4"/>
      <c r="D8" s="4"/>
      <c r="E8" s="4"/>
      <c r="F8" s="4"/>
      <c r="G8" s="4"/>
      <c r="H8" s="4"/>
      <c r="I8" s="4"/>
    </row>
    <row r="9" spans="1:10">
      <c r="A9" s="4">
        <v>1.1000000000000001</v>
      </c>
      <c r="B9" s="4" t="s">
        <v>12</v>
      </c>
      <c r="C9" s="4">
        <v>1</v>
      </c>
      <c r="D9" s="15">
        <v>2.4060000000000001</v>
      </c>
      <c r="E9" s="4">
        <v>1</v>
      </c>
      <c r="F9" s="4">
        <v>1</v>
      </c>
      <c r="G9" s="24">
        <f>F9*E9*D9*C9</f>
        <v>2.4060000000000001</v>
      </c>
      <c r="H9" s="10">
        <v>1</v>
      </c>
      <c r="I9" s="5" t="s">
        <v>14</v>
      </c>
    </row>
    <row r="10" spans="1:10">
      <c r="A10" s="4">
        <v>1.2</v>
      </c>
      <c r="B10" s="4" t="s">
        <v>13</v>
      </c>
      <c r="C10" s="4">
        <v>1</v>
      </c>
      <c r="D10" s="15">
        <v>2.4060000000000001</v>
      </c>
      <c r="E10" s="4">
        <v>1</v>
      </c>
      <c r="F10" s="4">
        <v>1</v>
      </c>
      <c r="G10" s="24">
        <f>F10*E10*D10*C10</f>
        <v>2.4060000000000001</v>
      </c>
      <c r="H10" s="10">
        <v>1</v>
      </c>
      <c r="I10" s="5" t="s">
        <v>14</v>
      </c>
    </row>
    <row r="11" spans="1:10">
      <c r="A11" s="4">
        <v>2</v>
      </c>
      <c r="B11" s="5" t="s">
        <v>282</v>
      </c>
      <c r="C11" s="4"/>
      <c r="D11" s="4"/>
      <c r="E11" s="4"/>
      <c r="F11" s="4"/>
      <c r="G11" s="4"/>
      <c r="H11" s="4"/>
      <c r="I11" s="4"/>
    </row>
    <row r="12" spans="1:10">
      <c r="A12" s="4">
        <v>2.1</v>
      </c>
      <c r="B12" s="4" t="s">
        <v>60</v>
      </c>
      <c r="C12" s="4">
        <v>4</v>
      </c>
      <c r="D12" s="15">
        <v>0.78</v>
      </c>
      <c r="E12" s="4">
        <v>1</v>
      </c>
      <c r="F12" s="4">
        <v>1</v>
      </c>
      <c r="G12" s="4">
        <f>F12*E12*D12*C12</f>
        <v>3.12</v>
      </c>
      <c r="H12" s="6">
        <v>1</v>
      </c>
      <c r="I12" s="5" t="s">
        <v>14</v>
      </c>
    </row>
    <row r="13" spans="1:10">
      <c r="A13" s="4"/>
      <c r="B13" s="4" t="s">
        <v>60</v>
      </c>
      <c r="C13" s="4">
        <v>11</v>
      </c>
      <c r="D13" s="15">
        <v>0.78</v>
      </c>
      <c r="E13" s="4">
        <v>1</v>
      </c>
      <c r="F13" s="4">
        <v>1</v>
      </c>
      <c r="G13" s="4">
        <f t="shared" ref="G13:G18" si="0">F13*E13*D13*C13</f>
        <v>8.58</v>
      </c>
      <c r="H13" s="6">
        <v>1</v>
      </c>
      <c r="I13" s="5" t="s">
        <v>14</v>
      </c>
    </row>
    <row r="14" spans="1:10">
      <c r="A14" s="4">
        <v>2.2000000000000002</v>
      </c>
      <c r="B14" s="4" t="s">
        <v>77</v>
      </c>
      <c r="C14" s="4">
        <v>5</v>
      </c>
      <c r="D14" s="4">
        <f>2.58/3.28</f>
        <v>0.78658536585365857</v>
      </c>
      <c r="E14" s="4">
        <v>1</v>
      </c>
      <c r="F14" s="4">
        <v>1</v>
      </c>
      <c r="G14" s="4">
        <f t="shared" si="0"/>
        <v>3.9329268292682928</v>
      </c>
      <c r="H14" s="6">
        <v>1</v>
      </c>
      <c r="I14" s="5" t="s">
        <v>14</v>
      </c>
    </row>
    <row r="15" spans="1:10">
      <c r="A15" s="4"/>
      <c r="B15" s="4" t="s">
        <v>77</v>
      </c>
      <c r="C15" s="4">
        <v>12</v>
      </c>
      <c r="D15" s="4">
        <f>2.58/3.28</f>
        <v>0.78658536585365857</v>
      </c>
      <c r="E15" s="4">
        <v>1</v>
      </c>
      <c r="F15" s="4">
        <v>1</v>
      </c>
      <c r="G15" s="4">
        <f t="shared" si="0"/>
        <v>9.4390243902439028</v>
      </c>
      <c r="H15" s="6">
        <v>1</v>
      </c>
      <c r="I15" s="5" t="s">
        <v>14</v>
      </c>
    </row>
    <row r="16" spans="1:10">
      <c r="A16" s="4">
        <v>2.2999999999999998</v>
      </c>
      <c r="B16" s="4" t="s">
        <v>61</v>
      </c>
      <c r="C16" s="4">
        <v>6</v>
      </c>
      <c r="D16" s="4">
        <f>5.5/3.28</f>
        <v>1.6768292682926831</v>
      </c>
      <c r="E16" s="4">
        <v>1</v>
      </c>
      <c r="F16" s="4">
        <v>1</v>
      </c>
      <c r="G16" s="4">
        <f>F16*E16*D16*C16</f>
        <v>10.060975609756099</v>
      </c>
      <c r="H16" s="6">
        <v>1</v>
      </c>
      <c r="I16" s="5" t="s">
        <v>14</v>
      </c>
    </row>
    <row r="17" spans="1:9">
      <c r="A17" s="4"/>
      <c r="B17" s="4"/>
      <c r="C17" s="4"/>
      <c r="D17" s="4"/>
      <c r="E17" s="4"/>
      <c r="F17" s="4"/>
      <c r="G17" s="24">
        <f>SUM(G12:G16)</f>
        <v>35.132926829268293</v>
      </c>
      <c r="H17" s="10">
        <v>1</v>
      </c>
      <c r="I17" s="5" t="s">
        <v>14</v>
      </c>
    </row>
    <row r="18" spans="1:9">
      <c r="A18" s="4">
        <v>2.4</v>
      </c>
      <c r="B18" s="4" t="s">
        <v>78</v>
      </c>
      <c r="C18" s="4">
        <v>1</v>
      </c>
      <c r="D18" s="15">
        <v>0.99</v>
      </c>
      <c r="E18" s="15">
        <v>0.71</v>
      </c>
      <c r="F18" s="4">
        <v>1</v>
      </c>
      <c r="G18" s="24">
        <f t="shared" si="0"/>
        <v>0.70289999999999997</v>
      </c>
      <c r="H18" s="10">
        <v>1</v>
      </c>
      <c r="I18" s="4" t="s">
        <v>53</v>
      </c>
    </row>
    <row r="19" spans="1:9">
      <c r="A19" s="4"/>
      <c r="B19" s="4"/>
      <c r="C19" s="4"/>
      <c r="D19" s="15"/>
      <c r="E19" s="15"/>
      <c r="F19" s="4"/>
      <c r="G19" s="5"/>
      <c r="H19" s="10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>
      <c r="A23" s="4"/>
      <c r="B23" s="215" t="s">
        <v>15</v>
      </c>
      <c r="C23" s="216"/>
      <c r="D23" s="216"/>
      <c r="E23" s="216"/>
      <c r="F23" s="217"/>
      <c r="G23" s="4"/>
      <c r="H23" s="4"/>
      <c r="I23" s="4"/>
    </row>
    <row r="24" spans="1:9">
      <c r="A24" s="4">
        <v>1</v>
      </c>
      <c r="B24" s="5" t="s">
        <v>16</v>
      </c>
      <c r="C24" s="4"/>
      <c r="D24" s="4"/>
      <c r="E24" s="4"/>
      <c r="F24" s="4"/>
      <c r="G24" s="4"/>
      <c r="H24" s="4"/>
      <c r="I24" s="4"/>
    </row>
    <row r="25" spans="1:9">
      <c r="A25" s="4">
        <v>1.1000000000000001</v>
      </c>
      <c r="B25" s="4" t="s">
        <v>17</v>
      </c>
      <c r="C25" s="4">
        <v>3</v>
      </c>
      <c r="D25" s="15">
        <v>0.91</v>
      </c>
      <c r="E25" s="4">
        <v>1</v>
      </c>
      <c r="F25" s="4">
        <v>1</v>
      </c>
      <c r="G25" s="24">
        <f>F25*E25*D25*C25</f>
        <v>2.73</v>
      </c>
      <c r="H25" s="10">
        <v>1</v>
      </c>
      <c r="I25" s="5" t="s">
        <v>14</v>
      </c>
    </row>
    <row r="26" spans="1:9">
      <c r="A26" s="4">
        <v>1.2</v>
      </c>
      <c r="B26" s="4" t="s">
        <v>18</v>
      </c>
      <c r="C26" s="4">
        <v>1</v>
      </c>
      <c r="D26" s="15">
        <v>0.91</v>
      </c>
      <c r="E26" s="4">
        <v>1</v>
      </c>
      <c r="F26" s="4">
        <v>1</v>
      </c>
      <c r="G26" s="24">
        <f t="shared" ref="G26:G28" si="1">F26*E26*D26*C26</f>
        <v>0.91</v>
      </c>
      <c r="H26" s="10">
        <v>1</v>
      </c>
      <c r="I26" s="5" t="s">
        <v>14</v>
      </c>
    </row>
    <row r="27" spans="1:9">
      <c r="A27" s="4">
        <v>1.3</v>
      </c>
      <c r="B27" s="7" t="s">
        <v>19</v>
      </c>
      <c r="C27" s="4">
        <v>2</v>
      </c>
      <c r="D27" s="15">
        <v>0.87</v>
      </c>
      <c r="E27" s="4">
        <v>1</v>
      </c>
      <c r="F27" s="4">
        <v>1</v>
      </c>
      <c r="G27" s="24">
        <f t="shared" si="1"/>
        <v>1.74</v>
      </c>
      <c r="H27" s="10">
        <v>1</v>
      </c>
      <c r="I27" s="5" t="s">
        <v>14</v>
      </c>
    </row>
    <row r="28" spans="1:9">
      <c r="A28" s="4">
        <v>1.4</v>
      </c>
      <c r="B28" s="8" t="s">
        <v>20</v>
      </c>
      <c r="C28" s="4">
        <v>2</v>
      </c>
      <c r="D28" s="15">
        <v>0.87</v>
      </c>
      <c r="E28" s="4">
        <v>1</v>
      </c>
      <c r="F28" s="4">
        <v>1</v>
      </c>
      <c r="G28" s="24">
        <f t="shared" si="1"/>
        <v>1.74</v>
      </c>
      <c r="H28" s="10">
        <v>1</v>
      </c>
      <c r="I28" s="5" t="s">
        <v>14</v>
      </c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>
        <v>2</v>
      </c>
      <c r="B30" s="5" t="s">
        <v>21</v>
      </c>
      <c r="C30" s="4"/>
      <c r="D30" s="4"/>
      <c r="E30" s="4"/>
      <c r="F30" s="4"/>
      <c r="G30" s="4"/>
      <c r="H30" s="4"/>
      <c r="I30" s="4"/>
    </row>
    <row r="31" spans="1:9">
      <c r="A31" s="4">
        <v>2.1</v>
      </c>
      <c r="B31" s="4" t="s">
        <v>22</v>
      </c>
      <c r="C31" s="4">
        <v>3</v>
      </c>
      <c r="D31" s="15">
        <v>0.91</v>
      </c>
      <c r="E31" s="4">
        <v>1</v>
      </c>
      <c r="F31" s="4">
        <v>1</v>
      </c>
      <c r="G31" s="24">
        <f t="shared" ref="G31:G42" si="2">F31*E31*D31*C31</f>
        <v>2.73</v>
      </c>
      <c r="H31" s="10">
        <v>1</v>
      </c>
      <c r="I31" s="5" t="s">
        <v>14</v>
      </c>
    </row>
    <row r="32" spans="1:9">
      <c r="A32" s="4">
        <v>2.2000000000000002</v>
      </c>
      <c r="B32" s="4" t="s">
        <v>373</v>
      </c>
      <c r="C32" s="4">
        <v>3</v>
      </c>
      <c r="D32" s="15">
        <v>0.86</v>
      </c>
      <c r="E32" s="4">
        <v>1</v>
      </c>
      <c r="F32" s="4">
        <v>1</v>
      </c>
      <c r="G32" s="24">
        <f t="shared" si="2"/>
        <v>2.58</v>
      </c>
      <c r="H32" s="10">
        <v>1</v>
      </c>
      <c r="I32" s="5" t="s">
        <v>14</v>
      </c>
    </row>
    <row r="33" spans="1:9">
      <c r="A33" s="4">
        <v>2.2999999999999998</v>
      </c>
      <c r="B33" s="7" t="s">
        <v>23</v>
      </c>
      <c r="C33" s="4">
        <v>2</v>
      </c>
      <c r="D33" s="15">
        <v>0.86</v>
      </c>
      <c r="E33" s="4">
        <v>1</v>
      </c>
      <c r="F33" s="4">
        <v>1</v>
      </c>
      <c r="G33" s="4">
        <f t="shared" si="2"/>
        <v>1.72</v>
      </c>
      <c r="H33" s="6">
        <v>1</v>
      </c>
      <c r="I33" s="4"/>
    </row>
    <row r="34" spans="1:9">
      <c r="A34" s="4"/>
      <c r="B34" s="7" t="s">
        <v>27</v>
      </c>
      <c r="C34" s="4">
        <v>2</v>
      </c>
      <c r="D34" s="4">
        <f>3/3.28</f>
        <v>0.91463414634146345</v>
      </c>
      <c r="E34" s="4">
        <v>1</v>
      </c>
      <c r="F34" s="4">
        <v>1</v>
      </c>
      <c r="G34" s="4">
        <f>F34*E34*D34*C34</f>
        <v>1.8292682926829269</v>
      </c>
      <c r="H34" s="6">
        <v>1</v>
      </c>
      <c r="I34" s="4"/>
    </row>
    <row r="35" spans="1:9">
      <c r="A35" s="4"/>
      <c r="B35" s="7" t="s">
        <v>27</v>
      </c>
      <c r="C35" s="4">
        <v>2</v>
      </c>
      <c r="D35" s="4">
        <f>3.66/3.28</f>
        <v>1.1158536585365855</v>
      </c>
      <c r="E35" s="4">
        <v>1</v>
      </c>
      <c r="F35" s="4">
        <v>1</v>
      </c>
      <c r="G35" s="4">
        <f>F35*E35*D35*C35</f>
        <v>2.2317073170731709</v>
      </c>
      <c r="H35" s="6">
        <v>1</v>
      </c>
      <c r="I35" s="4"/>
    </row>
    <row r="36" spans="1:9">
      <c r="A36" s="4"/>
      <c r="B36" s="7"/>
      <c r="C36" s="4"/>
      <c r="D36" s="4"/>
      <c r="E36" s="4"/>
      <c r="F36" s="4"/>
      <c r="G36" s="24">
        <f>SUM(G33:G35)</f>
        <v>5.7809756097560978</v>
      </c>
      <c r="H36" s="10">
        <v>1</v>
      </c>
      <c r="I36" s="5" t="s">
        <v>14</v>
      </c>
    </row>
    <row r="37" spans="1:9" ht="28.8">
      <c r="A37" s="4">
        <v>2.4</v>
      </c>
      <c r="B37" s="8" t="s">
        <v>24</v>
      </c>
      <c r="C37" s="4">
        <v>2</v>
      </c>
      <c r="D37" s="4">
        <f>2.83/3.28</f>
        <v>0.86280487804878059</v>
      </c>
      <c r="E37" s="4">
        <v>1</v>
      </c>
      <c r="F37" s="4">
        <v>1</v>
      </c>
      <c r="G37" s="4">
        <f t="shared" si="2"/>
        <v>1.7256097560975612</v>
      </c>
      <c r="H37" s="6">
        <v>1</v>
      </c>
      <c r="I37" s="4"/>
    </row>
    <row r="38" spans="1:9">
      <c r="A38" s="4"/>
      <c r="B38" s="8" t="s">
        <v>28</v>
      </c>
      <c r="C38" s="4">
        <v>2</v>
      </c>
      <c r="D38" s="4">
        <f>3/3.28</f>
        <v>0.91463414634146345</v>
      </c>
      <c r="E38" s="4">
        <v>1</v>
      </c>
      <c r="F38" s="4">
        <v>1</v>
      </c>
      <c r="G38" s="4">
        <f>F38*E38*D38*C38</f>
        <v>1.8292682926829269</v>
      </c>
      <c r="H38" s="6">
        <v>1</v>
      </c>
      <c r="I38" s="4"/>
    </row>
    <row r="39" spans="1:9">
      <c r="A39" s="4"/>
      <c r="B39" s="8" t="s">
        <v>28</v>
      </c>
      <c r="C39" s="4">
        <v>2</v>
      </c>
      <c r="D39" s="4">
        <f>3.66/3.28</f>
        <v>1.1158536585365855</v>
      </c>
      <c r="E39" s="4">
        <v>1</v>
      </c>
      <c r="F39" s="4">
        <v>1</v>
      </c>
      <c r="G39" s="4">
        <f>F39*E39*D39*C39</f>
        <v>2.2317073170731709</v>
      </c>
      <c r="H39" s="6">
        <v>1</v>
      </c>
      <c r="I39" s="4"/>
    </row>
    <row r="40" spans="1:9">
      <c r="A40" s="4"/>
      <c r="B40" s="4"/>
      <c r="C40" s="4"/>
      <c r="D40" s="4"/>
      <c r="E40" s="4"/>
      <c r="F40" s="4"/>
      <c r="G40" s="24">
        <f>SUM(G37:G39)</f>
        <v>5.786585365853659</v>
      </c>
      <c r="H40" s="10">
        <v>1</v>
      </c>
      <c r="I40" s="5" t="s">
        <v>14</v>
      </c>
    </row>
    <row r="41" spans="1:9">
      <c r="A41" s="4">
        <v>2.5</v>
      </c>
      <c r="B41" s="4" t="s">
        <v>25</v>
      </c>
      <c r="C41" s="4">
        <v>1</v>
      </c>
      <c r="D41" s="4">
        <f>5.25/3.28</f>
        <v>1.6006097560975612</v>
      </c>
      <c r="E41" s="4">
        <v>1</v>
      </c>
      <c r="F41" s="4">
        <v>1</v>
      </c>
      <c r="G41" s="24">
        <f t="shared" si="2"/>
        <v>1.6006097560975612</v>
      </c>
      <c r="H41" s="10">
        <v>1</v>
      </c>
      <c r="I41" s="5" t="s">
        <v>14</v>
      </c>
    </row>
    <row r="42" spans="1:9">
      <c r="A42" s="4">
        <v>2.6</v>
      </c>
      <c r="B42" s="4" t="s">
        <v>26</v>
      </c>
      <c r="C42" s="4">
        <v>3</v>
      </c>
      <c r="D42" s="15">
        <v>0.91</v>
      </c>
      <c r="E42" s="4">
        <v>1</v>
      </c>
      <c r="F42" s="4">
        <v>1</v>
      </c>
      <c r="G42" s="4">
        <f t="shared" si="2"/>
        <v>2.73</v>
      </c>
      <c r="H42" s="6">
        <v>1</v>
      </c>
      <c r="I42" s="4"/>
    </row>
    <row r="43" spans="1:9">
      <c r="A43" s="4"/>
      <c r="B43" s="4" t="s">
        <v>26</v>
      </c>
      <c r="C43" s="4">
        <v>3</v>
      </c>
      <c r="D43" s="15">
        <v>0.11</v>
      </c>
      <c r="E43" s="4">
        <v>1</v>
      </c>
      <c r="F43" s="4">
        <v>1</v>
      </c>
      <c r="G43" s="4">
        <f>F43*E43*D43*C43</f>
        <v>0.33</v>
      </c>
      <c r="H43" s="6">
        <v>1</v>
      </c>
      <c r="I43" s="4"/>
    </row>
    <row r="44" spans="1:9">
      <c r="A44" s="4"/>
      <c r="B44" s="4"/>
      <c r="C44" s="4"/>
      <c r="D44" s="4"/>
      <c r="E44" s="4"/>
      <c r="F44" s="4"/>
      <c r="G44" s="24">
        <f>SUM(G42:G43)</f>
        <v>3.06</v>
      </c>
      <c r="H44" s="10">
        <v>1</v>
      </c>
      <c r="I44" s="5" t="s">
        <v>14</v>
      </c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s="12" customFormat="1" ht="18.600000000000001" customHeight="1">
      <c r="A46" s="11"/>
      <c r="B46" s="214" t="s">
        <v>29</v>
      </c>
      <c r="C46" s="214"/>
      <c r="D46" s="214"/>
      <c r="E46" s="214"/>
      <c r="F46" s="214"/>
      <c r="G46" s="11"/>
      <c r="H46" s="11"/>
      <c r="I46" s="11"/>
    </row>
    <row r="47" spans="1:9">
      <c r="A47" s="4">
        <v>1</v>
      </c>
      <c r="B47" s="5" t="s">
        <v>30</v>
      </c>
      <c r="C47" s="4"/>
      <c r="D47" s="4"/>
      <c r="E47" s="4"/>
      <c r="F47" s="4"/>
      <c r="G47" s="4"/>
      <c r="H47" s="4"/>
      <c r="I47" s="4"/>
    </row>
    <row r="48" spans="1:9">
      <c r="A48" s="4">
        <v>1.1000000000000001</v>
      </c>
      <c r="B48" s="4" t="s">
        <v>31</v>
      </c>
      <c r="C48" s="4">
        <v>1</v>
      </c>
      <c r="D48" s="4">
        <f>2.58/3.28</f>
        <v>0.78658536585365857</v>
      </c>
      <c r="E48" s="4">
        <v>1</v>
      </c>
      <c r="F48" s="4">
        <v>1</v>
      </c>
      <c r="G48" s="24">
        <f t="shared" ref="G48:G53" si="3">F48*E48*D48*C48</f>
        <v>0.78658536585365857</v>
      </c>
      <c r="H48" s="10">
        <v>1</v>
      </c>
      <c r="I48" s="5" t="s">
        <v>14</v>
      </c>
    </row>
    <row r="49" spans="1:9">
      <c r="A49" s="4">
        <v>1.2</v>
      </c>
      <c r="B49" s="4" t="s">
        <v>32</v>
      </c>
      <c r="C49" s="4">
        <v>1</v>
      </c>
      <c r="D49" s="4">
        <f>6/3.28</f>
        <v>1.8292682926829269</v>
      </c>
      <c r="E49" s="4">
        <v>1</v>
      </c>
      <c r="F49" s="4">
        <v>1</v>
      </c>
      <c r="G49" s="24">
        <f t="shared" si="3"/>
        <v>1.8292682926829269</v>
      </c>
      <c r="H49" s="10">
        <v>1</v>
      </c>
      <c r="I49" s="5" t="s">
        <v>14</v>
      </c>
    </row>
    <row r="50" spans="1:9">
      <c r="A50" s="4">
        <v>1.3</v>
      </c>
      <c r="B50" s="4" t="s">
        <v>33</v>
      </c>
      <c r="C50" s="4">
        <v>1</v>
      </c>
      <c r="D50" s="4">
        <f>6/3.28</f>
        <v>1.8292682926829269</v>
      </c>
      <c r="E50" s="4">
        <v>1</v>
      </c>
      <c r="F50" s="4">
        <v>1</v>
      </c>
      <c r="G50" s="24">
        <f t="shared" si="3"/>
        <v>1.8292682926829269</v>
      </c>
      <c r="H50" s="10">
        <v>1</v>
      </c>
      <c r="I50" s="5" t="s">
        <v>14</v>
      </c>
    </row>
    <row r="51" spans="1:9">
      <c r="A51" s="4">
        <v>1.4</v>
      </c>
      <c r="B51" s="4" t="s">
        <v>34</v>
      </c>
      <c r="C51" s="4">
        <v>1</v>
      </c>
      <c r="D51" s="15">
        <v>1.06</v>
      </c>
      <c r="E51" s="15">
        <v>2.13</v>
      </c>
      <c r="F51" s="4">
        <v>1</v>
      </c>
      <c r="G51" s="4">
        <f t="shared" si="3"/>
        <v>2.2578</v>
      </c>
      <c r="H51" s="6">
        <v>1</v>
      </c>
      <c r="I51" s="4" t="s">
        <v>36</v>
      </c>
    </row>
    <row r="52" spans="1:9">
      <c r="A52" s="4"/>
      <c r="B52" s="4" t="s">
        <v>35</v>
      </c>
      <c r="C52" s="4">
        <v>-1</v>
      </c>
      <c r="D52" s="15">
        <v>0.6</v>
      </c>
      <c r="E52" s="15">
        <v>0.45</v>
      </c>
      <c r="F52" s="4">
        <v>1</v>
      </c>
      <c r="G52" s="4">
        <f t="shared" si="3"/>
        <v>-0.27</v>
      </c>
      <c r="H52" s="6">
        <v>1</v>
      </c>
      <c r="I52" s="4"/>
    </row>
    <row r="53" spans="1:9">
      <c r="A53" s="4"/>
      <c r="B53" s="4" t="s">
        <v>34</v>
      </c>
      <c r="C53" s="4">
        <v>1</v>
      </c>
      <c r="D53" s="15">
        <v>0.15</v>
      </c>
      <c r="E53" s="15">
        <v>2.13</v>
      </c>
      <c r="F53" s="4">
        <v>1</v>
      </c>
      <c r="G53" s="4">
        <f t="shared" si="3"/>
        <v>0.31949999999999995</v>
      </c>
      <c r="H53" s="6">
        <v>1</v>
      </c>
      <c r="I53" s="4"/>
    </row>
    <row r="54" spans="1:9">
      <c r="A54" s="4"/>
      <c r="B54" s="4"/>
      <c r="C54" s="4"/>
      <c r="D54" s="4"/>
      <c r="E54" s="4"/>
      <c r="F54" s="4"/>
      <c r="G54" s="24">
        <f>SUM(G51:G53)</f>
        <v>2.3073000000000001</v>
      </c>
      <c r="H54" s="10">
        <v>1</v>
      </c>
      <c r="I54" s="5" t="s">
        <v>53</v>
      </c>
    </row>
    <row r="55" spans="1:9">
      <c r="A55" s="4">
        <v>1.5</v>
      </c>
      <c r="B55" s="5" t="s">
        <v>62</v>
      </c>
      <c r="C55" s="4"/>
      <c r="D55" s="4"/>
      <c r="E55" s="4"/>
      <c r="F55" s="4"/>
      <c r="G55" s="4"/>
      <c r="H55" s="4"/>
      <c r="I55" s="4"/>
    </row>
    <row r="56" spans="1:9">
      <c r="A56" s="4" t="s">
        <v>36</v>
      </c>
      <c r="B56" s="4" t="s">
        <v>63</v>
      </c>
      <c r="C56" s="4">
        <v>1</v>
      </c>
      <c r="D56" s="15">
        <v>7.69</v>
      </c>
      <c r="E56" s="15">
        <v>2.23</v>
      </c>
      <c r="F56" s="4">
        <v>1</v>
      </c>
      <c r="G56" s="4">
        <f>F56*E56*D56*C56</f>
        <v>17.148700000000002</v>
      </c>
      <c r="H56" s="6">
        <v>1</v>
      </c>
      <c r="I56" s="4"/>
    </row>
    <row r="57" spans="1:9">
      <c r="A57" s="4"/>
      <c r="B57" s="4" t="s">
        <v>63</v>
      </c>
      <c r="C57" s="4">
        <v>1</v>
      </c>
      <c r="D57" s="15">
        <v>1.44</v>
      </c>
      <c r="E57" s="15">
        <v>0.81</v>
      </c>
      <c r="F57" s="4">
        <v>1</v>
      </c>
      <c r="G57" s="4">
        <f t="shared" ref="G57:G60" si="4">F57*E57*D57*C57</f>
        <v>1.1664000000000001</v>
      </c>
      <c r="H57" s="6">
        <v>1</v>
      </c>
      <c r="I57" s="4"/>
    </row>
    <row r="58" spans="1:9">
      <c r="A58" s="4"/>
      <c r="B58" s="4" t="s">
        <v>63</v>
      </c>
      <c r="C58" s="4">
        <v>3</v>
      </c>
      <c r="D58" s="15">
        <v>0.81</v>
      </c>
      <c r="E58" s="15">
        <v>0.3</v>
      </c>
      <c r="F58" s="4">
        <v>1</v>
      </c>
      <c r="G58" s="4">
        <f t="shared" si="4"/>
        <v>0.72899999999999998</v>
      </c>
      <c r="H58" s="6">
        <v>1</v>
      </c>
      <c r="I58" s="4"/>
    </row>
    <row r="59" spans="1:9">
      <c r="A59" s="4"/>
      <c r="B59" s="4"/>
      <c r="C59" s="4"/>
      <c r="D59" s="4"/>
      <c r="E59" s="4"/>
      <c r="F59" s="4"/>
      <c r="G59" s="24">
        <f>SUM(G56:G58)</f>
        <v>19.0441</v>
      </c>
      <c r="H59" s="10">
        <v>1</v>
      </c>
      <c r="I59" s="5" t="s">
        <v>53</v>
      </c>
    </row>
    <row r="60" spans="1:9">
      <c r="A60" s="4" t="s">
        <v>36</v>
      </c>
      <c r="B60" s="4" t="s">
        <v>64</v>
      </c>
      <c r="C60" s="4">
        <v>1</v>
      </c>
      <c r="D60" s="15">
        <v>9.2200000000000006</v>
      </c>
      <c r="E60" s="4">
        <v>1</v>
      </c>
      <c r="F60" s="4">
        <v>1</v>
      </c>
      <c r="G60" s="24">
        <f t="shared" si="4"/>
        <v>9.2200000000000006</v>
      </c>
      <c r="H60" s="10">
        <v>1</v>
      </c>
      <c r="I60" s="5" t="s">
        <v>14</v>
      </c>
    </row>
    <row r="61" spans="1:9">
      <c r="A61" s="4"/>
      <c r="B61" s="4"/>
      <c r="C61" s="4"/>
      <c r="D61" s="4"/>
      <c r="E61" s="4"/>
      <c r="F61" s="4"/>
      <c r="G61" s="4"/>
      <c r="H61" s="10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>
        <v>2</v>
      </c>
      <c r="B63" s="5" t="s">
        <v>50</v>
      </c>
      <c r="C63" s="4"/>
      <c r="D63" s="4"/>
      <c r="E63" s="4"/>
      <c r="F63" s="4"/>
      <c r="G63" s="4"/>
      <c r="H63" s="4"/>
      <c r="I63" s="4"/>
    </row>
    <row r="64" spans="1:9">
      <c r="A64" s="4">
        <v>2.1</v>
      </c>
      <c r="B64" s="4" t="s">
        <v>37</v>
      </c>
      <c r="C64" s="4"/>
      <c r="D64" s="4"/>
      <c r="E64" s="4"/>
      <c r="F64" s="4"/>
      <c r="G64" s="4"/>
      <c r="H64" s="4"/>
      <c r="I64" s="4"/>
    </row>
    <row r="65" spans="1:9">
      <c r="A65" s="4">
        <v>2.2000000000000002</v>
      </c>
      <c r="B65" s="4" t="s">
        <v>38</v>
      </c>
      <c r="C65" s="4">
        <v>2</v>
      </c>
      <c r="D65" s="15">
        <v>10.97</v>
      </c>
      <c r="E65" s="4">
        <v>1</v>
      </c>
      <c r="F65" s="4">
        <v>1</v>
      </c>
      <c r="G65" s="4">
        <f>+F65*E65*D65*C65</f>
        <v>21.94</v>
      </c>
      <c r="H65" s="6">
        <v>1</v>
      </c>
      <c r="I65" s="4"/>
    </row>
    <row r="66" spans="1:9">
      <c r="A66" s="4"/>
      <c r="B66" s="4" t="s">
        <v>38</v>
      </c>
      <c r="C66" s="4">
        <v>23</v>
      </c>
      <c r="D66" s="15">
        <v>2.2799999999999998</v>
      </c>
      <c r="E66" s="4">
        <v>1</v>
      </c>
      <c r="F66" s="4">
        <v>1</v>
      </c>
      <c r="G66" s="4">
        <f t="shared" ref="G66:G115" si="5">+F66*E66*D66*C66</f>
        <v>52.44</v>
      </c>
      <c r="H66" s="6">
        <v>1</v>
      </c>
      <c r="I66" s="4"/>
    </row>
    <row r="67" spans="1:9">
      <c r="A67" s="4">
        <v>2.2999999999999998</v>
      </c>
      <c r="B67" s="4" t="s">
        <v>39</v>
      </c>
      <c r="C67" s="4">
        <v>7</v>
      </c>
      <c r="D67" s="15">
        <v>2.13</v>
      </c>
      <c r="E67" s="4">
        <v>1</v>
      </c>
      <c r="F67" s="4">
        <v>1</v>
      </c>
      <c r="G67" s="4">
        <f t="shared" si="5"/>
        <v>14.91</v>
      </c>
      <c r="H67" s="6">
        <v>1</v>
      </c>
      <c r="I67" s="4"/>
    </row>
    <row r="68" spans="1:9">
      <c r="A68" s="4"/>
      <c r="B68" s="4" t="s">
        <v>39</v>
      </c>
      <c r="C68" s="4">
        <v>1</v>
      </c>
      <c r="D68" s="15">
        <v>3.89</v>
      </c>
      <c r="E68" s="4">
        <v>1</v>
      </c>
      <c r="F68" s="4">
        <v>1</v>
      </c>
      <c r="G68" s="4">
        <f t="shared" si="5"/>
        <v>3.89</v>
      </c>
      <c r="H68" s="6">
        <v>1</v>
      </c>
      <c r="I68" s="4"/>
    </row>
    <row r="69" spans="1:9">
      <c r="A69" s="4"/>
      <c r="B69" s="4"/>
      <c r="C69" s="4"/>
      <c r="D69" s="4"/>
      <c r="E69" s="4"/>
      <c r="F69" s="5"/>
      <c r="G69" s="24">
        <f>SUM(G65:G68)</f>
        <v>93.179999999999993</v>
      </c>
      <c r="H69" s="10">
        <v>1</v>
      </c>
      <c r="I69" s="5" t="s">
        <v>14</v>
      </c>
    </row>
    <row r="70" spans="1:9">
      <c r="A70" s="4">
        <v>3</v>
      </c>
      <c r="B70" s="5" t="s">
        <v>49</v>
      </c>
      <c r="C70" s="4"/>
      <c r="D70" s="4"/>
      <c r="E70" s="4"/>
      <c r="F70" s="4"/>
      <c r="G70" s="4"/>
      <c r="H70" s="6"/>
      <c r="I70" s="4"/>
    </row>
    <row r="71" spans="1:9">
      <c r="A71" s="4">
        <v>3.1</v>
      </c>
      <c r="B71" s="4" t="s">
        <v>40</v>
      </c>
      <c r="C71" s="4"/>
      <c r="D71" s="4"/>
      <c r="E71" s="4"/>
      <c r="F71" s="4"/>
      <c r="G71" s="4"/>
      <c r="H71" s="6"/>
      <c r="I71" s="4"/>
    </row>
    <row r="72" spans="1:9">
      <c r="A72" s="4"/>
      <c r="B72" s="15" t="s">
        <v>38</v>
      </c>
      <c r="C72" s="4">
        <v>1</v>
      </c>
      <c r="D72" s="15">
        <v>3.53</v>
      </c>
      <c r="E72" s="4">
        <v>1</v>
      </c>
      <c r="F72" s="4">
        <v>1</v>
      </c>
      <c r="G72" s="4">
        <f>F72*E72*D72*C72</f>
        <v>3.53</v>
      </c>
      <c r="H72" s="6">
        <v>1</v>
      </c>
      <c r="I72" s="4"/>
    </row>
    <row r="73" spans="1:9">
      <c r="A73" s="4"/>
      <c r="B73" s="4" t="s">
        <v>38</v>
      </c>
      <c r="C73" s="4">
        <v>7</v>
      </c>
      <c r="D73" s="15">
        <v>6.8</v>
      </c>
      <c r="E73" s="4">
        <v>1</v>
      </c>
      <c r="F73" s="4">
        <v>1</v>
      </c>
      <c r="G73" s="4">
        <f t="shared" si="5"/>
        <v>47.6</v>
      </c>
      <c r="H73" s="6">
        <v>1</v>
      </c>
      <c r="I73" s="4"/>
    </row>
    <row r="74" spans="1:9">
      <c r="A74" s="4"/>
      <c r="B74" s="4" t="s">
        <v>38</v>
      </c>
      <c r="C74" s="4">
        <v>13</v>
      </c>
      <c r="D74" s="15">
        <v>2.11</v>
      </c>
      <c r="E74" s="4">
        <v>1</v>
      </c>
      <c r="F74" s="4">
        <v>1</v>
      </c>
      <c r="G74" s="4">
        <f t="shared" si="5"/>
        <v>27.43</v>
      </c>
      <c r="H74" s="6">
        <v>1</v>
      </c>
      <c r="I74" s="4"/>
    </row>
    <row r="75" spans="1:9">
      <c r="A75" s="4"/>
      <c r="B75" s="15" t="s">
        <v>38</v>
      </c>
      <c r="C75" s="4">
        <v>6</v>
      </c>
      <c r="D75" s="15">
        <v>0.19</v>
      </c>
      <c r="E75" s="4">
        <v>1</v>
      </c>
      <c r="F75" s="4">
        <v>1</v>
      </c>
      <c r="G75" s="4">
        <f t="shared" si="5"/>
        <v>1.1400000000000001</v>
      </c>
      <c r="H75" s="6">
        <v>1</v>
      </c>
      <c r="I75" s="4"/>
    </row>
    <row r="76" spans="1:9">
      <c r="A76" s="4"/>
      <c r="B76" s="4" t="s">
        <v>39</v>
      </c>
      <c r="C76" s="4">
        <v>2</v>
      </c>
      <c r="D76" s="4">
        <f>8.16/3.28</f>
        <v>2.4878048780487805</v>
      </c>
      <c r="E76" s="4">
        <v>1</v>
      </c>
      <c r="F76" s="4">
        <v>1</v>
      </c>
      <c r="G76" s="4">
        <f t="shared" si="5"/>
        <v>4.975609756097561</v>
      </c>
      <c r="H76" s="6">
        <v>1</v>
      </c>
      <c r="I76" s="4"/>
    </row>
    <row r="77" spans="1:9">
      <c r="A77" s="4"/>
      <c r="B77" s="4" t="s">
        <v>39</v>
      </c>
      <c r="C77" s="4">
        <v>2</v>
      </c>
      <c r="D77" s="15">
        <v>1.73</v>
      </c>
      <c r="E77" s="4">
        <v>1</v>
      </c>
      <c r="F77" s="4">
        <v>1</v>
      </c>
      <c r="G77" s="4">
        <f t="shared" si="5"/>
        <v>3.46</v>
      </c>
      <c r="H77" s="6">
        <v>1</v>
      </c>
      <c r="I77" s="4"/>
    </row>
    <row r="78" spans="1:9">
      <c r="A78" s="4"/>
      <c r="B78" s="4" t="s">
        <v>82</v>
      </c>
      <c r="C78" s="4">
        <v>6</v>
      </c>
      <c r="D78" s="15">
        <v>2.0299999999999998</v>
      </c>
      <c r="E78" s="4">
        <v>1</v>
      </c>
      <c r="F78" s="4">
        <v>1</v>
      </c>
      <c r="G78" s="4">
        <f t="shared" si="5"/>
        <v>12.18</v>
      </c>
      <c r="H78" s="6">
        <v>1</v>
      </c>
      <c r="I78" s="4"/>
    </row>
    <row r="79" spans="1:9">
      <c r="A79" s="4"/>
      <c r="B79" s="4" t="s">
        <v>39</v>
      </c>
      <c r="C79" s="4">
        <v>1</v>
      </c>
      <c r="D79" s="4">
        <f>11.91/3.28</f>
        <v>3.63109756097561</v>
      </c>
      <c r="E79" s="4">
        <v>1</v>
      </c>
      <c r="F79" s="4">
        <v>1</v>
      </c>
      <c r="G79" s="4">
        <f t="shared" si="5"/>
        <v>3.63109756097561</v>
      </c>
      <c r="H79" s="6">
        <v>1</v>
      </c>
      <c r="I79" s="4"/>
    </row>
    <row r="80" spans="1:9">
      <c r="A80" s="4"/>
      <c r="B80" s="4"/>
      <c r="C80" s="4"/>
      <c r="D80" s="4"/>
      <c r="E80" s="4"/>
      <c r="F80" s="4"/>
      <c r="G80" s="24">
        <f>SUM(G72:G79)</f>
        <v>103.94670731707316</v>
      </c>
      <c r="H80" s="10">
        <v>1</v>
      </c>
      <c r="I80" s="5" t="s">
        <v>14</v>
      </c>
    </row>
    <row r="81" spans="1:9">
      <c r="A81" s="4" t="s">
        <v>36</v>
      </c>
      <c r="B81" s="5" t="s">
        <v>36</v>
      </c>
      <c r="C81" s="4"/>
      <c r="D81" s="4"/>
      <c r="E81" s="4"/>
      <c r="F81" s="4"/>
      <c r="G81" s="4"/>
      <c r="H81" s="4"/>
      <c r="I81" s="4"/>
    </row>
    <row r="82" spans="1:9">
      <c r="A82" s="4">
        <v>3.2</v>
      </c>
      <c r="B82" s="7" t="s">
        <v>79</v>
      </c>
      <c r="C82" s="4">
        <v>1</v>
      </c>
      <c r="D82" s="15">
        <v>1.49</v>
      </c>
      <c r="E82" s="4">
        <v>1</v>
      </c>
      <c r="F82" s="4">
        <v>1</v>
      </c>
      <c r="G82" s="24">
        <f t="shared" ref="G82:G85" si="6">F82*E82*D82*C82</f>
        <v>1.49</v>
      </c>
      <c r="H82" s="10">
        <v>1</v>
      </c>
      <c r="I82" s="5" t="s">
        <v>14</v>
      </c>
    </row>
    <row r="83" spans="1:9">
      <c r="A83" s="4">
        <v>3.3</v>
      </c>
      <c r="B83" s="4" t="s">
        <v>69</v>
      </c>
      <c r="C83" s="4">
        <v>1</v>
      </c>
      <c r="D83" s="15">
        <v>2.13</v>
      </c>
      <c r="E83" s="4">
        <v>1</v>
      </c>
      <c r="F83" s="4">
        <v>1</v>
      </c>
      <c r="G83" s="24">
        <f t="shared" si="6"/>
        <v>2.13</v>
      </c>
      <c r="H83" s="10">
        <v>1</v>
      </c>
      <c r="I83" s="5" t="s">
        <v>14</v>
      </c>
    </row>
    <row r="84" spans="1:9" ht="28.8">
      <c r="A84" s="4">
        <v>3.4</v>
      </c>
      <c r="B84" s="7" t="s">
        <v>80</v>
      </c>
      <c r="C84" s="4">
        <v>2</v>
      </c>
      <c r="D84" s="4">
        <f>1.66/3.28</f>
        <v>0.50609756097560976</v>
      </c>
      <c r="E84" s="4">
        <f>1.33/3.28</f>
        <v>0.40548780487804881</v>
      </c>
      <c r="F84" s="4">
        <v>1</v>
      </c>
      <c r="G84" s="24">
        <f t="shared" si="6"/>
        <v>0.41043277810826889</v>
      </c>
      <c r="H84" s="10">
        <v>1</v>
      </c>
      <c r="I84" s="5" t="s">
        <v>53</v>
      </c>
    </row>
    <row r="85" spans="1:9">
      <c r="A85" s="4">
        <v>3.5</v>
      </c>
      <c r="B85" s="4" t="s">
        <v>69</v>
      </c>
      <c r="C85" s="4">
        <v>2</v>
      </c>
      <c r="D85" s="4">
        <f>5.83/3.28</f>
        <v>1.777439024390244</v>
      </c>
      <c r="E85" s="4">
        <v>1</v>
      </c>
      <c r="F85" s="4">
        <v>1</v>
      </c>
      <c r="G85" s="24">
        <f t="shared" si="6"/>
        <v>3.5548780487804881</v>
      </c>
      <c r="H85" s="10">
        <v>1</v>
      </c>
      <c r="I85" s="5" t="s">
        <v>14</v>
      </c>
    </row>
    <row r="86" spans="1:9">
      <c r="A86" s="4">
        <v>4</v>
      </c>
      <c r="B86" s="5" t="s">
        <v>41</v>
      </c>
      <c r="C86" s="4"/>
      <c r="D86" s="4"/>
      <c r="E86" s="4"/>
      <c r="F86" s="4"/>
      <c r="G86" s="4"/>
      <c r="H86" s="6"/>
      <c r="I86" s="4"/>
    </row>
    <row r="87" spans="1:9">
      <c r="A87" s="4">
        <v>4.0999999999999996</v>
      </c>
      <c r="B87" s="4" t="s">
        <v>42</v>
      </c>
      <c r="C87" s="4"/>
      <c r="D87" s="4"/>
      <c r="E87" s="4"/>
      <c r="F87" s="4"/>
      <c r="G87" s="4"/>
      <c r="H87" s="6"/>
      <c r="I87" s="4"/>
    </row>
    <row r="88" spans="1:9">
      <c r="A88" s="4"/>
      <c r="B88" s="4" t="s">
        <v>39</v>
      </c>
      <c r="C88" s="4">
        <v>8</v>
      </c>
      <c r="D88" s="15">
        <v>5.97</v>
      </c>
      <c r="E88" s="4">
        <v>1</v>
      </c>
      <c r="F88" s="4">
        <v>1</v>
      </c>
      <c r="G88" s="4">
        <f t="shared" si="5"/>
        <v>47.76</v>
      </c>
      <c r="H88" s="6">
        <v>1</v>
      </c>
      <c r="I88" s="4"/>
    </row>
    <row r="89" spans="1:9">
      <c r="A89" s="4"/>
      <c r="B89" s="4" t="s">
        <v>39</v>
      </c>
      <c r="C89" s="4">
        <v>6</v>
      </c>
      <c r="D89" s="15">
        <v>4.1100000000000003</v>
      </c>
      <c r="E89" s="4">
        <v>1</v>
      </c>
      <c r="F89" s="4">
        <v>1</v>
      </c>
      <c r="G89" s="4">
        <f t="shared" si="5"/>
        <v>24.660000000000004</v>
      </c>
      <c r="H89" s="6">
        <v>1</v>
      </c>
      <c r="I89" s="4"/>
    </row>
    <row r="90" spans="1:9">
      <c r="A90" s="4"/>
      <c r="B90" s="4"/>
      <c r="C90" s="4"/>
      <c r="D90" s="4"/>
      <c r="E90" s="4"/>
      <c r="F90" s="4"/>
      <c r="G90" s="24">
        <f>SUM(G88:G89)</f>
        <v>72.42</v>
      </c>
      <c r="H90" s="10">
        <v>1</v>
      </c>
      <c r="I90" s="5" t="s">
        <v>14</v>
      </c>
    </row>
    <row r="91" spans="1:9">
      <c r="A91" s="4">
        <v>5</v>
      </c>
      <c r="B91" s="5" t="s">
        <v>81</v>
      </c>
      <c r="C91" s="4"/>
      <c r="D91" s="4"/>
      <c r="E91" s="4"/>
      <c r="F91" s="4"/>
      <c r="G91" s="4"/>
      <c r="H91" s="6"/>
      <c r="I91" s="4"/>
    </row>
    <row r="92" spans="1:9">
      <c r="A92" s="4">
        <v>5.0999999999999996</v>
      </c>
      <c r="B92" s="4" t="s">
        <v>42</v>
      </c>
      <c r="C92" s="4"/>
      <c r="D92" s="4"/>
      <c r="E92" s="4"/>
      <c r="F92" s="4"/>
      <c r="G92" s="4"/>
      <c r="H92" s="6"/>
      <c r="I92" s="4"/>
    </row>
    <row r="93" spans="1:9">
      <c r="A93" s="4"/>
      <c r="B93" s="4" t="s">
        <v>38</v>
      </c>
      <c r="C93" s="4">
        <v>4</v>
      </c>
      <c r="D93" s="4">
        <f>6.25/3.28</f>
        <v>1.9054878048780488</v>
      </c>
      <c r="E93" s="4">
        <v>1</v>
      </c>
      <c r="F93" s="4">
        <v>1</v>
      </c>
      <c r="G93" s="4">
        <f t="shared" si="5"/>
        <v>7.6219512195121952</v>
      </c>
      <c r="H93" s="6">
        <v>1</v>
      </c>
      <c r="I93" s="4"/>
    </row>
    <row r="94" spans="1:9">
      <c r="A94" s="4"/>
      <c r="B94" s="4" t="s">
        <v>38</v>
      </c>
      <c r="C94" s="4">
        <v>2</v>
      </c>
      <c r="D94" s="15">
        <v>2.1059999999999999</v>
      </c>
      <c r="E94" s="4">
        <v>1</v>
      </c>
      <c r="F94" s="4">
        <v>1</v>
      </c>
      <c r="G94" s="4">
        <f t="shared" si="5"/>
        <v>4.2119999999999997</v>
      </c>
      <c r="H94" s="6">
        <v>1</v>
      </c>
      <c r="I94" s="4"/>
    </row>
    <row r="95" spans="1:9">
      <c r="A95" s="4"/>
      <c r="B95" s="4"/>
      <c r="C95" s="4"/>
      <c r="D95" s="4"/>
      <c r="E95" s="4"/>
      <c r="F95" s="4"/>
      <c r="G95" s="24">
        <f>SUM(G93:G94)</f>
        <v>11.833951219512194</v>
      </c>
      <c r="H95" s="10">
        <v>1</v>
      </c>
      <c r="I95" s="5" t="s">
        <v>14</v>
      </c>
    </row>
    <row r="96" spans="1:9">
      <c r="A96" s="4">
        <v>5.2</v>
      </c>
      <c r="B96" s="4" t="s">
        <v>67</v>
      </c>
      <c r="C96" s="4">
        <v>1</v>
      </c>
      <c r="D96" s="15">
        <v>1.21</v>
      </c>
      <c r="E96" s="15">
        <v>0.76</v>
      </c>
      <c r="F96" s="4">
        <v>1</v>
      </c>
      <c r="G96" s="24">
        <f t="shared" ref="G96:G98" si="7">F96*E96*D96*C96</f>
        <v>0.91959999999999997</v>
      </c>
      <c r="H96" s="10">
        <v>1</v>
      </c>
      <c r="I96" s="5" t="s">
        <v>53</v>
      </c>
    </row>
    <row r="97" spans="1:15">
      <c r="A97" s="4">
        <v>5.3</v>
      </c>
      <c r="B97" s="7" t="s">
        <v>68</v>
      </c>
      <c r="C97" s="4">
        <v>1</v>
      </c>
      <c r="D97" s="15">
        <v>0.76</v>
      </c>
      <c r="E97" s="4">
        <v>1</v>
      </c>
      <c r="F97" s="4">
        <v>1</v>
      </c>
      <c r="G97" s="24">
        <f t="shared" si="7"/>
        <v>0.76</v>
      </c>
      <c r="H97" s="10">
        <v>1</v>
      </c>
      <c r="I97" s="5" t="s">
        <v>14</v>
      </c>
    </row>
    <row r="98" spans="1:15">
      <c r="A98" s="4">
        <v>5.4</v>
      </c>
      <c r="B98" s="4" t="s">
        <v>69</v>
      </c>
      <c r="C98" s="4">
        <v>1</v>
      </c>
      <c r="D98" s="15">
        <v>0.76200000000000001</v>
      </c>
      <c r="E98" s="4">
        <v>1</v>
      </c>
      <c r="F98" s="4">
        <v>1</v>
      </c>
      <c r="G98" s="24">
        <f t="shared" si="7"/>
        <v>0.76200000000000001</v>
      </c>
      <c r="H98" s="10">
        <v>1</v>
      </c>
      <c r="I98" s="5" t="s">
        <v>14</v>
      </c>
      <c r="O98" t="s">
        <v>36</v>
      </c>
    </row>
    <row r="99" spans="1:15">
      <c r="A99" s="4"/>
      <c r="B99" s="4"/>
      <c r="C99" s="4"/>
      <c r="D99" s="4"/>
      <c r="E99" s="4"/>
      <c r="F99" s="4"/>
      <c r="G99" s="5"/>
      <c r="H99" s="10"/>
      <c r="I99" s="5"/>
    </row>
    <row r="100" spans="1:15">
      <c r="A100" s="4">
        <v>6</v>
      </c>
      <c r="B100" s="5" t="s">
        <v>51</v>
      </c>
      <c r="C100" s="4"/>
      <c r="D100" s="4"/>
      <c r="E100" s="4"/>
      <c r="F100" s="4"/>
      <c r="G100" s="4"/>
      <c r="H100" s="6"/>
      <c r="I100" s="4"/>
    </row>
    <row r="101" spans="1:15">
      <c r="A101" s="4">
        <v>6.1</v>
      </c>
      <c r="B101" s="4" t="s">
        <v>43</v>
      </c>
      <c r="C101" s="4"/>
      <c r="D101" s="4"/>
      <c r="E101" s="4"/>
      <c r="F101" s="4"/>
      <c r="G101" s="4"/>
      <c r="H101" s="6"/>
      <c r="I101" s="4"/>
      <c r="O101" t="s">
        <v>153</v>
      </c>
    </row>
    <row r="102" spans="1:15">
      <c r="A102" s="4"/>
      <c r="B102" s="4" t="s">
        <v>38</v>
      </c>
      <c r="C102" s="4">
        <v>4</v>
      </c>
      <c r="D102" s="15">
        <v>9.75</v>
      </c>
      <c r="E102" s="4">
        <v>1</v>
      </c>
      <c r="F102" s="4">
        <v>1</v>
      </c>
      <c r="G102" s="4">
        <f t="shared" si="5"/>
        <v>39</v>
      </c>
      <c r="H102" s="6">
        <v>1</v>
      </c>
      <c r="I102" s="4"/>
      <c r="O102" t="s">
        <v>36</v>
      </c>
    </row>
    <row r="103" spans="1:15">
      <c r="A103" s="4"/>
      <c r="B103" s="4" t="s">
        <v>38</v>
      </c>
      <c r="C103" s="4">
        <v>13</v>
      </c>
      <c r="D103" s="15">
        <v>2.13</v>
      </c>
      <c r="E103" s="4">
        <v>1</v>
      </c>
      <c r="F103" s="4">
        <v>1</v>
      </c>
      <c r="G103" s="4">
        <f t="shared" si="5"/>
        <v>27.689999999999998</v>
      </c>
      <c r="H103" s="6">
        <v>1</v>
      </c>
      <c r="I103" s="4"/>
    </row>
    <row r="104" spans="1:15">
      <c r="A104" s="4"/>
      <c r="B104" s="4" t="s">
        <v>38</v>
      </c>
      <c r="C104" s="4">
        <v>2</v>
      </c>
      <c r="D104" s="15">
        <v>10.36</v>
      </c>
      <c r="E104" s="4">
        <v>1</v>
      </c>
      <c r="F104" s="4">
        <v>1</v>
      </c>
      <c r="G104" s="4">
        <f t="shared" si="5"/>
        <v>20.72</v>
      </c>
      <c r="H104" s="6">
        <v>1</v>
      </c>
      <c r="I104" s="4"/>
    </row>
    <row r="105" spans="1:15">
      <c r="A105" s="4"/>
      <c r="B105" s="4" t="s">
        <v>38</v>
      </c>
      <c r="C105" s="4">
        <v>1</v>
      </c>
      <c r="D105" s="15">
        <v>1.9</v>
      </c>
      <c r="E105" s="4">
        <v>1</v>
      </c>
      <c r="F105" s="4">
        <v>1</v>
      </c>
      <c r="G105" s="4">
        <f t="shared" si="5"/>
        <v>1.9</v>
      </c>
      <c r="H105" s="6">
        <v>1</v>
      </c>
      <c r="I105" s="4"/>
    </row>
    <row r="106" spans="1:15">
      <c r="A106" s="4"/>
      <c r="B106" s="4" t="s">
        <v>38</v>
      </c>
      <c r="C106" s="4">
        <v>4</v>
      </c>
      <c r="D106" s="15">
        <v>0.91</v>
      </c>
      <c r="E106" s="4">
        <v>1</v>
      </c>
      <c r="F106" s="4">
        <v>1</v>
      </c>
      <c r="G106" s="4">
        <f t="shared" si="5"/>
        <v>3.64</v>
      </c>
      <c r="H106" s="6">
        <v>1</v>
      </c>
      <c r="I106" s="4"/>
    </row>
    <row r="107" spans="1:15">
      <c r="A107" s="4"/>
      <c r="B107" s="4" t="s">
        <v>38</v>
      </c>
      <c r="C107" s="4">
        <v>2</v>
      </c>
      <c r="D107" s="15">
        <v>5.79</v>
      </c>
      <c r="E107" s="4">
        <v>1</v>
      </c>
      <c r="F107" s="4">
        <v>1</v>
      </c>
      <c r="G107" s="4">
        <f t="shared" si="5"/>
        <v>11.58</v>
      </c>
      <c r="H107" s="6">
        <v>1</v>
      </c>
      <c r="I107" s="4"/>
    </row>
    <row r="108" spans="1:15">
      <c r="A108" s="4"/>
      <c r="B108" s="4" t="s">
        <v>38</v>
      </c>
      <c r="C108" s="4">
        <v>6</v>
      </c>
      <c r="D108" s="15">
        <v>0.6</v>
      </c>
      <c r="E108" s="4">
        <v>1</v>
      </c>
      <c r="F108" s="4">
        <v>1</v>
      </c>
      <c r="G108" s="4">
        <f t="shared" si="5"/>
        <v>3.5999999999999996</v>
      </c>
      <c r="H108" s="6">
        <v>1</v>
      </c>
      <c r="I108" s="4"/>
    </row>
    <row r="109" spans="1:15">
      <c r="A109" s="4"/>
      <c r="B109" s="4" t="s">
        <v>38</v>
      </c>
      <c r="C109" s="4">
        <v>13</v>
      </c>
      <c r="D109" s="15">
        <v>0.6</v>
      </c>
      <c r="E109" s="4">
        <v>1</v>
      </c>
      <c r="F109" s="4">
        <v>1</v>
      </c>
      <c r="G109" s="4">
        <f t="shared" si="5"/>
        <v>7.8</v>
      </c>
      <c r="H109" s="6">
        <v>1</v>
      </c>
      <c r="I109" s="4"/>
    </row>
    <row r="110" spans="1:15">
      <c r="A110" s="4"/>
      <c r="B110" s="4" t="s">
        <v>38</v>
      </c>
      <c r="C110" s="4">
        <v>4</v>
      </c>
      <c r="D110" s="15">
        <v>1.01</v>
      </c>
      <c r="E110" s="4">
        <v>1</v>
      </c>
      <c r="F110" s="4">
        <v>1</v>
      </c>
      <c r="G110" s="4">
        <f t="shared" si="5"/>
        <v>4.04</v>
      </c>
      <c r="H110" s="6">
        <v>1</v>
      </c>
      <c r="I110" s="4"/>
    </row>
    <row r="111" spans="1:15">
      <c r="A111" s="4"/>
      <c r="B111" s="4"/>
      <c r="C111" s="4"/>
      <c r="D111" s="4"/>
      <c r="E111" s="4"/>
      <c r="F111" s="4"/>
      <c r="G111" s="24">
        <f>SUM(G102:G110)</f>
        <v>119.97</v>
      </c>
      <c r="H111" s="10">
        <v>1</v>
      </c>
      <c r="I111" s="5" t="s">
        <v>14</v>
      </c>
    </row>
    <row r="112" spans="1:15">
      <c r="A112" s="4">
        <v>7</v>
      </c>
      <c r="B112" s="5" t="s">
        <v>44</v>
      </c>
      <c r="C112" s="4"/>
      <c r="D112" s="4"/>
      <c r="E112" s="4"/>
      <c r="F112" s="4"/>
      <c r="G112" s="4"/>
      <c r="H112" s="6"/>
      <c r="I112" s="4"/>
    </row>
    <row r="113" spans="1:9">
      <c r="A113" s="4">
        <v>7.1</v>
      </c>
      <c r="B113" s="4" t="s">
        <v>43</v>
      </c>
      <c r="C113" s="4"/>
      <c r="D113" s="4"/>
      <c r="E113" s="4"/>
      <c r="F113" s="4"/>
      <c r="G113" s="4"/>
      <c r="H113" s="6"/>
      <c r="I113" s="4"/>
    </row>
    <row r="114" spans="1:9">
      <c r="B114" s="4" t="s">
        <v>38</v>
      </c>
      <c r="C114" s="4">
        <v>8</v>
      </c>
      <c r="D114" s="15">
        <v>2.2799999999999998</v>
      </c>
      <c r="E114" s="4">
        <v>1</v>
      </c>
      <c r="F114" s="4">
        <v>1</v>
      </c>
      <c r="G114" s="4">
        <f t="shared" si="5"/>
        <v>18.239999999999998</v>
      </c>
      <c r="H114" s="6">
        <v>1</v>
      </c>
      <c r="I114" s="4"/>
    </row>
    <row r="115" spans="1:9">
      <c r="A115" s="4"/>
      <c r="B115" s="4" t="s">
        <v>38</v>
      </c>
      <c r="C115" s="4">
        <v>5</v>
      </c>
      <c r="D115" s="15">
        <v>1.21</v>
      </c>
      <c r="E115" s="4">
        <v>1</v>
      </c>
      <c r="F115" s="4">
        <v>1</v>
      </c>
      <c r="G115" s="4">
        <f t="shared" si="5"/>
        <v>6.05</v>
      </c>
      <c r="H115" s="6">
        <v>1</v>
      </c>
      <c r="I115" s="4"/>
    </row>
    <row r="116" spans="1:9">
      <c r="A116" s="4"/>
      <c r="B116" s="4"/>
      <c r="C116" s="4"/>
      <c r="D116" s="4"/>
      <c r="E116" s="4"/>
      <c r="F116" s="4"/>
      <c r="G116" s="24">
        <f>SUM(G114:G115)</f>
        <v>24.29</v>
      </c>
      <c r="H116" s="10">
        <v>1</v>
      </c>
      <c r="I116" s="5" t="s">
        <v>14</v>
      </c>
    </row>
    <row r="117" spans="1:9">
      <c r="A117" s="4">
        <v>8</v>
      </c>
      <c r="B117" s="5" t="s">
        <v>52</v>
      </c>
      <c r="C117" s="4"/>
      <c r="D117" s="4"/>
      <c r="E117" s="4"/>
      <c r="F117" s="4"/>
      <c r="G117" s="4"/>
      <c r="H117" s="6"/>
      <c r="I117" s="4"/>
    </row>
    <row r="118" spans="1:9">
      <c r="A118" s="4">
        <v>8.1</v>
      </c>
      <c r="B118" s="4" t="s">
        <v>45</v>
      </c>
      <c r="C118" s="4"/>
      <c r="D118" s="4"/>
      <c r="E118" s="4"/>
      <c r="F118" s="4"/>
      <c r="G118" s="4"/>
      <c r="H118" s="6"/>
      <c r="I118" s="4"/>
    </row>
    <row r="119" spans="1:9">
      <c r="A119" s="4"/>
      <c r="B119" s="4" t="s">
        <v>38</v>
      </c>
      <c r="C119" s="4">
        <v>5</v>
      </c>
      <c r="D119" s="15">
        <v>6.2</v>
      </c>
      <c r="E119" s="4">
        <v>1</v>
      </c>
      <c r="F119" s="4">
        <v>1</v>
      </c>
      <c r="G119" s="4">
        <f>+F119*E119*D119*C119</f>
        <v>31</v>
      </c>
      <c r="H119" s="6">
        <v>1</v>
      </c>
      <c r="I119" s="4"/>
    </row>
    <row r="120" spans="1:9">
      <c r="A120" s="4"/>
      <c r="B120" s="4" t="s">
        <v>38</v>
      </c>
      <c r="C120" s="4">
        <v>7</v>
      </c>
      <c r="D120" s="15">
        <v>2.2559999999999998</v>
      </c>
      <c r="E120" s="4">
        <v>1</v>
      </c>
      <c r="F120" s="4">
        <v>1</v>
      </c>
      <c r="G120" s="4">
        <f t="shared" ref="G120:G124" si="8">+F120*E120*D120*C120</f>
        <v>15.791999999999998</v>
      </c>
      <c r="H120" s="6">
        <v>1</v>
      </c>
      <c r="I120" s="4"/>
    </row>
    <row r="121" spans="1:9">
      <c r="A121" s="4"/>
      <c r="B121" s="4" t="s">
        <v>38</v>
      </c>
      <c r="C121" s="4">
        <v>3</v>
      </c>
      <c r="D121" s="15">
        <v>3.2360000000000002</v>
      </c>
      <c r="E121" s="4">
        <v>1</v>
      </c>
      <c r="F121" s="4">
        <v>1</v>
      </c>
      <c r="G121" s="4">
        <f t="shared" si="8"/>
        <v>9.7080000000000002</v>
      </c>
      <c r="H121" s="6">
        <v>1</v>
      </c>
      <c r="I121" s="4"/>
    </row>
    <row r="122" spans="1:9">
      <c r="A122" s="4"/>
      <c r="B122" s="4" t="s">
        <v>38</v>
      </c>
      <c r="C122" s="4">
        <v>5</v>
      </c>
      <c r="D122" s="15">
        <v>0.91</v>
      </c>
      <c r="E122" s="4">
        <v>1</v>
      </c>
      <c r="F122" s="4">
        <v>1</v>
      </c>
      <c r="G122" s="4">
        <f t="shared" si="8"/>
        <v>4.55</v>
      </c>
      <c r="H122" s="6">
        <v>1</v>
      </c>
      <c r="I122" s="4"/>
    </row>
    <row r="123" spans="1:9">
      <c r="A123" s="4"/>
      <c r="B123" s="4" t="s">
        <v>38</v>
      </c>
      <c r="C123" s="4">
        <v>5</v>
      </c>
      <c r="D123" s="15">
        <v>0.35599999999999998</v>
      </c>
      <c r="E123" s="4">
        <v>1</v>
      </c>
      <c r="F123" s="4">
        <v>1</v>
      </c>
      <c r="G123" s="4">
        <f t="shared" si="8"/>
        <v>1.7799999999999998</v>
      </c>
      <c r="H123" s="6">
        <v>1</v>
      </c>
      <c r="I123" s="4"/>
    </row>
    <row r="124" spans="1:9">
      <c r="A124" s="4"/>
      <c r="B124" s="4" t="s">
        <v>38</v>
      </c>
      <c r="C124" s="4">
        <v>3</v>
      </c>
      <c r="D124" s="15">
        <v>0.6</v>
      </c>
      <c r="E124" s="4">
        <v>1</v>
      </c>
      <c r="F124" s="4">
        <v>1</v>
      </c>
      <c r="G124" s="4">
        <f t="shared" si="8"/>
        <v>1.7999999999999998</v>
      </c>
      <c r="H124" s="6">
        <v>1</v>
      </c>
      <c r="I124" s="4"/>
    </row>
    <row r="125" spans="1:9">
      <c r="A125" s="4"/>
      <c r="B125" s="4"/>
      <c r="C125" s="4"/>
      <c r="D125" s="4"/>
      <c r="E125" s="4"/>
      <c r="F125" s="4"/>
      <c r="G125" s="24">
        <f>SUM(G119:G124)</f>
        <v>64.63</v>
      </c>
      <c r="H125" s="10">
        <v>1</v>
      </c>
      <c r="I125" s="5" t="s">
        <v>14</v>
      </c>
    </row>
    <row r="126" spans="1:9">
      <c r="A126" s="4"/>
      <c r="B126" s="4"/>
      <c r="C126" s="4"/>
      <c r="D126" s="4"/>
      <c r="E126" s="4"/>
      <c r="F126" s="4"/>
      <c r="G126" s="5"/>
      <c r="H126" s="10"/>
      <c r="I126" s="5"/>
    </row>
    <row r="127" spans="1:9">
      <c r="A127" s="4">
        <v>9</v>
      </c>
      <c r="B127" s="5" t="s">
        <v>65</v>
      </c>
      <c r="C127" s="4"/>
      <c r="D127" s="4"/>
      <c r="E127" s="4"/>
      <c r="F127" s="4"/>
      <c r="G127" s="4"/>
      <c r="H127" s="4"/>
      <c r="I127" s="4"/>
    </row>
    <row r="128" spans="1:9">
      <c r="A128" s="4"/>
      <c r="B128" s="4" t="s">
        <v>63</v>
      </c>
      <c r="C128" s="4">
        <v>1</v>
      </c>
      <c r="D128" s="15">
        <v>3.52</v>
      </c>
      <c r="E128" s="15">
        <v>2.82</v>
      </c>
      <c r="F128" s="4">
        <v>1</v>
      </c>
      <c r="G128" s="4">
        <f t="shared" ref="G128:G130" si="9">F128*E128*D128*C128</f>
        <v>9.9263999999999992</v>
      </c>
      <c r="H128" s="6">
        <v>1</v>
      </c>
    </row>
    <row r="129" spans="1:9">
      <c r="A129" s="4"/>
      <c r="B129" s="15"/>
      <c r="C129" s="15">
        <v>1</v>
      </c>
      <c r="D129" s="15">
        <v>2.4300000000000002</v>
      </c>
      <c r="E129" s="15">
        <v>0.15</v>
      </c>
      <c r="F129" s="4">
        <v>1</v>
      </c>
      <c r="G129" s="4">
        <f t="shared" si="9"/>
        <v>0.36449999999999999</v>
      </c>
      <c r="H129" s="6">
        <v>1</v>
      </c>
      <c r="I129" s="5"/>
    </row>
    <row r="130" spans="1:9">
      <c r="A130" s="4"/>
      <c r="B130" s="15"/>
      <c r="C130" s="15">
        <v>1</v>
      </c>
      <c r="D130" s="15">
        <v>0.78</v>
      </c>
      <c r="E130" s="15">
        <v>0.15</v>
      </c>
      <c r="F130" s="4">
        <v>1</v>
      </c>
      <c r="G130" s="4">
        <f t="shared" si="9"/>
        <v>0.11699999999999999</v>
      </c>
      <c r="H130" s="6">
        <v>1</v>
      </c>
      <c r="I130" s="5"/>
    </row>
    <row r="131" spans="1:9">
      <c r="A131" s="4"/>
      <c r="B131" s="4"/>
      <c r="C131" s="4"/>
      <c r="D131" s="4"/>
      <c r="E131" s="4"/>
      <c r="F131" s="4"/>
      <c r="G131" s="24">
        <f>SUM(G128:G130)</f>
        <v>10.407899999999998</v>
      </c>
      <c r="H131" s="10">
        <v>1</v>
      </c>
      <c r="I131" s="5" t="s">
        <v>53</v>
      </c>
    </row>
    <row r="132" spans="1:9">
      <c r="A132" s="4">
        <v>10</v>
      </c>
      <c r="B132" s="5" t="s">
        <v>66</v>
      </c>
      <c r="C132" s="4"/>
      <c r="D132" s="4"/>
      <c r="E132" s="4"/>
      <c r="F132" s="4"/>
      <c r="G132" s="4"/>
      <c r="H132" s="4"/>
      <c r="I132" s="4"/>
    </row>
    <row r="133" spans="1:9">
      <c r="A133" s="4"/>
      <c r="B133" s="4" t="s">
        <v>63</v>
      </c>
      <c r="C133" s="4">
        <v>1</v>
      </c>
      <c r="D133" s="15">
        <v>0.99</v>
      </c>
      <c r="E133" s="15">
        <v>1.92</v>
      </c>
      <c r="F133" s="4">
        <v>1</v>
      </c>
      <c r="G133" s="24">
        <f t="shared" ref="G133:G134" si="10">F133*E133*D133*C133</f>
        <v>1.9007999999999998</v>
      </c>
      <c r="H133" s="10">
        <v>1</v>
      </c>
      <c r="I133" s="5" t="s">
        <v>53</v>
      </c>
    </row>
    <row r="134" spans="1:9">
      <c r="A134" s="4"/>
      <c r="B134" s="4" t="s">
        <v>13</v>
      </c>
      <c r="C134" s="4">
        <v>1</v>
      </c>
      <c r="D134" s="15">
        <v>2.74</v>
      </c>
      <c r="E134" s="4">
        <v>1</v>
      </c>
      <c r="F134" s="4">
        <v>1</v>
      </c>
      <c r="G134" s="24">
        <f t="shared" si="10"/>
        <v>2.74</v>
      </c>
      <c r="H134" s="10">
        <v>1</v>
      </c>
      <c r="I134" s="5" t="s">
        <v>14</v>
      </c>
    </row>
    <row r="135" spans="1:9">
      <c r="A135" s="4"/>
      <c r="B135" s="4"/>
      <c r="C135" s="4"/>
      <c r="D135" s="4"/>
      <c r="E135" s="4"/>
      <c r="F135" s="4"/>
      <c r="G135" s="4"/>
      <c r="H135" s="10" t="s">
        <v>36</v>
      </c>
      <c r="I135" s="4" t="s">
        <v>36</v>
      </c>
    </row>
    <row r="136" spans="1:9">
      <c r="A136" s="4"/>
      <c r="B136" s="4"/>
      <c r="C136" s="4"/>
      <c r="D136" s="4"/>
      <c r="E136" s="4"/>
      <c r="F136" s="4"/>
      <c r="G136" s="4"/>
      <c r="H136" s="6" t="s">
        <v>36</v>
      </c>
      <c r="I136" s="4"/>
    </row>
    <row r="137" spans="1:9">
      <c r="A137" s="4">
        <v>11</v>
      </c>
      <c r="B137" s="5" t="s">
        <v>70</v>
      </c>
      <c r="C137" s="4"/>
      <c r="D137" s="4"/>
      <c r="E137" s="4"/>
      <c r="F137" s="4"/>
      <c r="G137" s="4"/>
      <c r="H137" s="4"/>
      <c r="I137" s="4"/>
    </row>
    <row r="138" spans="1:9">
      <c r="A138" s="4"/>
      <c r="B138" s="4" t="s">
        <v>71</v>
      </c>
      <c r="C138" s="4">
        <v>1</v>
      </c>
      <c r="D138" s="15">
        <v>1.44</v>
      </c>
      <c r="E138" s="4">
        <v>1</v>
      </c>
      <c r="F138" s="4">
        <v>1</v>
      </c>
      <c r="G138" s="24">
        <f t="shared" ref="G138:G139" si="11">F138*E138*D138*C138</f>
        <v>1.44</v>
      </c>
      <c r="H138" s="10">
        <v>1</v>
      </c>
      <c r="I138" s="5" t="s">
        <v>14</v>
      </c>
    </row>
    <row r="139" spans="1:9">
      <c r="A139" s="4"/>
      <c r="B139" s="4" t="s">
        <v>69</v>
      </c>
      <c r="C139" s="4">
        <v>1</v>
      </c>
      <c r="D139" s="15">
        <v>2.13</v>
      </c>
      <c r="E139" s="4">
        <v>1</v>
      </c>
      <c r="F139" s="4">
        <v>1</v>
      </c>
      <c r="G139" s="24">
        <f t="shared" si="11"/>
        <v>2.13</v>
      </c>
      <c r="H139" s="10">
        <v>1</v>
      </c>
      <c r="I139" s="5" t="s">
        <v>14</v>
      </c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5"/>
      <c r="H141" s="10"/>
      <c r="I141" s="5"/>
    </row>
    <row r="142" spans="1:9" s="14" customFormat="1">
      <c r="A142" s="13"/>
      <c r="B142" s="215" t="s">
        <v>46</v>
      </c>
      <c r="C142" s="216"/>
      <c r="D142" s="216"/>
      <c r="E142" s="216"/>
      <c r="F142" s="217"/>
      <c r="G142" s="13"/>
      <c r="H142" s="13"/>
      <c r="I142" s="13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v>1</v>
      </c>
      <c r="B144" s="5" t="s">
        <v>58</v>
      </c>
      <c r="C144" s="4"/>
      <c r="D144" s="4"/>
      <c r="E144" s="4"/>
      <c r="F144" s="4"/>
      <c r="G144" s="4"/>
      <c r="H144" s="4"/>
      <c r="I144" s="4"/>
    </row>
    <row r="145" spans="1:9">
      <c r="A145" s="4" t="s">
        <v>36</v>
      </c>
      <c r="B145" s="4" t="s">
        <v>43</v>
      </c>
      <c r="C145" s="4"/>
      <c r="D145" s="4"/>
      <c r="E145" s="4"/>
      <c r="F145" s="4"/>
      <c r="G145" s="4"/>
      <c r="H145" s="4"/>
      <c r="I145" s="4"/>
    </row>
    <row r="146" spans="1:9">
      <c r="A146" s="4">
        <v>1.1000000000000001</v>
      </c>
      <c r="B146" s="4" t="s">
        <v>38</v>
      </c>
      <c r="C146" s="4">
        <v>4</v>
      </c>
      <c r="D146" s="15">
        <v>7.16</v>
      </c>
      <c r="E146" s="4">
        <v>1</v>
      </c>
      <c r="F146" s="4">
        <v>1</v>
      </c>
      <c r="G146" s="4">
        <f>F146*E146*D146*C146</f>
        <v>28.64</v>
      </c>
      <c r="H146" s="6">
        <v>1</v>
      </c>
      <c r="I146" s="4"/>
    </row>
    <row r="147" spans="1:9">
      <c r="A147" s="4"/>
      <c r="B147" s="4" t="s">
        <v>38</v>
      </c>
      <c r="C147" s="4">
        <v>9</v>
      </c>
      <c r="D147" s="15">
        <v>2.34</v>
      </c>
      <c r="E147" s="4">
        <v>1</v>
      </c>
      <c r="F147" s="4">
        <v>1</v>
      </c>
      <c r="G147" s="4">
        <f>F147*E147*D147*C147</f>
        <v>21.06</v>
      </c>
      <c r="H147" s="6">
        <v>1</v>
      </c>
      <c r="I147" s="4"/>
    </row>
    <row r="148" spans="1:9">
      <c r="A148" s="4">
        <v>1.2</v>
      </c>
      <c r="B148" s="4" t="s">
        <v>39</v>
      </c>
      <c r="C148" s="4">
        <v>3</v>
      </c>
      <c r="D148" s="15">
        <v>1.85</v>
      </c>
      <c r="E148" s="4">
        <v>1</v>
      </c>
      <c r="F148" s="4">
        <v>1</v>
      </c>
      <c r="G148" s="4">
        <f t="shared" ref="G148:G178" si="12">F148*E148*D148*C148</f>
        <v>5.5500000000000007</v>
      </c>
      <c r="H148" s="6">
        <v>1</v>
      </c>
      <c r="I148" s="4"/>
    </row>
    <row r="149" spans="1:9">
      <c r="A149" s="4"/>
      <c r="B149" s="4" t="s">
        <v>39</v>
      </c>
      <c r="C149" s="4">
        <v>1</v>
      </c>
      <c r="D149" s="15">
        <v>2.0299999999999998</v>
      </c>
      <c r="E149" s="4">
        <v>1</v>
      </c>
      <c r="F149" s="4">
        <v>1</v>
      </c>
      <c r="G149" s="4">
        <f t="shared" si="12"/>
        <v>2.0299999999999998</v>
      </c>
      <c r="H149" s="6">
        <v>1</v>
      </c>
      <c r="I149" s="4"/>
    </row>
    <row r="150" spans="1:9">
      <c r="A150" s="4">
        <v>1.3</v>
      </c>
      <c r="B150" s="4" t="s">
        <v>48</v>
      </c>
      <c r="C150" s="4"/>
      <c r="D150" s="4"/>
      <c r="E150" s="4"/>
      <c r="F150" s="4"/>
      <c r="G150" s="5"/>
      <c r="H150" s="10"/>
      <c r="I150" s="5"/>
    </row>
    <row r="151" spans="1:9">
      <c r="A151" s="4" t="s">
        <v>36</v>
      </c>
      <c r="B151" s="4" t="s">
        <v>38</v>
      </c>
      <c r="C151" s="4">
        <v>3</v>
      </c>
      <c r="D151" s="4">
        <f>4.41/3.28</f>
        <v>1.3445121951219514</v>
      </c>
      <c r="E151" s="4">
        <v>1</v>
      </c>
      <c r="F151" s="4">
        <v>1</v>
      </c>
      <c r="G151" s="4">
        <f t="shared" si="12"/>
        <v>4.0335365853658542</v>
      </c>
      <c r="H151" s="6">
        <v>1</v>
      </c>
      <c r="I151" s="4"/>
    </row>
    <row r="152" spans="1:9">
      <c r="A152" s="4"/>
      <c r="B152" s="4" t="s">
        <v>38</v>
      </c>
      <c r="C152" s="4">
        <v>1</v>
      </c>
      <c r="D152" s="15">
        <v>2.09</v>
      </c>
      <c r="E152" s="4">
        <v>1</v>
      </c>
      <c r="F152" s="4">
        <v>1</v>
      </c>
      <c r="G152" s="4">
        <f t="shared" si="12"/>
        <v>2.09</v>
      </c>
      <c r="H152" s="6">
        <v>1</v>
      </c>
      <c r="I152" s="4"/>
    </row>
    <row r="153" spans="1:9">
      <c r="A153" s="4"/>
      <c r="B153" s="4"/>
      <c r="C153" s="4"/>
      <c r="D153" s="4"/>
      <c r="E153" s="4"/>
      <c r="F153" s="4"/>
      <c r="G153" s="24">
        <f>SUM(G146:G152)</f>
        <v>63.403536585365856</v>
      </c>
      <c r="H153" s="6">
        <v>1</v>
      </c>
      <c r="I153" s="5" t="s">
        <v>14</v>
      </c>
    </row>
    <row r="154" spans="1:9">
      <c r="A154" s="4">
        <v>2</v>
      </c>
      <c r="B154" s="5" t="s">
        <v>47</v>
      </c>
      <c r="C154" s="4"/>
      <c r="D154" s="4"/>
      <c r="E154" s="4"/>
      <c r="F154" s="4"/>
      <c r="G154" s="4"/>
      <c r="H154" s="6"/>
      <c r="I154" s="4"/>
    </row>
    <row r="155" spans="1:9">
      <c r="A155" s="4">
        <v>2.1</v>
      </c>
      <c r="B155" s="4" t="s">
        <v>38</v>
      </c>
      <c r="C155" s="4">
        <v>3</v>
      </c>
      <c r="D155" s="15">
        <f>57.58/3.28</f>
        <v>17.554878048780488</v>
      </c>
      <c r="E155" s="4">
        <v>1</v>
      </c>
      <c r="F155" s="4">
        <v>1</v>
      </c>
      <c r="G155" s="4">
        <f t="shared" si="12"/>
        <v>52.664634146341463</v>
      </c>
      <c r="H155" s="6">
        <v>1</v>
      </c>
      <c r="I155" s="4"/>
    </row>
    <row r="156" spans="1:9">
      <c r="A156" s="4"/>
      <c r="B156" s="4" t="s">
        <v>38</v>
      </c>
      <c r="C156" s="15">
        <v>18</v>
      </c>
      <c r="D156" s="15">
        <v>2.11</v>
      </c>
      <c r="E156" s="4">
        <v>1</v>
      </c>
      <c r="F156" s="4">
        <v>1</v>
      </c>
      <c r="G156" s="4">
        <f t="shared" si="12"/>
        <v>37.979999999999997</v>
      </c>
      <c r="H156" s="6">
        <v>1</v>
      </c>
      <c r="I156" s="4"/>
    </row>
    <row r="157" spans="1:9">
      <c r="A157" s="4">
        <v>2.2000000000000002</v>
      </c>
      <c r="B157" s="4" t="s">
        <v>39</v>
      </c>
      <c r="C157" s="15">
        <v>3</v>
      </c>
      <c r="D157" s="15">
        <v>4.8</v>
      </c>
      <c r="E157" s="4">
        <v>1</v>
      </c>
      <c r="F157" s="4">
        <v>1</v>
      </c>
      <c r="G157" s="4">
        <f t="shared" si="12"/>
        <v>14.399999999999999</v>
      </c>
      <c r="H157" s="6">
        <v>1</v>
      </c>
      <c r="I157" s="4"/>
    </row>
    <row r="158" spans="1:9">
      <c r="A158" s="4"/>
      <c r="B158" s="4" t="s">
        <v>39</v>
      </c>
      <c r="C158" s="15">
        <v>4</v>
      </c>
      <c r="D158" s="15">
        <v>1.82</v>
      </c>
      <c r="E158" s="4">
        <v>1</v>
      </c>
      <c r="F158" s="4">
        <v>1</v>
      </c>
      <c r="G158" s="4">
        <f t="shared" si="12"/>
        <v>7.28</v>
      </c>
      <c r="H158" s="6">
        <v>1</v>
      </c>
      <c r="I158" s="4"/>
    </row>
    <row r="159" spans="1:9">
      <c r="A159" s="4"/>
      <c r="B159" s="4" t="s">
        <v>39</v>
      </c>
      <c r="C159" s="15">
        <v>2</v>
      </c>
      <c r="D159" s="15">
        <v>1.2</v>
      </c>
      <c r="E159" s="4">
        <v>1</v>
      </c>
      <c r="F159" s="4">
        <v>1</v>
      </c>
      <c r="G159" s="4">
        <f t="shared" si="12"/>
        <v>2.4</v>
      </c>
      <c r="H159" s="6">
        <v>1</v>
      </c>
      <c r="I159" s="4"/>
    </row>
    <row r="160" spans="1:9">
      <c r="A160" s="4"/>
      <c r="B160" s="4"/>
      <c r="C160" s="4"/>
      <c r="D160" s="4"/>
      <c r="E160" s="4"/>
      <c r="F160" s="4"/>
      <c r="G160" s="24">
        <f>SUM(G155:G159)</f>
        <v>114.72463414634146</v>
      </c>
      <c r="H160" s="10">
        <v>1</v>
      </c>
      <c r="I160" s="5" t="s">
        <v>14</v>
      </c>
    </row>
    <row r="161" spans="1:9">
      <c r="A161" s="4">
        <v>3</v>
      </c>
      <c r="B161" s="5" t="s">
        <v>57</v>
      </c>
      <c r="C161" s="4"/>
      <c r="D161" s="4"/>
      <c r="E161" s="4"/>
      <c r="F161" s="4"/>
      <c r="G161" s="4"/>
      <c r="H161" s="6"/>
      <c r="I161" s="4"/>
    </row>
    <row r="162" spans="1:9">
      <c r="A162" s="4">
        <v>3.1</v>
      </c>
      <c r="B162" s="4" t="s">
        <v>38</v>
      </c>
      <c r="C162" s="4">
        <v>4</v>
      </c>
      <c r="D162" s="4">
        <v>5.18</v>
      </c>
      <c r="E162" s="4">
        <v>1</v>
      </c>
      <c r="F162" s="4">
        <v>1</v>
      </c>
      <c r="G162" s="4">
        <f t="shared" si="12"/>
        <v>20.72</v>
      </c>
      <c r="H162" s="6">
        <v>1</v>
      </c>
      <c r="I162" s="4"/>
    </row>
    <row r="163" spans="1:9">
      <c r="A163" s="4"/>
      <c r="B163" s="4" t="s">
        <v>38</v>
      </c>
      <c r="C163" s="4">
        <v>10</v>
      </c>
      <c r="D163" s="4">
        <v>2.08</v>
      </c>
      <c r="E163" s="4">
        <v>1</v>
      </c>
      <c r="F163" s="4">
        <v>1</v>
      </c>
      <c r="G163" s="4">
        <f t="shared" si="12"/>
        <v>20.8</v>
      </c>
      <c r="H163" s="6">
        <v>1</v>
      </c>
      <c r="I163" s="4"/>
    </row>
    <row r="164" spans="1:9">
      <c r="A164" s="4">
        <v>3.2</v>
      </c>
      <c r="B164" s="4" t="s">
        <v>39</v>
      </c>
      <c r="C164" s="4">
        <v>1</v>
      </c>
      <c r="D164" s="4">
        <v>1.9</v>
      </c>
      <c r="E164" s="4">
        <v>1</v>
      </c>
      <c r="F164" s="4">
        <v>1</v>
      </c>
      <c r="G164" s="4">
        <f t="shared" si="12"/>
        <v>1.9</v>
      </c>
      <c r="H164" s="6">
        <v>1</v>
      </c>
      <c r="I164" s="4"/>
    </row>
    <row r="165" spans="1:9">
      <c r="A165" s="4"/>
      <c r="B165" s="4"/>
      <c r="C165" s="4"/>
      <c r="D165" s="4"/>
      <c r="E165" s="4"/>
      <c r="F165" s="4"/>
      <c r="G165" s="24">
        <f>SUM(G162:G164)</f>
        <v>43.419999999999995</v>
      </c>
      <c r="H165" s="10">
        <v>1</v>
      </c>
      <c r="I165" s="5" t="s">
        <v>14</v>
      </c>
    </row>
    <row r="166" spans="1:9">
      <c r="A166" s="4">
        <v>4</v>
      </c>
      <c r="B166" s="5" t="s">
        <v>56</v>
      </c>
      <c r="C166" s="4"/>
      <c r="D166" s="4"/>
      <c r="E166" s="4"/>
      <c r="F166" s="4"/>
      <c r="G166" s="4"/>
      <c r="H166" s="6"/>
      <c r="I166" s="4"/>
    </row>
    <row r="167" spans="1:9">
      <c r="A167" s="4">
        <v>4.0999999999999996</v>
      </c>
      <c r="B167" s="4" t="s">
        <v>38</v>
      </c>
      <c r="C167" s="4">
        <v>2</v>
      </c>
      <c r="D167" s="15">
        <v>8.5299999999999994</v>
      </c>
      <c r="E167" s="4">
        <v>1</v>
      </c>
      <c r="F167" s="4">
        <v>1</v>
      </c>
      <c r="G167" s="4">
        <f t="shared" si="12"/>
        <v>17.059999999999999</v>
      </c>
      <c r="H167" s="6">
        <v>1</v>
      </c>
      <c r="I167" s="4"/>
    </row>
    <row r="168" spans="1:9">
      <c r="A168" s="4"/>
      <c r="B168" s="4" t="s">
        <v>38</v>
      </c>
      <c r="C168" s="15">
        <v>18</v>
      </c>
      <c r="D168" s="15">
        <v>2.33</v>
      </c>
      <c r="E168" s="4">
        <v>1</v>
      </c>
      <c r="F168" s="4">
        <v>1</v>
      </c>
      <c r="G168" s="4">
        <f t="shared" si="12"/>
        <v>41.94</v>
      </c>
      <c r="H168" s="6">
        <v>1</v>
      </c>
      <c r="I168" s="4"/>
    </row>
    <row r="169" spans="1:9">
      <c r="A169" s="4">
        <v>4.2</v>
      </c>
      <c r="B169" s="4" t="s">
        <v>39</v>
      </c>
      <c r="C169" s="4">
        <v>6</v>
      </c>
      <c r="D169" s="15">
        <v>2.13</v>
      </c>
      <c r="E169" s="4">
        <v>1</v>
      </c>
      <c r="F169" s="4">
        <v>1</v>
      </c>
      <c r="G169" s="4">
        <f t="shared" si="12"/>
        <v>12.78</v>
      </c>
      <c r="H169" s="6">
        <v>1</v>
      </c>
      <c r="I169" s="4"/>
    </row>
    <row r="170" spans="1:9">
      <c r="A170" s="4"/>
      <c r="B170" s="4" t="s">
        <v>39</v>
      </c>
      <c r="C170" s="4">
        <v>1</v>
      </c>
      <c r="D170" s="15">
        <v>3.2</v>
      </c>
      <c r="E170" s="4">
        <v>1</v>
      </c>
      <c r="F170" s="4">
        <v>1</v>
      </c>
      <c r="G170" s="4">
        <f t="shared" si="12"/>
        <v>3.2</v>
      </c>
      <c r="H170" s="6">
        <v>1</v>
      </c>
      <c r="I170" s="4"/>
    </row>
    <row r="171" spans="1:9">
      <c r="A171" s="4"/>
      <c r="B171" s="4"/>
      <c r="C171" s="4"/>
      <c r="D171" s="4"/>
      <c r="E171" s="4"/>
      <c r="F171" s="4"/>
      <c r="G171" s="24">
        <f>SUM(G167:G170)</f>
        <v>74.98</v>
      </c>
      <c r="H171" s="10">
        <v>1</v>
      </c>
      <c r="I171" s="5" t="s">
        <v>14</v>
      </c>
    </row>
    <row r="172" spans="1:9">
      <c r="A172" s="4">
        <v>5</v>
      </c>
      <c r="B172" s="5" t="s">
        <v>55</v>
      </c>
      <c r="C172" s="4"/>
      <c r="D172" s="4"/>
      <c r="E172" s="4"/>
      <c r="F172" s="4"/>
      <c r="G172" s="4"/>
      <c r="H172" s="6"/>
      <c r="I172" s="4"/>
    </row>
    <row r="173" spans="1:9">
      <c r="A173" s="4">
        <v>5.0999999999999996</v>
      </c>
      <c r="B173" s="4" t="s">
        <v>39</v>
      </c>
      <c r="C173" s="4">
        <v>3</v>
      </c>
      <c r="D173" s="15">
        <v>3.04</v>
      </c>
      <c r="E173" s="4">
        <v>1</v>
      </c>
      <c r="F173" s="4">
        <v>1</v>
      </c>
      <c r="G173" s="4">
        <f t="shared" si="12"/>
        <v>9.120000000000001</v>
      </c>
      <c r="H173" s="6">
        <v>1</v>
      </c>
      <c r="I173" s="4"/>
    </row>
    <row r="174" spans="1:9">
      <c r="A174" s="4"/>
      <c r="B174" s="4" t="s">
        <v>39</v>
      </c>
      <c r="C174" s="4">
        <v>7</v>
      </c>
      <c r="D174" s="15">
        <v>1.72</v>
      </c>
      <c r="E174" s="4">
        <v>1</v>
      </c>
      <c r="F174" s="4">
        <v>1</v>
      </c>
      <c r="G174" s="4">
        <f t="shared" si="12"/>
        <v>12.04</v>
      </c>
      <c r="H174" s="6">
        <v>1</v>
      </c>
      <c r="I174" s="4"/>
    </row>
    <row r="175" spans="1:9">
      <c r="A175" s="4"/>
      <c r="B175" s="4"/>
      <c r="C175" s="4"/>
      <c r="D175" s="4"/>
      <c r="E175" s="4"/>
      <c r="F175" s="4"/>
      <c r="G175" s="24">
        <f>SUM(G173:G174)</f>
        <v>21.16</v>
      </c>
      <c r="H175" s="10">
        <v>1</v>
      </c>
      <c r="I175" s="5" t="s">
        <v>14</v>
      </c>
    </row>
    <row r="176" spans="1:9">
      <c r="A176" s="4">
        <v>6</v>
      </c>
      <c r="B176" s="5" t="s">
        <v>54</v>
      </c>
      <c r="C176" s="4"/>
      <c r="D176" s="4"/>
      <c r="E176" s="4"/>
      <c r="F176" s="4"/>
      <c r="G176" s="4"/>
      <c r="H176" s="6"/>
      <c r="I176" s="4"/>
    </row>
    <row r="177" spans="1:9">
      <c r="A177" s="4">
        <v>6.1</v>
      </c>
      <c r="B177" s="4" t="s">
        <v>39</v>
      </c>
      <c r="C177" s="4">
        <v>8</v>
      </c>
      <c r="D177" s="15">
        <v>4.87</v>
      </c>
      <c r="E177" s="4">
        <v>1</v>
      </c>
      <c r="F177" s="4">
        <v>1</v>
      </c>
      <c r="G177" s="4">
        <f t="shared" si="12"/>
        <v>38.96</v>
      </c>
      <c r="H177" s="6">
        <v>1</v>
      </c>
      <c r="I177" s="4"/>
    </row>
    <row r="178" spans="1:9">
      <c r="A178" s="4"/>
      <c r="B178" s="4" t="s">
        <v>39</v>
      </c>
      <c r="C178" s="4">
        <v>7</v>
      </c>
      <c r="D178" s="15">
        <v>3.83</v>
      </c>
      <c r="E178" s="4">
        <v>1</v>
      </c>
      <c r="F178" s="4">
        <v>1</v>
      </c>
      <c r="G178" s="4">
        <f t="shared" si="12"/>
        <v>26.810000000000002</v>
      </c>
      <c r="H178" s="6">
        <v>1</v>
      </c>
      <c r="I178" s="4"/>
    </row>
    <row r="179" spans="1:9">
      <c r="A179" s="4"/>
      <c r="B179" s="4"/>
      <c r="C179" s="4"/>
      <c r="D179" s="4"/>
      <c r="E179" s="4"/>
      <c r="F179" s="4"/>
      <c r="G179" s="24">
        <f>SUM(G177:G178)</f>
        <v>65.77000000000001</v>
      </c>
      <c r="H179" s="10">
        <v>1</v>
      </c>
      <c r="I179" s="5" t="s">
        <v>14</v>
      </c>
    </row>
    <row r="180" spans="1:9">
      <c r="A180" s="4"/>
      <c r="B180" s="4"/>
      <c r="C180" s="4"/>
      <c r="D180" s="4"/>
      <c r="E180" s="4"/>
      <c r="F180" s="4"/>
      <c r="G180" s="4"/>
      <c r="H180" s="4"/>
      <c r="I180" s="4"/>
    </row>
    <row r="181" spans="1:9">
      <c r="A181" s="4"/>
      <c r="B181" s="214" t="s">
        <v>72</v>
      </c>
      <c r="C181" s="214"/>
      <c r="D181" s="214"/>
      <c r="E181" s="214"/>
      <c r="F181" s="214"/>
      <c r="G181" s="4"/>
      <c r="H181" s="4"/>
      <c r="I181" s="4"/>
    </row>
    <row r="182" spans="1:9">
      <c r="A182" s="4"/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v>1</v>
      </c>
      <c r="B183" s="5" t="s">
        <v>73</v>
      </c>
      <c r="C183" s="4"/>
      <c r="D183" s="4"/>
      <c r="E183" s="4"/>
      <c r="F183" s="4"/>
      <c r="G183" s="4"/>
      <c r="H183" s="4"/>
      <c r="I183" s="5"/>
    </row>
    <row r="184" spans="1:9">
      <c r="A184" s="4">
        <v>1.1000000000000001</v>
      </c>
      <c r="B184" s="4" t="s">
        <v>74</v>
      </c>
      <c r="C184" s="4">
        <v>2</v>
      </c>
      <c r="D184" s="15">
        <v>2.0299999999999998</v>
      </c>
      <c r="E184" s="4">
        <v>1</v>
      </c>
      <c r="F184" s="4">
        <v>1</v>
      </c>
      <c r="G184" s="4">
        <f t="shared" ref="G184:G193" si="13">F184*E184*D184*C184</f>
        <v>4.0599999999999996</v>
      </c>
      <c r="H184" s="6">
        <v>1</v>
      </c>
      <c r="I184" s="5"/>
    </row>
    <row r="185" spans="1:9">
      <c r="A185" s="4"/>
      <c r="B185" s="4" t="s">
        <v>74</v>
      </c>
      <c r="C185" s="4">
        <v>1</v>
      </c>
      <c r="D185" s="4">
        <f>2.75/3.28</f>
        <v>0.83841463414634154</v>
      </c>
      <c r="E185" s="4">
        <v>1</v>
      </c>
      <c r="F185" s="4">
        <v>1</v>
      </c>
      <c r="G185" s="4">
        <f t="shared" si="13"/>
        <v>0.83841463414634154</v>
      </c>
      <c r="H185" s="6">
        <v>1</v>
      </c>
      <c r="I185" s="5"/>
    </row>
    <row r="186" spans="1:9">
      <c r="A186" s="4"/>
      <c r="B186" s="4"/>
      <c r="C186" s="4"/>
      <c r="D186" s="4"/>
      <c r="E186" s="4"/>
      <c r="F186" s="4"/>
      <c r="G186" s="24">
        <f>SUM(G184:G185)</f>
        <v>4.8984146341463415</v>
      </c>
      <c r="H186" s="10">
        <v>1</v>
      </c>
      <c r="I186" s="5" t="s">
        <v>14</v>
      </c>
    </row>
    <row r="187" spans="1:9">
      <c r="A187" s="4">
        <v>1.2</v>
      </c>
      <c r="B187" s="4" t="s">
        <v>69</v>
      </c>
      <c r="C187" s="4">
        <v>2</v>
      </c>
      <c r="D187" s="15">
        <v>2.0299999999999998</v>
      </c>
      <c r="E187" s="4">
        <v>1</v>
      </c>
      <c r="F187" s="4">
        <v>1</v>
      </c>
      <c r="G187" s="4">
        <f t="shared" si="13"/>
        <v>4.0599999999999996</v>
      </c>
      <c r="H187" s="6">
        <v>1</v>
      </c>
      <c r="I187" s="5"/>
    </row>
    <row r="188" spans="1:9">
      <c r="A188" s="4"/>
      <c r="B188" s="4" t="s">
        <v>69</v>
      </c>
      <c r="C188" s="4">
        <v>2</v>
      </c>
      <c r="D188" s="4">
        <f>2.75/3.28</f>
        <v>0.83841463414634154</v>
      </c>
      <c r="E188" s="4">
        <v>1</v>
      </c>
      <c r="F188" s="4">
        <v>1</v>
      </c>
      <c r="G188" s="4">
        <f t="shared" si="13"/>
        <v>1.6768292682926831</v>
      </c>
      <c r="H188" s="6">
        <v>1</v>
      </c>
      <c r="I188" s="5"/>
    </row>
    <row r="189" spans="1:9">
      <c r="A189" s="4"/>
      <c r="B189" s="4"/>
      <c r="C189" s="4"/>
      <c r="D189" s="4"/>
      <c r="E189" s="4"/>
      <c r="F189" s="4"/>
      <c r="G189" s="24">
        <f>SUM(G187:G188)</f>
        <v>5.7368292682926825</v>
      </c>
      <c r="H189" s="10">
        <v>1</v>
      </c>
      <c r="I189" s="5" t="s">
        <v>14</v>
      </c>
    </row>
    <row r="190" spans="1:9">
      <c r="A190" s="4">
        <v>1.3</v>
      </c>
      <c r="B190" s="4" t="s">
        <v>75</v>
      </c>
      <c r="C190" s="4">
        <v>2</v>
      </c>
      <c r="D190" s="15">
        <v>2.0299999999999998</v>
      </c>
      <c r="E190" s="4">
        <v>1</v>
      </c>
      <c r="F190" s="4">
        <v>1</v>
      </c>
      <c r="G190" s="4">
        <f t="shared" si="13"/>
        <v>4.0599999999999996</v>
      </c>
      <c r="H190" s="6">
        <v>1</v>
      </c>
      <c r="I190" s="5"/>
    </row>
    <row r="191" spans="1:9">
      <c r="A191" s="4"/>
      <c r="B191" s="4" t="s">
        <v>75</v>
      </c>
      <c r="C191" s="4">
        <v>2</v>
      </c>
      <c r="D191" s="4">
        <f>2.75/3.28</f>
        <v>0.83841463414634154</v>
      </c>
      <c r="E191" s="4">
        <v>1</v>
      </c>
      <c r="F191" s="4">
        <v>1</v>
      </c>
      <c r="G191" s="4">
        <f t="shared" si="13"/>
        <v>1.6768292682926831</v>
      </c>
      <c r="H191" s="6">
        <v>1</v>
      </c>
      <c r="I191" s="5"/>
    </row>
    <row r="192" spans="1:9">
      <c r="A192" s="4"/>
      <c r="B192" s="4"/>
      <c r="C192" s="4"/>
      <c r="D192" s="4"/>
      <c r="E192" s="4"/>
      <c r="F192" s="4"/>
      <c r="G192" s="24">
        <f>SUM(G190:G191)</f>
        <v>5.7368292682926825</v>
      </c>
      <c r="H192" s="10">
        <v>1</v>
      </c>
      <c r="I192" s="5" t="s">
        <v>14</v>
      </c>
    </row>
    <row r="193" spans="1:9">
      <c r="A193" s="4">
        <v>1.4</v>
      </c>
      <c r="B193" s="4" t="s">
        <v>76</v>
      </c>
      <c r="C193" s="4">
        <v>1</v>
      </c>
      <c r="D193" s="15">
        <v>1.52</v>
      </c>
      <c r="E193" s="4">
        <v>1</v>
      </c>
      <c r="F193" s="4">
        <v>1</v>
      </c>
      <c r="G193" s="24">
        <f t="shared" si="13"/>
        <v>1.52</v>
      </c>
      <c r="H193" s="10">
        <v>1</v>
      </c>
      <c r="I193" s="5" t="s">
        <v>14</v>
      </c>
    </row>
    <row r="194" spans="1:9">
      <c r="I194" s="9"/>
    </row>
  </sheetData>
  <mergeCells count="8">
    <mergeCell ref="B181:F181"/>
    <mergeCell ref="B142:F142"/>
    <mergeCell ref="A2:E2"/>
    <mergeCell ref="A3:I3"/>
    <mergeCell ref="B5:F5"/>
    <mergeCell ref="B23:F23"/>
    <mergeCell ref="B46:F46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Bill</vt:lpstr>
      <vt:lpstr>abstract</vt:lpstr>
      <vt:lpstr>summary</vt:lpstr>
      <vt:lpstr>10thfloor</vt:lpstr>
      <vt:lpstr>11thfloor</vt:lpstr>
      <vt:lpstr>12thfloor</vt:lpstr>
      <vt:lpstr>13thfloor</vt:lpstr>
      <vt:lpstr>Groundfloor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shakuniya</dc:creator>
  <cp:lastModifiedBy>sunita shakuniya</cp:lastModifiedBy>
  <cp:lastPrinted>2024-01-04T14:11:12Z</cp:lastPrinted>
  <dcterms:created xsi:type="dcterms:W3CDTF">2023-12-28T08:17:21Z</dcterms:created>
  <dcterms:modified xsi:type="dcterms:W3CDTF">2024-03-10T07:57:23Z</dcterms:modified>
</cp:coreProperties>
</file>