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2DB1DF5-4A9D-4C04-AE23-F1CA240561BC}" xr6:coauthVersionLast="47" xr6:coauthVersionMax="47" xr10:uidLastSave="{00000000-0000-0000-0000-000000000000}"/>
  <bookViews>
    <workbookView xWindow="6490" yWindow="4200" windowWidth="19200" windowHeight="11170" xr2:uid="{DABCE59D-2B6B-4814-B753-2CF586DFE966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9" i="1" l="1"/>
  <c r="AO19" i="1"/>
  <c r="AO20" i="1"/>
  <c r="AO7" i="1"/>
  <c r="K8" i="1"/>
  <c r="Z21" i="1" s="1"/>
  <c r="Z22" i="1" s="1"/>
  <c r="Z23" i="1" s="1"/>
  <c r="Z24" i="1" s="1"/>
  <c r="M36" i="2"/>
  <c r="M37" i="2"/>
  <c r="M38" i="2"/>
  <c r="O35" i="2"/>
  <c r="V13" i="1"/>
  <c r="W13" i="1"/>
  <c r="X13" i="1"/>
  <c r="X14" i="1" s="1"/>
  <c r="AA24" i="1" s="1"/>
  <c r="Y13" i="1"/>
  <c r="Y14" i="1" s="1"/>
  <c r="Z13" i="1"/>
  <c r="Z14" i="1" s="1"/>
  <c r="AA13" i="1"/>
  <c r="AA14" i="1" s="1"/>
  <c r="U14" i="1"/>
  <c r="V14" i="1"/>
  <c r="AA22" i="1" s="1"/>
  <c r="W14" i="1"/>
  <c r="AA23" i="1" s="1"/>
  <c r="U15" i="1"/>
  <c r="V15" i="1"/>
  <c r="W15" i="1"/>
  <c r="X15" i="1"/>
  <c r="Y15" i="1"/>
  <c r="Z15" i="1"/>
  <c r="AA15" i="1"/>
  <c r="AA21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Z16" i="1" l="1"/>
  <c r="Y16" i="1"/>
  <c r="X16" i="1"/>
  <c r="W16" i="1"/>
  <c r="V16" i="1"/>
  <c r="U16" i="1"/>
  <c r="AA16" i="1"/>
  <c r="K31" i="2"/>
  <c r="J42" i="2"/>
  <c r="N34" i="2"/>
  <c r="J34" i="2"/>
  <c r="AO14" i="1"/>
  <c r="AU15" i="1"/>
  <c r="AV12" i="1"/>
  <c r="P11" i="2"/>
  <c r="O11" i="2"/>
  <c r="N11" i="2"/>
  <c r="M11" i="2"/>
  <c r="L11" i="2"/>
  <c r="K11" i="2"/>
  <c r="J11" i="2"/>
  <c r="G10" i="2"/>
  <c r="B4" i="2"/>
  <c r="B3" i="2"/>
  <c r="AF21" i="2" s="1"/>
  <c r="M8" i="1"/>
  <c r="AE12" i="1" s="1"/>
  <c r="AH52" i="1" s="1"/>
  <c r="B5" i="1"/>
  <c r="AH49" i="1" l="1"/>
  <c r="AI49" i="1" s="1"/>
  <c r="AG42" i="1"/>
  <c r="AG49" i="1"/>
  <c r="AH61" i="1"/>
  <c r="AH65" i="1"/>
  <c r="AI65" i="1" s="1"/>
  <c r="AG104" i="1"/>
  <c r="AG41" i="1"/>
  <c r="AH59" i="1"/>
  <c r="AJ59" i="1" s="1"/>
  <c r="AG97" i="1"/>
  <c r="AH69" i="1"/>
  <c r="AJ69" i="1" s="1"/>
  <c r="AH35" i="1"/>
  <c r="AG36" i="1"/>
  <c r="AH36" i="1"/>
  <c r="AI36" i="1" s="1"/>
  <c r="AG37" i="1"/>
  <c r="AH37" i="1"/>
  <c r="AI37" i="1" s="1"/>
  <c r="AG38" i="1"/>
  <c r="AH38" i="1"/>
  <c r="AI38" i="1" s="1"/>
  <c r="AG34" i="1"/>
  <c r="AH34" i="1"/>
  <c r="AI34" i="1" s="1"/>
  <c r="AG35" i="1"/>
  <c r="AH60" i="1"/>
  <c r="AJ60" i="1" s="1"/>
  <c r="AG40" i="1"/>
  <c r="AG22" i="1"/>
  <c r="AH98" i="1"/>
  <c r="AJ98" i="1" s="1"/>
  <c r="AF18" i="2"/>
  <c r="AI56" i="2" s="1"/>
  <c r="AG96" i="1"/>
  <c r="AG33" i="1"/>
  <c r="AH51" i="1"/>
  <c r="AJ51" i="1" s="1"/>
  <c r="AG94" i="1"/>
  <c r="AG88" i="1"/>
  <c r="AG30" i="1"/>
  <c r="AH41" i="1"/>
  <c r="AG69" i="1"/>
  <c r="AG105" i="1"/>
  <c r="AH89" i="1"/>
  <c r="AI89" i="1" s="1"/>
  <c r="AG78" i="1"/>
  <c r="AH99" i="1"/>
  <c r="AJ99" i="1" s="1"/>
  <c r="AG77" i="1"/>
  <c r="AH97" i="1"/>
  <c r="AI97" i="1" s="1"/>
  <c r="AG85" i="1"/>
  <c r="AH39" i="1"/>
  <c r="AI39" i="1" s="1"/>
  <c r="AG21" i="1"/>
  <c r="AG14" i="1"/>
  <c r="AG67" i="1"/>
  <c r="AG60" i="1"/>
  <c r="AH27" i="1"/>
  <c r="AJ27" i="1" s="1"/>
  <c r="AH77" i="1"/>
  <c r="AJ77" i="1" s="1"/>
  <c r="AG86" i="1"/>
  <c r="AG24" i="1"/>
  <c r="AH40" i="1"/>
  <c r="AI40" i="1" s="1"/>
  <c r="AG68" i="1"/>
  <c r="AH88" i="1"/>
  <c r="AI88" i="1" s="1"/>
  <c r="AG59" i="1"/>
  <c r="AH26" i="1"/>
  <c r="AJ26" i="1" s="1"/>
  <c r="AH76" i="1"/>
  <c r="AJ76" i="1" s="1"/>
  <c r="AG32" i="1"/>
  <c r="AG76" i="1"/>
  <c r="AG13" i="1"/>
  <c r="AH28" i="1"/>
  <c r="AJ28" i="1" s="1"/>
  <c r="AH85" i="1"/>
  <c r="AJ85" i="1" s="1"/>
  <c r="AG58" i="1"/>
  <c r="AH19" i="1"/>
  <c r="AH75" i="1"/>
  <c r="AJ75" i="1" s="1"/>
  <c r="AG51" i="1"/>
  <c r="AH18" i="1"/>
  <c r="AJ18" i="1" s="1"/>
  <c r="AH67" i="1"/>
  <c r="AJ67" i="1" s="1"/>
  <c r="AG50" i="1"/>
  <c r="AH17" i="1"/>
  <c r="AI17" i="1" s="1"/>
  <c r="AH66" i="1"/>
  <c r="AJ66" i="1" s="1"/>
  <c r="L36" i="2"/>
  <c r="N36" i="2"/>
  <c r="J36" i="2"/>
  <c r="K36" i="2"/>
  <c r="AI41" i="1"/>
  <c r="AJ41" i="1"/>
  <c r="AI61" i="1"/>
  <c r="AJ61" i="1"/>
  <c r="AI52" i="1"/>
  <c r="AJ52" i="1"/>
  <c r="AJ19" i="1"/>
  <c r="AI19" i="1"/>
  <c r="AI98" i="1"/>
  <c r="AH47" i="1"/>
  <c r="AH93" i="1"/>
  <c r="AH73" i="1"/>
  <c r="AG91" i="1"/>
  <c r="AG73" i="1"/>
  <c r="AG54" i="1"/>
  <c r="AG45" i="1"/>
  <c r="AG27" i="1"/>
  <c r="AG18" i="1"/>
  <c r="AH32" i="1"/>
  <c r="AH13" i="1"/>
  <c r="AH46" i="1"/>
  <c r="AH92" i="1"/>
  <c r="AH72" i="1"/>
  <c r="AI60" i="1"/>
  <c r="AG99" i="1"/>
  <c r="AG81" i="1"/>
  <c r="AG62" i="1"/>
  <c r="AG44" i="1"/>
  <c r="AG26" i="1"/>
  <c r="AG17" i="1"/>
  <c r="AH30" i="1"/>
  <c r="AH63" i="1"/>
  <c r="AH45" i="1"/>
  <c r="AH101" i="1"/>
  <c r="AH91" i="1"/>
  <c r="AI59" i="1"/>
  <c r="AJ49" i="1"/>
  <c r="AJ39" i="1"/>
  <c r="AI75" i="1"/>
  <c r="AJ65" i="1"/>
  <c r="AH70" i="1"/>
  <c r="AH78" i="1"/>
  <c r="AH86" i="1"/>
  <c r="AH94" i="1"/>
  <c r="AH102" i="1"/>
  <c r="AH42" i="1"/>
  <c r="AH50" i="1"/>
  <c r="AH58" i="1"/>
  <c r="AH15" i="1"/>
  <c r="AH23" i="1"/>
  <c r="AH31" i="1"/>
  <c r="AH12" i="1"/>
  <c r="AG15" i="1"/>
  <c r="AG23" i="1"/>
  <c r="AG31" i="1"/>
  <c r="AG39" i="1"/>
  <c r="AG47" i="1"/>
  <c r="AG55" i="1"/>
  <c r="AG63" i="1"/>
  <c r="AG71" i="1"/>
  <c r="AG79" i="1"/>
  <c r="AG87" i="1"/>
  <c r="AG95" i="1"/>
  <c r="AG103" i="1"/>
  <c r="AH71" i="1"/>
  <c r="AH79" i="1"/>
  <c r="AH87" i="1"/>
  <c r="AH95" i="1"/>
  <c r="AH103" i="1"/>
  <c r="AH43" i="1"/>
  <c r="AG102" i="1"/>
  <c r="AG93" i="1"/>
  <c r="AG84" i="1"/>
  <c r="AG75" i="1"/>
  <c r="AG66" i="1"/>
  <c r="AG57" i="1"/>
  <c r="AG48" i="1"/>
  <c r="AG29" i="1"/>
  <c r="AG20" i="1"/>
  <c r="AG106" i="1"/>
  <c r="AH25" i="1"/>
  <c r="AH16" i="1"/>
  <c r="AH57" i="1"/>
  <c r="AH48" i="1"/>
  <c r="AH106" i="1"/>
  <c r="AH96" i="1"/>
  <c r="AH84" i="1"/>
  <c r="AH74" i="1"/>
  <c r="AH64" i="1"/>
  <c r="AG101" i="1"/>
  <c r="AG92" i="1"/>
  <c r="AG83" i="1"/>
  <c r="AG74" i="1"/>
  <c r="AG65" i="1"/>
  <c r="AG56" i="1"/>
  <c r="AG46" i="1"/>
  <c r="AG28" i="1"/>
  <c r="AG19" i="1"/>
  <c r="AH33" i="1"/>
  <c r="AH24" i="1"/>
  <c r="AH14" i="1"/>
  <c r="AH56" i="1"/>
  <c r="AH105" i="1"/>
  <c r="AH83" i="1"/>
  <c r="AG100" i="1"/>
  <c r="AG82" i="1"/>
  <c r="AG64" i="1"/>
  <c r="AH22" i="1"/>
  <c r="AH55" i="1"/>
  <c r="AH104" i="1"/>
  <c r="AH82" i="1"/>
  <c r="AG90" i="1"/>
  <c r="AG72" i="1"/>
  <c r="AG53" i="1"/>
  <c r="AG12" i="1"/>
  <c r="AH21" i="1"/>
  <c r="AH54" i="1"/>
  <c r="AH81" i="1"/>
  <c r="AG98" i="1"/>
  <c r="AG89" i="1"/>
  <c r="AG80" i="1"/>
  <c r="AG70" i="1"/>
  <c r="AG61" i="1"/>
  <c r="AG52" i="1"/>
  <c r="AG43" i="1"/>
  <c r="AG25" i="1"/>
  <c r="AG16" i="1"/>
  <c r="AH29" i="1"/>
  <c r="AH20" i="1"/>
  <c r="AH62" i="1"/>
  <c r="AH53" i="1"/>
  <c r="AH44" i="1"/>
  <c r="AH100" i="1"/>
  <c r="AH90" i="1"/>
  <c r="AH80" i="1"/>
  <c r="AH68" i="1"/>
  <c r="M12" i="2"/>
  <c r="N12" i="2"/>
  <c r="O12" i="2"/>
  <c r="P12" i="2"/>
  <c r="AI18" i="2"/>
  <c r="AI26" i="2"/>
  <c r="AI36" i="2"/>
  <c r="AI44" i="2"/>
  <c r="AI31" i="2"/>
  <c r="J12" i="2"/>
  <c r="K12" i="2"/>
  <c r="L12" i="2"/>
  <c r="Q11" i="2"/>
  <c r="O8" i="1"/>
  <c r="AC53" i="1" s="1"/>
  <c r="B6" i="1"/>
  <c r="AE15" i="1" s="1"/>
  <c r="AI15" i="2" l="1"/>
  <c r="AI47" i="2"/>
  <c r="AM47" i="2" s="1"/>
  <c r="AI32" i="2"/>
  <c r="AL32" i="2" s="1"/>
  <c r="AI80" i="2"/>
  <c r="AM80" i="2" s="1"/>
  <c r="AI29" i="2"/>
  <c r="AL29" i="2" s="1"/>
  <c r="AI95" i="2"/>
  <c r="AL95" i="2" s="1"/>
  <c r="AI17" i="2"/>
  <c r="AK17" i="2" s="1"/>
  <c r="AI54" i="2"/>
  <c r="AJ54" i="2" s="1"/>
  <c r="AI88" i="2"/>
  <c r="AL88" i="2" s="1"/>
  <c r="AI75" i="2"/>
  <c r="AK75" i="2" s="1"/>
  <c r="AI92" i="2"/>
  <c r="AK92" i="2" s="1"/>
  <c r="AI84" i="2"/>
  <c r="AJ84" i="2" s="1"/>
  <c r="AI72" i="2"/>
  <c r="AJ72" i="2" s="1"/>
  <c r="AI68" i="2"/>
  <c r="AM68" i="2" s="1"/>
  <c r="AI50" i="2"/>
  <c r="AJ50" i="2" s="1"/>
  <c r="AI63" i="2"/>
  <c r="AK63" i="2" s="1"/>
  <c r="AI79" i="2"/>
  <c r="AK79" i="2" s="1"/>
  <c r="AI91" i="2"/>
  <c r="AK91" i="2" s="1"/>
  <c r="AI49" i="2"/>
  <c r="AM49" i="2" s="1"/>
  <c r="AI25" i="2"/>
  <c r="AM25" i="2" s="1"/>
  <c r="AI73" i="2"/>
  <c r="AM73" i="2" s="1"/>
  <c r="AI57" i="2"/>
  <c r="AM57" i="2" s="1"/>
  <c r="AI77" i="2"/>
  <c r="AK77" i="2" s="1"/>
  <c r="AI94" i="2"/>
  <c r="AL94" i="2" s="1"/>
  <c r="AI51" i="2"/>
  <c r="AK51" i="2" s="1"/>
  <c r="AI22" i="2"/>
  <c r="AK22" i="2" s="1"/>
  <c r="AI21" i="2"/>
  <c r="AM21" i="2" s="1"/>
  <c r="AI61" i="2"/>
  <c r="AK61" i="2" s="1"/>
  <c r="AI70" i="2"/>
  <c r="AK70" i="2" s="1"/>
  <c r="AI37" i="2"/>
  <c r="AJ37" i="2" s="1"/>
  <c r="N37" i="2"/>
  <c r="N38" i="2" s="1"/>
  <c r="AI39" i="2"/>
  <c r="AL39" i="2" s="1"/>
  <c r="AI13" i="2"/>
  <c r="AJ13" i="2" s="1"/>
  <c r="AI87" i="2"/>
  <c r="AK87" i="2" s="1"/>
  <c r="AI98" i="2"/>
  <c r="AL98" i="2" s="1"/>
  <c r="AI76" i="2"/>
  <c r="AK76" i="2" s="1"/>
  <c r="AI58" i="2"/>
  <c r="AL58" i="2" s="1"/>
  <c r="AI41" i="2"/>
  <c r="AM41" i="2" s="1"/>
  <c r="AI60" i="2"/>
  <c r="AL60" i="2" s="1"/>
  <c r="AI42" i="2"/>
  <c r="AL42" i="2" s="1"/>
  <c r="AI28" i="2"/>
  <c r="AK28" i="2" s="1"/>
  <c r="AI45" i="2"/>
  <c r="AK45" i="2" s="1"/>
  <c r="AI96" i="2"/>
  <c r="AL96" i="2" s="1"/>
  <c r="AI99" i="2"/>
  <c r="AK99" i="2" s="1"/>
  <c r="AI33" i="2"/>
  <c r="AM33" i="2" s="1"/>
  <c r="AI83" i="2"/>
  <c r="AL83" i="2" s="1"/>
  <c r="AI10" i="2"/>
  <c r="AK10" i="2" s="1"/>
  <c r="AI67" i="2"/>
  <c r="AK67" i="2" s="1"/>
  <c r="AI14" i="2"/>
  <c r="AJ14" i="2" s="1"/>
  <c r="AI59" i="2"/>
  <c r="AL59" i="2" s="1"/>
  <c r="AI53" i="2"/>
  <c r="AJ53" i="2" s="1"/>
  <c r="AI100" i="2"/>
  <c r="AK100" i="2" s="1"/>
  <c r="AI19" i="2"/>
  <c r="AL19" i="2" s="1"/>
  <c r="AI24" i="2"/>
  <c r="AM24" i="2" s="1"/>
  <c r="AI89" i="2"/>
  <c r="AM89" i="2" s="1"/>
  <c r="AI52" i="2"/>
  <c r="AK52" i="2" s="1"/>
  <c r="AI34" i="2"/>
  <c r="AJ34" i="2" s="1"/>
  <c r="AI51" i="1"/>
  <c r="AI65" i="2"/>
  <c r="AM65" i="2" s="1"/>
  <c r="AI35" i="2"/>
  <c r="AK35" i="2" s="1"/>
  <c r="AI81" i="2"/>
  <c r="AJ81" i="2" s="1"/>
  <c r="AI101" i="2"/>
  <c r="AK101" i="2" s="1"/>
  <c r="AI97" i="2"/>
  <c r="AM97" i="2" s="1"/>
  <c r="AI85" i="2"/>
  <c r="AJ85" i="2" s="1"/>
  <c r="AI38" i="2"/>
  <c r="AL38" i="2" s="1"/>
  <c r="AI30" i="2"/>
  <c r="AL30" i="2" s="1"/>
  <c r="AI102" i="2"/>
  <c r="AL102" i="2" s="1"/>
  <c r="AI20" i="2"/>
  <c r="AK20" i="2" s="1"/>
  <c r="AI90" i="2"/>
  <c r="AL90" i="2" s="1"/>
  <c r="AI86" i="2"/>
  <c r="AJ86" i="2" s="1"/>
  <c r="AI46" i="2"/>
  <c r="AJ46" i="2" s="1"/>
  <c r="AI23" i="2"/>
  <c r="AL23" i="2" s="1"/>
  <c r="AI12" i="2"/>
  <c r="AL12" i="2" s="1"/>
  <c r="AI82" i="2"/>
  <c r="AM82" i="2" s="1"/>
  <c r="AI55" i="2"/>
  <c r="AL55" i="2" s="1"/>
  <c r="AI62" i="2"/>
  <c r="AM62" i="2" s="1"/>
  <c r="AI71" i="2"/>
  <c r="AM71" i="2" s="1"/>
  <c r="AI93" i="2"/>
  <c r="AK93" i="2" s="1"/>
  <c r="AI74" i="2"/>
  <c r="AJ74" i="2" s="1"/>
  <c r="AI103" i="2"/>
  <c r="AM103" i="2" s="1"/>
  <c r="AI78" i="2"/>
  <c r="AK78" i="2" s="1"/>
  <c r="AI40" i="2"/>
  <c r="AL40" i="2" s="1"/>
  <c r="AI69" i="2"/>
  <c r="AM69" i="2" s="1"/>
  <c r="AI66" i="2"/>
  <c r="AL66" i="2" s="1"/>
  <c r="AI18" i="1"/>
  <c r="AJ40" i="1"/>
  <c r="AJ88" i="1"/>
  <c r="AJ36" i="1"/>
  <c r="AJ97" i="1"/>
  <c r="AI69" i="1"/>
  <c r="AI99" i="1"/>
  <c r="AJ17" i="1"/>
  <c r="AI27" i="1"/>
  <c r="AI76" i="1"/>
  <c r="AI26" i="1"/>
  <c r="AI77" i="1"/>
  <c r="AJ37" i="1"/>
  <c r="AJ89" i="1"/>
  <c r="AI35" i="1"/>
  <c r="AJ35" i="1"/>
  <c r="AI67" i="1"/>
  <c r="L37" i="2"/>
  <c r="L38" i="2" s="1"/>
  <c r="K37" i="2"/>
  <c r="K38" i="2" s="1"/>
  <c r="J37" i="2"/>
  <c r="AI43" i="2"/>
  <c r="AK43" i="2" s="1"/>
  <c r="AI104" i="2"/>
  <c r="AM104" i="2" s="1"/>
  <c r="V53" i="1"/>
  <c r="W53" i="1"/>
  <c r="X53" i="1"/>
  <c r="Y53" i="1"/>
  <c r="Z53" i="1"/>
  <c r="AA53" i="1"/>
  <c r="P12" i="1"/>
  <c r="AB53" i="1"/>
  <c r="U53" i="1"/>
  <c r="AA27" i="1"/>
  <c r="AA26" i="1"/>
  <c r="AA25" i="1"/>
  <c r="AI28" i="1"/>
  <c r="AI16" i="2"/>
  <c r="AI27" i="2"/>
  <c r="AK27" i="2" s="1"/>
  <c r="AI48" i="2"/>
  <c r="AK48" i="2" s="1"/>
  <c r="AI85" i="1"/>
  <c r="AI11" i="2"/>
  <c r="AK11" i="2" s="1"/>
  <c r="AI64" i="2"/>
  <c r="AL64" i="2" s="1"/>
  <c r="AI66" i="1"/>
  <c r="AJ62" i="1"/>
  <c r="AI62" i="1"/>
  <c r="AJ21" i="1"/>
  <c r="AI21" i="1"/>
  <c r="AI56" i="1"/>
  <c r="AJ56" i="1"/>
  <c r="AJ84" i="1"/>
  <c r="AI84" i="1"/>
  <c r="AJ70" i="1"/>
  <c r="AI70" i="1"/>
  <c r="AE16" i="1"/>
  <c r="AI14" i="1"/>
  <c r="AJ14" i="1"/>
  <c r="AI96" i="1"/>
  <c r="AJ96" i="1"/>
  <c r="AJ58" i="1"/>
  <c r="AI58" i="1"/>
  <c r="AJ91" i="1"/>
  <c r="AI91" i="1"/>
  <c r="AI46" i="1"/>
  <c r="AJ46" i="1"/>
  <c r="AJ29" i="1"/>
  <c r="AI29" i="1"/>
  <c r="AI24" i="1"/>
  <c r="AJ24" i="1"/>
  <c r="AJ106" i="1"/>
  <c r="AI106" i="1"/>
  <c r="AJ50" i="1"/>
  <c r="AI50" i="1"/>
  <c r="AJ101" i="1"/>
  <c r="AI101" i="1"/>
  <c r="AJ13" i="1"/>
  <c r="AI13" i="1"/>
  <c r="AJ38" i="1"/>
  <c r="AI33" i="1"/>
  <c r="AJ33" i="1"/>
  <c r="AI32" i="1"/>
  <c r="AJ32" i="1"/>
  <c r="AU13" i="1"/>
  <c r="AO13" i="1"/>
  <c r="AQ13" i="1"/>
  <c r="AR13" i="1"/>
  <c r="AS13" i="1"/>
  <c r="AT13" i="1"/>
  <c r="AP13" i="1"/>
  <c r="AI57" i="1"/>
  <c r="AJ57" i="1"/>
  <c r="AI103" i="1"/>
  <c r="AJ103" i="1"/>
  <c r="AJ93" i="1"/>
  <c r="AI93" i="1"/>
  <c r="AI16" i="1"/>
  <c r="AJ16" i="1"/>
  <c r="AJ95" i="1"/>
  <c r="AI95" i="1"/>
  <c r="AJ12" i="1"/>
  <c r="AI12" i="1"/>
  <c r="AI94" i="1"/>
  <c r="AJ94" i="1"/>
  <c r="AJ30" i="1"/>
  <c r="AI30" i="1"/>
  <c r="AJ44" i="1"/>
  <c r="AI44" i="1"/>
  <c r="AI81" i="1"/>
  <c r="AJ81" i="1"/>
  <c r="AJ82" i="1"/>
  <c r="AI82" i="1"/>
  <c r="AJ83" i="1"/>
  <c r="AI83" i="1"/>
  <c r="AI64" i="1"/>
  <c r="AJ64" i="1"/>
  <c r="AI25" i="1"/>
  <c r="AJ25" i="1"/>
  <c r="AJ87" i="1"/>
  <c r="AI87" i="1"/>
  <c r="AJ31" i="1"/>
  <c r="AI31" i="1"/>
  <c r="AJ86" i="1"/>
  <c r="AI86" i="1"/>
  <c r="AJ55" i="1"/>
  <c r="AI55" i="1"/>
  <c r="AJ71" i="1"/>
  <c r="AI71" i="1"/>
  <c r="AJ15" i="1"/>
  <c r="AI15" i="1"/>
  <c r="AJ92" i="1"/>
  <c r="AI92" i="1"/>
  <c r="AI20" i="1"/>
  <c r="AJ20" i="1"/>
  <c r="AJ22" i="1"/>
  <c r="AI22" i="1"/>
  <c r="AI68" i="1"/>
  <c r="AJ68" i="1"/>
  <c r="AI80" i="1"/>
  <c r="AJ80" i="1"/>
  <c r="AI48" i="1"/>
  <c r="AJ48" i="1"/>
  <c r="AJ43" i="1"/>
  <c r="AI43" i="1"/>
  <c r="AJ42" i="1"/>
  <c r="AI42" i="1"/>
  <c r="AJ45" i="1"/>
  <c r="AI45" i="1"/>
  <c r="AI73" i="1"/>
  <c r="AJ73" i="1"/>
  <c r="AJ90" i="1"/>
  <c r="AI90" i="1"/>
  <c r="AJ102" i="1"/>
  <c r="AI102" i="1"/>
  <c r="AI63" i="1"/>
  <c r="AJ63" i="1"/>
  <c r="AI100" i="1"/>
  <c r="AJ100" i="1"/>
  <c r="AI47" i="1"/>
  <c r="AJ47" i="1"/>
  <c r="AJ53" i="1"/>
  <c r="AI53" i="1"/>
  <c r="AJ54" i="1"/>
  <c r="AI54" i="1"/>
  <c r="AI104" i="1"/>
  <c r="AJ104" i="1"/>
  <c r="AI105" i="1"/>
  <c r="AJ105" i="1"/>
  <c r="AJ74" i="1"/>
  <c r="AI74" i="1"/>
  <c r="AJ34" i="1"/>
  <c r="AJ79" i="1"/>
  <c r="AI79" i="1"/>
  <c r="AJ23" i="1"/>
  <c r="AI23" i="1"/>
  <c r="AI78" i="1"/>
  <c r="AJ78" i="1"/>
  <c r="AI72" i="1"/>
  <c r="AJ72" i="1"/>
  <c r="AM81" i="2"/>
  <c r="AK81" i="2"/>
  <c r="AK29" i="2"/>
  <c r="AJ29" i="2"/>
  <c r="Q12" i="2"/>
  <c r="T11" i="2"/>
  <c r="U11" i="2" s="1"/>
  <c r="V11" i="2" s="1"/>
  <c r="W11" i="2" s="1"/>
  <c r="X11" i="2" s="1"/>
  <c r="Y11" i="2" s="1"/>
  <c r="Z11" i="2" s="1"/>
  <c r="AL31" i="2"/>
  <c r="AK31" i="2"/>
  <c r="AJ31" i="2"/>
  <c r="AM31" i="2"/>
  <c r="AJ36" i="2"/>
  <c r="AK36" i="2"/>
  <c r="AL36" i="2"/>
  <c r="AM36" i="2"/>
  <c r="AL18" i="2"/>
  <c r="AK18" i="2"/>
  <c r="AJ18" i="2"/>
  <c r="AM18" i="2"/>
  <c r="AM85" i="2"/>
  <c r="AL15" i="2"/>
  <c r="AM15" i="2"/>
  <c r="AK15" i="2"/>
  <c r="AJ15" i="2"/>
  <c r="AK44" i="2"/>
  <c r="AJ44" i="2"/>
  <c r="AL44" i="2"/>
  <c r="AM44" i="2"/>
  <c r="AJ96" i="2"/>
  <c r="AK73" i="2"/>
  <c r="AJ73" i="2"/>
  <c r="AL73" i="2"/>
  <c r="AM101" i="2"/>
  <c r="AL56" i="2"/>
  <c r="AM56" i="2"/>
  <c r="AK56" i="2"/>
  <c r="AJ56" i="2"/>
  <c r="AJ32" i="2"/>
  <c r="AM45" i="2"/>
  <c r="AL26" i="2"/>
  <c r="AK26" i="2"/>
  <c r="AJ26" i="2"/>
  <c r="AM26" i="2"/>
  <c r="I8" i="1"/>
  <c r="AM29" i="2" l="1"/>
  <c r="AK83" i="2"/>
  <c r="AJ83" i="2"/>
  <c r="AJ95" i="2"/>
  <c r="AM22" i="2"/>
  <c r="AL22" i="2"/>
  <c r="AM95" i="2"/>
  <c r="AM84" i="2"/>
  <c r="AL84" i="2"/>
  <c r="AK95" i="2"/>
  <c r="AJ59" i="2"/>
  <c r="AK59" i="2"/>
  <c r="AM10" i="2"/>
  <c r="J38" i="2"/>
  <c r="O38" i="2" s="1"/>
  <c r="O37" i="2"/>
  <c r="AL33" i="2"/>
  <c r="AM51" i="2"/>
  <c r="AL51" i="2"/>
  <c r="AM83" i="2"/>
  <c r="AK96" i="2"/>
  <c r="AJ80" i="2"/>
  <c r="AM96" i="2"/>
  <c r="AM88" i="2"/>
  <c r="AJ88" i="2"/>
  <c r="AK88" i="2"/>
  <c r="AK53" i="2"/>
  <c r="AM54" i="2"/>
  <c r="AM100" i="2"/>
  <c r="AL54" i="2"/>
  <c r="AK32" i="2"/>
  <c r="AL100" i="2"/>
  <c r="AM32" i="2"/>
  <c r="AJ100" i="2"/>
  <c r="AM53" i="2"/>
  <c r="AK50" i="2"/>
  <c r="AM67" i="2"/>
  <c r="AK14" i="2"/>
  <c r="AK37" i="2"/>
  <c r="AJ67" i="2"/>
  <c r="AM86" i="2"/>
  <c r="AL37" i="2"/>
  <c r="AM17" i="2"/>
  <c r="AM59" i="2"/>
  <c r="AL14" i="2"/>
  <c r="AK13" i="2"/>
  <c r="AM37" i="2"/>
  <c r="AK84" i="2"/>
  <c r="AJ24" i="2"/>
  <c r="AJ104" i="2"/>
  <c r="AL50" i="2"/>
  <c r="AL67" i="2"/>
  <c r="AM14" i="2"/>
  <c r="AM13" i="2"/>
  <c r="AL34" i="2"/>
  <c r="AJ98" i="2"/>
  <c r="AM63" i="2"/>
  <c r="AL89" i="2"/>
  <c r="AJ68" i="2"/>
  <c r="AL63" i="2"/>
  <c r="AL92" i="2"/>
  <c r="AJ89" i="2"/>
  <c r="AL75" i="2"/>
  <c r="AK68" i="2"/>
  <c r="AK74" i="2"/>
  <c r="AM34" i="2"/>
  <c r="AK34" i="2"/>
  <c r="AL68" i="2"/>
  <c r="AM75" i="2"/>
  <c r="AJ12" i="2"/>
  <c r="AJ39" i="2"/>
  <c r="AM19" i="2"/>
  <c r="AL87" i="2"/>
  <c r="AM39" i="2"/>
  <c r="AJ10" i="2"/>
  <c r="AM70" i="2"/>
  <c r="AJ51" i="2"/>
  <c r="AM79" i="2"/>
  <c r="AK85" i="2"/>
  <c r="AL70" i="2"/>
  <c r="AL79" i="2"/>
  <c r="AL74" i="2"/>
  <c r="AM98" i="2"/>
  <c r="AM92" i="2"/>
  <c r="AJ87" i="2"/>
  <c r="AJ92" i="2"/>
  <c r="AJ75" i="2"/>
  <c r="AM72" i="2"/>
  <c r="AM87" i="2"/>
  <c r="AJ62" i="2"/>
  <c r="AL10" i="2"/>
  <c r="AJ70" i="2"/>
  <c r="AM90" i="2"/>
  <c r="AJ38" i="2"/>
  <c r="AK12" i="2"/>
  <c r="AJ33" i="2"/>
  <c r="AJ19" i="2"/>
  <c r="AM61" i="2"/>
  <c r="AK33" i="2"/>
  <c r="AK39" i="2"/>
  <c r="AM42" i="2"/>
  <c r="AK19" i="2"/>
  <c r="AL85" i="2"/>
  <c r="AL13" i="2"/>
  <c r="AL53" i="2"/>
  <c r="AL24" i="2"/>
  <c r="AK80" i="2"/>
  <c r="AL80" i="2"/>
  <c r="AL57" i="2"/>
  <c r="AJ57" i="2"/>
  <c r="AJ42" i="2"/>
  <c r="AL97" i="2"/>
  <c r="AK57" i="2"/>
  <c r="AK42" i="2"/>
  <c r="AJ97" i="2"/>
  <c r="AL47" i="2"/>
  <c r="AK97" i="2"/>
  <c r="AM60" i="2"/>
  <c r="AL77" i="2"/>
  <c r="AJ58" i="2"/>
  <c r="AM48" i="2"/>
  <c r="AM76" i="2"/>
  <c r="AK60" i="2"/>
  <c r="AL21" i="2"/>
  <c r="AL76" i="2"/>
  <c r="AJ60" i="2"/>
  <c r="AJ21" i="2"/>
  <c r="AK94" i="2"/>
  <c r="AJ48" i="2"/>
  <c r="AM77" i="2"/>
  <c r="AM91" i="2"/>
  <c r="AL41" i="2"/>
  <c r="AK24" i="2"/>
  <c r="AJ91" i="2"/>
  <c r="AJ52" i="2"/>
  <c r="AK41" i="2"/>
  <c r="AL25" i="2"/>
  <c r="AJ35" i="2"/>
  <c r="AJ22" i="2"/>
  <c r="AL65" i="2"/>
  <c r="AK72" i="2"/>
  <c r="AJ47" i="2"/>
  <c r="AK47" i="2"/>
  <c r="AM58" i="2"/>
  <c r="AJ77" i="2"/>
  <c r="AK98" i="2"/>
  <c r="AK58" i="2"/>
  <c r="AJ94" i="2"/>
  <c r="AL48" i="2"/>
  <c r="AJ76" i="2"/>
  <c r="AM52" i="2"/>
  <c r="AM35" i="2"/>
  <c r="AK21" i="2"/>
  <c r="AM94" i="2"/>
  <c r="AL72" i="2"/>
  <c r="AL17" i="2"/>
  <c r="AL61" i="2"/>
  <c r="AL91" i="2"/>
  <c r="AL52" i="2"/>
  <c r="AJ41" i="2"/>
  <c r="AL35" i="2"/>
  <c r="AJ17" i="2"/>
  <c r="AJ61" i="2"/>
  <c r="AJ25" i="2"/>
  <c r="AJ65" i="2"/>
  <c r="AL103" i="2"/>
  <c r="AM28" i="2"/>
  <c r="AL49" i="2"/>
  <c r="AK25" i="2"/>
  <c r="AM99" i="2"/>
  <c r="AK65" i="2"/>
  <c r="AL45" i="2"/>
  <c r="AL101" i="2"/>
  <c r="AL28" i="2"/>
  <c r="AJ49" i="2"/>
  <c r="AL99" i="2"/>
  <c r="AJ63" i="2"/>
  <c r="AJ45" i="2"/>
  <c r="AJ101" i="2"/>
  <c r="AJ28" i="2"/>
  <c r="AK89" i="2"/>
  <c r="AK49" i="2"/>
  <c r="AJ99" i="2"/>
  <c r="AM50" i="2"/>
  <c r="AL81" i="2"/>
  <c r="AK54" i="2"/>
  <c r="AJ79" i="2"/>
  <c r="AL86" i="2"/>
  <c r="AK38" i="2"/>
  <c r="AL93" i="2"/>
  <c r="AJ71" i="2"/>
  <c r="AL62" i="2"/>
  <c r="AK55" i="2"/>
  <c r="AJ30" i="2"/>
  <c r="AM27" i="2"/>
  <c r="AK102" i="2"/>
  <c r="AJ82" i="2"/>
  <c r="AM46" i="2"/>
  <c r="AL46" i="2"/>
  <c r="AJ102" i="2"/>
  <c r="AM38" i="2"/>
  <c r="AM55" i="2"/>
  <c r="AK30" i="2"/>
  <c r="AJ27" i="2"/>
  <c r="AM30" i="2"/>
  <c r="AK82" i="2"/>
  <c r="AK62" i="2"/>
  <c r="AL71" i="2"/>
  <c r="AM93" i="2"/>
  <c r="AJ55" i="2"/>
  <c r="AL20" i="2"/>
  <c r="AM102" i="2"/>
  <c r="AL27" i="2"/>
  <c r="AL82" i="2"/>
  <c r="AK46" i="2"/>
  <c r="AJ20" i="2"/>
  <c r="AK86" i="2"/>
  <c r="AM12" i="2"/>
  <c r="AJ93" i="2"/>
  <c r="AM20" i="2"/>
  <c r="AM66" i="2"/>
  <c r="AL11" i="2"/>
  <c r="AJ11" i="2"/>
  <c r="AK66" i="2"/>
  <c r="AJ78" i="2"/>
  <c r="AM78" i="2"/>
  <c r="AL78" i="2"/>
  <c r="AJ64" i="2"/>
  <c r="AM64" i="2"/>
  <c r="AJ66" i="2"/>
  <c r="AJ40" i="2"/>
  <c r="AJ103" i="2"/>
  <c r="AM40" i="2"/>
  <c r="AM74" i="2"/>
  <c r="AK71" i="2"/>
  <c r="AK69" i="2"/>
  <c r="AK103" i="2"/>
  <c r="AM11" i="2"/>
  <c r="AK23" i="2"/>
  <c r="AJ69" i="2"/>
  <c r="AJ90" i="2"/>
  <c r="AJ23" i="2"/>
  <c r="AK40" i="2"/>
  <c r="AL69" i="2"/>
  <c r="AK90" i="2"/>
  <c r="AM23" i="2"/>
  <c r="H7" i="1"/>
  <c r="Z25" i="1"/>
  <c r="AL104" i="2"/>
  <c r="AM43" i="2"/>
  <c r="AL43" i="2"/>
  <c r="AK64" i="2"/>
  <c r="AJ43" i="2"/>
  <c r="AK104" i="2"/>
  <c r="AM16" i="2"/>
  <c r="AK16" i="2"/>
  <c r="AJ16" i="2"/>
  <c r="AL16" i="2"/>
  <c r="J41" i="2"/>
  <c r="J59" i="2" s="1"/>
  <c r="AE17" i="1"/>
  <c r="AE18" i="1" s="1"/>
  <c r="AE20" i="1" s="1"/>
  <c r="AE13" i="1"/>
  <c r="AE14" i="1"/>
  <c r="AO11" i="1"/>
  <c r="AO15" i="1" s="1"/>
  <c r="AV13" i="1"/>
  <c r="S16" i="2"/>
  <c r="S17" i="2" s="1"/>
  <c r="G12" i="1"/>
  <c r="H11" i="1" s="1"/>
  <c r="P17" i="1"/>
  <c r="Q12" i="1"/>
  <c r="Z26" i="1" l="1"/>
  <c r="Z27" i="1" s="1"/>
  <c r="AF23" i="2"/>
  <c r="AF24" i="2" s="1"/>
  <c r="AF26" i="2" s="1"/>
  <c r="AF22" i="2"/>
  <c r="J11" i="1"/>
  <c r="K11" i="1" s="1"/>
  <c r="L11" i="1" s="1"/>
  <c r="J67" i="2"/>
  <c r="AO16" i="1"/>
  <c r="AO17" i="1" s="1"/>
  <c r="AP10" i="1"/>
  <c r="AE19" i="1"/>
  <c r="AE21" i="1"/>
  <c r="S18" i="2"/>
  <c r="S19" i="2" s="1"/>
  <c r="G13" i="1"/>
  <c r="G14" i="1" s="1"/>
  <c r="G15" i="1" s="1"/>
  <c r="AF27" i="2" l="1"/>
  <c r="AF25" i="2"/>
  <c r="I11" i="1"/>
  <c r="AP11" i="1"/>
  <c r="AP15" i="1" s="1"/>
  <c r="AP14" i="1"/>
  <c r="AQ10" i="1"/>
  <c r="S20" i="2"/>
  <c r="S21" i="2"/>
  <c r="M11" i="1"/>
  <c r="H13" i="1"/>
  <c r="G16" i="1"/>
  <c r="G17" i="1" s="1"/>
  <c r="G18" i="1" s="1"/>
  <c r="G19" i="1" s="1"/>
  <c r="AQ11" i="1" l="1"/>
  <c r="AQ15" i="1" s="1"/>
  <c r="AQ14" i="1"/>
  <c r="AP16" i="1"/>
  <c r="S23" i="2"/>
  <c r="S22" i="2"/>
  <c r="J13" i="1"/>
  <c r="I13" i="1"/>
  <c r="H17" i="1"/>
  <c r="J17" i="1" s="1"/>
  <c r="M17" i="1" s="1"/>
  <c r="H15" i="1"/>
  <c r="G20" i="1"/>
  <c r="G21" i="1" s="1"/>
  <c r="AR10" i="1" l="1"/>
  <c r="AR11" i="1" s="1"/>
  <c r="AP17" i="1"/>
  <c r="AQ16" i="1"/>
  <c r="AQ17" i="1" s="1"/>
  <c r="S24" i="2"/>
  <c r="S25" i="2"/>
  <c r="I17" i="1"/>
  <c r="M13" i="1"/>
  <c r="K13" i="1"/>
  <c r="L13" i="1" s="1"/>
  <c r="J15" i="1"/>
  <c r="M15" i="1" s="1"/>
  <c r="K17" i="1"/>
  <c r="L17" i="1" s="1"/>
  <c r="I15" i="1"/>
  <c r="H19" i="1"/>
  <c r="J19" i="1" s="1"/>
  <c r="M19" i="1" s="1"/>
  <c r="G22" i="1"/>
  <c r="G23" i="1" s="1"/>
  <c r="AR15" i="1" l="1"/>
  <c r="AS10" i="1"/>
  <c r="AR14" i="1"/>
  <c r="AS11" i="1"/>
  <c r="AS15" i="1" s="1"/>
  <c r="AS14" i="1"/>
  <c r="AR16" i="1"/>
  <c r="AR17" i="1" s="1"/>
  <c r="AT10" i="1"/>
  <c r="S28" i="2"/>
  <c r="S27" i="2"/>
  <c r="S26" i="2"/>
  <c r="K19" i="1"/>
  <c r="L19" i="1" s="1"/>
  <c r="H21" i="1"/>
  <c r="K15" i="1"/>
  <c r="L15" i="1" s="1"/>
  <c r="I19" i="1"/>
  <c r="G24" i="1"/>
  <c r="H23" i="1" s="1"/>
  <c r="AT11" i="1" l="1"/>
  <c r="AT15" i="1" s="1"/>
  <c r="AT14" i="1"/>
  <c r="AS16" i="1"/>
  <c r="AS17" i="1" s="1"/>
  <c r="J23" i="1"/>
  <c r="M23" i="1" s="1"/>
  <c r="I23" i="1"/>
  <c r="J21" i="1"/>
  <c r="M21" i="1" s="1"/>
  <c r="I21" i="1"/>
  <c r="AU10" i="1" l="1"/>
  <c r="AU11" i="1" s="1"/>
  <c r="P14" i="1"/>
  <c r="P19" i="1" s="1"/>
  <c r="AT16" i="1"/>
  <c r="AT17" i="1" s="1"/>
  <c r="K23" i="1"/>
  <c r="L23" i="1" s="1"/>
  <c r="K21" i="1"/>
  <c r="L21" i="1" s="1"/>
  <c r="I25" i="1"/>
  <c r="H25" i="1"/>
  <c r="AU14" i="1" l="1"/>
  <c r="AU16" i="1" s="1"/>
  <c r="AU17" i="1" s="1"/>
  <c r="AO37" i="1"/>
  <c r="P13" i="1"/>
  <c r="P18" i="1" s="1"/>
  <c r="Q14" i="1"/>
  <c r="AV16" i="1" l="1"/>
  <c r="AX12" i="1" s="1"/>
  <c r="Q13" i="1"/>
  <c r="S37" i="2"/>
  <c r="O36" i="2"/>
</calcChain>
</file>

<file path=xl/sharedStrings.xml><?xml version="1.0" encoding="utf-8"?>
<sst xmlns="http://schemas.openxmlformats.org/spreadsheetml/2006/main" count="162" uniqueCount="112">
  <si>
    <t>ШАГИ</t>
  </si>
  <si>
    <t>кол-во</t>
  </si>
  <si>
    <t>дни</t>
  </si>
  <si>
    <t>MAX</t>
  </si>
  <si>
    <t>ЧАСЫ СНА (6:30 = 7, 6:29 = 6)</t>
  </si>
  <si>
    <t>MIN</t>
  </si>
  <si>
    <t>ДИСКРЕТНАЯ</t>
  </si>
  <si>
    <t>НЕПРЕРЫВНАЯ</t>
  </si>
  <si>
    <t>шаг</t>
  </si>
  <si>
    <t>интервал</t>
  </si>
  <si>
    <t>ni</t>
  </si>
  <si>
    <t>wi</t>
  </si>
  <si>
    <t>сумма</t>
  </si>
  <si>
    <t>проверим</t>
  </si>
  <si>
    <t>Xi</t>
  </si>
  <si>
    <t>Xi^2</t>
  </si>
  <si>
    <t>N</t>
  </si>
  <si>
    <t>коэф. Детерм.</t>
  </si>
  <si>
    <t>вариационнный ряд</t>
  </si>
  <si>
    <t>ряд распределения частот и частостей</t>
  </si>
  <si>
    <t>xi</t>
  </si>
  <si>
    <t>интервальный ряд распределения частот и частостей</t>
  </si>
  <si>
    <t>Интервал</t>
  </si>
  <si>
    <t>X</t>
  </si>
  <si>
    <t>Y</t>
  </si>
  <si>
    <t>накопл.</t>
  </si>
  <si>
    <t>средняя величина</t>
  </si>
  <si>
    <t>мода</t>
  </si>
  <si>
    <r>
      <rPr>
        <sz val="11"/>
        <color theme="1"/>
        <rFont val="Times New Roman"/>
        <family val="1"/>
        <charset val="204"/>
      </rPr>
      <t>медиана</t>
    </r>
    <r>
      <rPr>
        <i/>
        <sz val="11"/>
        <color theme="1"/>
        <rFont val="Times New Roman"/>
        <family val="1"/>
        <charset val="204"/>
      </rPr>
      <t xml:space="preserve"> М</t>
    </r>
    <r>
      <rPr>
        <i/>
        <vertAlign val="subscript"/>
        <sz val="11"/>
        <color theme="1"/>
        <rFont val="Times New Roman"/>
        <family val="1"/>
        <charset val="204"/>
      </rPr>
      <t>е</t>
    </r>
  </si>
  <si>
    <t>размах вариации R</t>
  </si>
  <si>
    <t>среднее линейное отклонение</t>
  </si>
  <si>
    <t>x-средняя в.</t>
  </si>
  <si>
    <t>|x-средняя в.|</t>
  </si>
  <si>
    <t>D общее</t>
  </si>
  <si>
    <t>среднее кв. отклонение σ</t>
  </si>
  <si>
    <t>коэффициент вариации</t>
  </si>
  <si>
    <t>ассиметрия</t>
  </si>
  <si>
    <t>эксцесс</t>
  </si>
  <si>
    <t>(x-средняя в.)^3</t>
  </si>
  <si>
    <t>(x-средняя в.)^4</t>
  </si>
  <si>
    <t>Эмпирическая функция распределения</t>
  </si>
  <si>
    <t>x - Xcp.</t>
  </si>
  <si>
    <t>(x - Xcp.)^2</t>
  </si>
  <si>
    <t>|x - Xcp.|</t>
  </si>
  <si>
    <t>(x - Xcp.)^3</t>
  </si>
  <si>
    <t>(x - Xcp.)^4</t>
  </si>
  <si>
    <t>Сумма</t>
  </si>
  <si>
    <t>Интервал эмпир.</t>
  </si>
  <si>
    <t>Интервал теор.</t>
  </si>
  <si>
    <t>&lt;=0.01</t>
  </si>
  <si>
    <t>Х^2набл.</t>
  </si>
  <si>
    <t>Х^2табл</t>
  </si>
  <si>
    <t>n</t>
  </si>
  <si>
    <t>Пирсон</t>
  </si>
  <si>
    <t>Критерий Пирсона</t>
  </si>
  <si>
    <t>Критерий Романовского</t>
  </si>
  <si>
    <t>R</t>
  </si>
  <si>
    <t>Степени свободы</t>
  </si>
  <si>
    <t>&lt;</t>
  </si>
  <si>
    <t>Критерий Ястремского</t>
  </si>
  <si>
    <t>нет оснований отклонить гипотезу</t>
  </si>
  <si>
    <t>гипотеза отвергается</t>
  </si>
  <si>
    <t>кол-во интервалов М</t>
  </si>
  <si>
    <t>Xi ср.</t>
  </si>
  <si>
    <t>Xср.</t>
  </si>
  <si>
    <t>Ni</t>
  </si>
  <si>
    <t>D гр</t>
  </si>
  <si>
    <t>D гр*ni</t>
  </si>
  <si>
    <t>(Xi ср. - X ср.)^2*Ni</t>
  </si>
  <si>
    <t>D общ.</t>
  </si>
  <si>
    <t>D ср.гр.</t>
  </si>
  <si>
    <t>D межгр.</t>
  </si>
  <si>
    <t>wi/h</t>
  </si>
  <si>
    <t>wi накопл.</t>
  </si>
  <si>
    <t>Ni накопл.</t>
  </si>
  <si>
    <t>D</t>
  </si>
  <si>
    <t>среднее линейное отклонение l</t>
  </si>
  <si>
    <t>коэффициент вариации V</t>
  </si>
  <si>
    <t>ассиметрия As</t>
  </si>
  <si>
    <t>эксцесс Ek</t>
  </si>
  <si>
    <t>D ср.гр. + D межгр.</t>
  </si>
  <si>
    <t>H0: Величина Х распределена по нормальному закону</t>
  </si>
  <si>
    <t>H1: Величина Х не распределена по нормальному закону</t>
  </si>
  <si>
    <t>уровень значимости</t>
  </si>
  <si>
    <t>0.05</t>
  </si>
  <si>
    <t>w*i</t>
  </si>
  <si>
    <t>(w*i-wi)^2/w*i</t>
  </si>
  <si>
    <t>x</t>
  </si>
  <si>
    <t>x &lt;= 4</t>
  </si>
  <si>
    <t>4 &lt; x &lt;=5</t>
  </si>
  <si>
    <t>5 &lt; x &lt;= 6</t>
  </si>
  <si>
    <t>6 &lt; x &lt;= 7</t>
  </si>
  <si>
    <t>7 &lt; x &lt;= 8</t>
  </si>
  <si>
    <t>8 &lt; x &lt;= 9</t>
  </si>
  <si>
    <t>9 &lt; x &lt;= 10</t>
  </si>
  <si>
    <t>x &gt; 10</t>
  </si>
  <si>
    <t>[360, 3368)</t>
  </si>
  <si>
    <t>[3368, 6376)</t>
  </si>
  <si>
    <t>[6376, 9384)</t>
  </si>
  <si>
    <t>[9384, 12392)</t>
  </si>
  <si>
    <t>[12392, 15400)</t>
  </si>
  <si>
    <t>[15400, 18408)</t>
  </si>
  <si>
    <t>[18408, 21416)</t>
  </si>
  <si>
    <t>Xi &lt; 360</t>
  </si>
  <si>
    <t>Xi &lt; 3368</t>
  </si>
  <si>
    <t>Xi &lt; 6376</t>
  </si>
  <si>
    <t>Xi &lt; 9384</t>
  </si>
  <si>
    <t>Xi &lt; 12392</t>
  </si>
  <si>
    <t>Xi &lt; 15400</t>
  </si>
  <si>
    <t>Xi &lt; 18408</t>
  </si>
  <si>
    <t>Xi &lt; 21416</t>
  </si>
  <si>
    <t>Xi &gt;= 22000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</si>
</sst>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mbria Math"/>
      <family val="1"/>
      <charset val="204"/>
    </font>
    <font>
      <i/>
      <sz val="11"/>
      <color theme="1"/>
      <name val="Times New Roman"/>
      <family val="1"/>
      <charset val="204"/>
    </font>
    <font>
      <i/>
      <vertAlign val="sub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A8A8"/>
        <bgColor indexed="64"/>
      </patternFill>
    </fill>
    <fill>
      <patternFill patternType="solid">
        <fgColor rgb="FFFFF2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/>
    <xf numFmtId="0" fontId="0" fillId="0" borderId="2" xfId="0" applyBorder="1"/>
    <xf numFmtId="16" fontId="1" fillId="0" borderId="1" xfId="0" applyNumberFormat="1" applyFont="1" applyBorder="1"/>
    <xf numFmtId="0" fontId="1" fillId="0" borderId="0" xfId="0" applyFont="1" applyBorder="1"/>
    <xf numFmtId="0" fontId="0" fillId="0" borderId="0" xfId="0" applyBorder="1"/>
    <xf numFmtId="16" fontId="1" fillId="0" borderId="0" xfId="0" applyNumberFormat="1" applyFont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16" fontId="1" fillId="0" borderId="1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6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7" xfId="0" applyFill="1" applyBorder="1"/>
    <xf numFmtId="0" fontId="2" fillId="2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4" borderId="1" xfId="0" applyFill="1" applyBorder="1"/>
    <xf numFmtId="0" fontId="0" fillId="0" borderId="8" xfId="0" applyBorder="1"/>
    <xf numFmtId="0" fontId="0" fillId="2" borderId="4" xfId="0" applyFill="1" applyBorder="1"/>
    <xf numFmtId="0" fontId="0" fillId="0" borderId="1" xfId="0" applyFill="1" applyBorder="1"/>
    <xf numFmtId="0" fontId="0" fillId="0" borderId="9" xfId="0" applyBorder="1"/>
    <xf numFmtId="0" fontId="0" fillId="2" borderId="1" xfId="0" applyFill="1" applyBorder="1" applyAlignment="1">
      <alignment vertical="top"/>
    </xf>
    <xf numFmtId="0" fontId="0" fillId="2" borderId="0" xfId="0" applyFill="1"/>
    <xf numFmtId="0" fontId="3" fillId="2" borderId="1" xfId="0" applyFont="1" applyFill="1" applyBorder="1"/>
    <xf numFmtId="0" fontId="0" fillId="3" borderId="0" xfId="0" applyFill="1"/>
    <xf numFmtId="0" fontId="0" fillId="2" borderId="1" xfId="0" applyFont="1" applyFill="1" applyBorder="1"/>
    <xf numFmtId="0" fontId="0" fillId="0" borderId="0" xfId="0" applyFill="1" applyBorder="1"/>
    <xf numFmtId="0" fontId="7" fillId="2" borderId="1" xfId="0" applyFont="1" applyFill="1" applyBorder="1" applyAlignment="1">
      <alignment horizontal="right"/>
    </xf>
    <xf numFmtId="0" fontId="0" fillId="0" borderId="0" xfId="0" applyBorder="1" applyAlignment="1">
      <alignment vertical="top"/>
    </xf>
    <xf numFmtId="1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3" xfId="0" applyFill="1" applyBorder="1"/>
    <xf numFmtId="0" fontId="0" fillId="0" borderId="0" xfId="0" applyFill="1" applyBorder="1" applyAlignment="1">
      <alignment vertical="top"/>
    </xf>
    <xf numFmtId="0" fontId="1" fillId="0" borderId="0" xfId="0" applyFont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8" fillId="5" borderId="1" xfId="0" applyFont="1" applyFill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AA8A8"/>
      <color rgb="FFFF8F8F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 cap="sq">
              <a:solidFill>
                <a:schemeClr val="tx1"/>
              </a:solidFill>
            </a:ln>
            <a:effectLst/>
          </c:spPr>
          <c:invertIfNegative val="0"/>
          <c:cat>
            <c:strRef>
              <c:f>Лист1!$U$11:$AA$11</c:f>
              <c:strCache>
                <c:ptCount val="7"/>
                <c:pt idx="0">
                  <c:v>[360, 3368)</c:v>
                </c:pt>
                <c:pt idx="1">
                  <c:v>[3368, 6376)</c:v>
                </c:pt>
                <c:pt idx="2">
                  <c:v>[6376, 9384)</c:v>
                </c:pt>
                <c:pt idx="3">
                  <c:v>[9384, 12392)</c:v>
                </c:pt>
                <c:pt idx="4">
                  <c:v>[12392, 15400)</c:v>
                </c:pt>
                <c:pt idx="5">
                  <c:v>[15400, 18408)</c:v>
                </c:pt>
                <c:pt idx="6">
                  <c:v>[18408, 21416)</c:v>
                </c:pt>
              </c:strCache>
            </c:strRef>
          </c:cat>
          <c:val>
            <c:numRef>
              <c:f>Лист1!$U$15:$AA$15</c:f>
              <c:numCache>
                <c:formatCode>General</c:formatCode>
                <c:ptCount val="7"/>
                <c:pt idx="0">
                  <c:v>0.05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0.16</c:v>
                </c:pt>
                <c:pt idx="5">
                  <c:v>0.08</c:v>
                </c:pt>
                <c:pt idx="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B-4B5E-9A17-819D047A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1"/>
        <c:axId val="463187311"/>
        <c:axId val="463189391"/>
      </c:barChart>
      <c:catAx>
        <c:axId val="46318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89391"/>
        <c:crosses val="autoZero"/>
        <c:auto val="1"/>
        <c:lblAlgn val="ctr"/>
        <c:lblOffset val="100"/>
        <c:noMultiLvlLbl val="0"/>
      </c:catAx>
      <c:valAx>
        <c:axId val="46318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8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miter lim="800000"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diamond"/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B648-45C8-A5B0-B9D77B8D8A5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648-45C8-A5B0-B9D77B8D8A51}"/>
              </c:ext>
            </c:extLst>
          </c:dPt>
          <c:cat>
            <c:numRef>
              <c:f>Лист1!$Z$19:$Z$28</c:f>
              <c:numCache>
                <c:formatCode>General</c:formatCode>
                <c:ptCount val="10"/>
                <c:pt idx="0">
                  <c:v>0</c:v>
                </c:pt>
                <c:pt idx="1">
                  <c:v>360</c:v>
                </c:pt>
                <c:pt idx="2">
                  <c:v>3368</c:v>
                </c:pt>
                <c:pt idx="3">
                  <c:v>6376</c:v>
                </c:pt>
                <c:pt idx="4">
                  <c:v>9384</c:v>
                </c:pt>
                <c:pt idx="5">
                  <c:v>12392</c:v>
                </c:pt>
                <c:pt idx="6">
                  <c:v>15400</c:v>
                </c:pt>
                <c:pt idx="7">
                  <c:v>18408</c:v>
                </c:pt>
                <c:pt idx="8">
                  <c:v>21416</c:v>
                </c:pt>
                <c:pt idx="9">
                  <c:v>22000</c:v>
                </c:pt>
              </c:numCache>
            </c:numRef>
          </c:cat>
          <c:val>
            <c:numRef>
              <c:f>Лист1!$AA$19:$AA$28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0.17</c:v>
                </c:pt>
                <c:pt idx="4">
                  <c:v>0.45</c:v>
                </c:pt>
                <c:pt idx="5">
                  <c:v>0.73</c:v>
                </c:pt>
                <c:pt idx="6">
                  <c:v>0.89</c:v>
                </c:pt>
                <c:pt idx="7">
                  <c:v>0.97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8-45C8-A5B0-B9D77B8D8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00207"/>
        <c:axId val="463191471"/>
      </c:lineChart>
      <c:catAx>
        <c:axId val="46320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91471"/>
        <c:crosses val="autoZero"/>
        <c:auto val="1"/>
        <c:lblAlgn val="ctr"/>
        <c:lblOffset val="100"/>
        <c:noMultiLvlLbl val="0"/>
      </c:catAx>
      <c:valAx>
        <c:axId val="4631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20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Эмпир.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Лист1!$AO$9:$AU$9</c:f>
              <c:strCache>
                <c:ptCount val="7"/>
                <c:pt idx="0">
                  <c:v>[360, 3368)</c:v>
                </c:pt>
                <c:pt idx="1">
                  <c:v>[3368, 6376)</c:v>
                </c:pt>
                <c:pt idx="2">
                  <c:v>[6376, 9384)</c:v>
                </c:pt>
                <c:pt idx="3">
                  <c:v>[9384, 12392)</c:v>
                </c:pt>
                <c:pt idx="4">
                  <c:v>[12392, 15400)</c:v>
                </c:pt>
                <c:pt idx="5">
                  <c:v>[15400, 18408)</c:v>
                </c:pt>
                <c:pt idx="6">
                  <c:v>[18408, 21416)</c:v>
                </c:pt>
              </c:strCache>
            </c:strRef>
          </c:cat>
          <c:val>
            <c:numRef>
              <c:f>Лист1!$AO$13:$AU$13</c:f>
              <c:numCache>
                <c:formatCode>General</c:formatCode>
                <c:ptCount val="7"/>
                <c:pt idx="0">
                  <c:v>0.05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0.16</c:v>
                </c:pt>
                <c:pt idx="5">
                  <c:v>0.08</c:v>
                </c:pt>
                <c:pt idx="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B-4EB9-B26E-220EA4D4BD4A}"/>
            </c:ext>
          </c:extLst>
        </c:ser>
        <c:ser>
          <c:idx val="1"/>
          <c:order val="1"/>
          <c:tx>
            <c:v>Теор.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Лист1!$AO$9:$AU$9</c:f>
              <c:strCache>
                <c:ptCount val="7"/>
                <c:pt idx="0">
                  <c:v>[360, 3368)</c:v>
                </c:pt>
                <c:pt idx="1">
                  <c:v>[3368, 6376)</c:v>
                </c:pt>
                <c:pt idx="2">
                  <c:v>[6376, 9384)</c:v>
                </c:pt>
                <c:pt idx="3">
                  <c:v>[9384, 12392)</c:v>
                </c:pt>
                <c:pt idx="4">
                  <c:v>[12392, 15400)</c:v>
                </c:pt>
                <c:pt idx="5">
                  <c:v>[15400, 18408)</c:v>
                </c:pt>
                <c:pt idx="6">
                  <c:v>[18408, 21416)</c:v>
                </c:pt>
              </c:strCache>
            </c:strRef>
          </c:cat>
          <c:val>
            <c:numRef>
              <c:f>Лист1!$AO$16:$AU$16</c:f>
              <c:numCache>
                <c:formatCode>General</c:formatCode>
                <c:ptCount val="7"/>
                <c:pt idx="0">
                  <c:v>6.1490592800546071E-2</c:v>
                </c:pt>
                <c:pt idx="1">
                  <c:v>0.13831020635326324</c:v>
                </c:pt>
                <c:pt idx="2">
                  <c:v>0.24362642417240721</c:v>
                </c:pt>
                <c:pt idx="3">
                  <c:v>0.2680692654645237</c:v>
                </c:pt>
                <c:pt idx="4">
                  <c:v>0.18427313644141219</c:v>
                </c:pt>
                <c:pt idx="5">
                  <c:v>7.9106957351345097E-2</c:v>
                </c:pt>
                <c:pt idx="6">
                  <c:v>2.512341741650248E-2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B-4EB9-B26E-220EA4D4B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532655"/>
        <c:axId val="2062537231"/>
      </c:barChart>
      <c:catAx>
        <c:axId val="20625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537231"/>
        <c:crosses val="autoZero"/>
        <c:auto val="1"/>
        <c:lblAlgn val="ctr"/>
        <c:lblOffset val="100"/>
        <c:noMultiLvlLbl val="0"/>
      </c:catAx>
      <c:valAx>
        <c:axId val="20625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5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Лист2!$J$10:$P$10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Лист2!$J$12:$P$12</c:f>
              <c:numCache>
                <c:formatCode>General</c:formatCode>
                <c:ptCount val="7"/>
                <c:pt idx="0">
                  <c:v>0.02</c:v>
                </c:pt>
                <c:pt idx="1">
                  <c:v>0.11</c:v>
                </c:pt>
                <c:pt idx="2">
                  <c:v>0.19</c:v>
                </c:pt>
                <c:pt idx="3">
                  <c:v>0.3</c:v>
                </c:pt>
                <c:pt idx="4">
                  <c:v>0.16</c:v>
                </c:pt>
                <c:pt idx="5">
                  <c:v>0.12</c:v>
                </c:pt>
                <c:pt idx="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9-41C9-8D28-D46CD156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53936"/>
        <c:axId val="77354768"/>
      </c:lineChart>
      <c:catAx>
        <c:axId val="773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54768"/>
        <c:crosses val="autoZero"/>
        <c:auto val="1"/>
        <c:lblAlgn val="ctr"/>
        <c:lblOffset val="100"/>
        <c:noMultiLvlLbl val="0"/>
      </c:catAx>
      <c:valAx>
        <c:axId val="77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114895746811981E-2"/>
          <c:y val="0.16786980194597154"/>
          <c:w val="0.88880582140294906"/>
          <c:h val="0.7271345494408058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  <a:tailEnd type="oval"/>
            </a:ln>
            <a:effectLst/>
          </c:spPr>
          <c:marker>
            <c:symbol val="none"/>
          </c:marker>
          <c:xVal>
            <c:numRef>
              <c:f>Лист2!$R$14:$R$15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Лист2!$S$14:$S$15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F-41F7-9112-55699209629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  <a:tailEnd type="oval"/>
            </a:ln>
            <a:effectLst/>
          </c:spPr>
          <c:marker>
            <c:symbol val="none"/>
          </c:marker>
          <c:xVal>
            <c:numRef>
              <c:f>Лист2!$R$16:$R$17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Лист2!$S$16:$S$17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AF-41F7-9112-55699209629C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  <a:tailEnd type="oval"/>
            </a:ln>
            <a:effectLst/>
          </c:spPr>
          <c:marker>
            <c:symbol val="none"/>
          </c:marker>
          <c:xVal>
            <c:numRef>
              <c:f>Лист2!$R$18:$R$19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Лист2!$S$18:$S$19</c:f>
              <c:numCache>
                <c:formatCode>General</c:formatCode>
                <c:ptCount val="2"/>
                <c:pt idx="0">
                  <c:v>0.13</c:v>
                </c:pt>
                <c:pt idx="1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AF-41F7-9112-55699209629C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  <a:tailEnd type="oval"/>
            </a:ln>
            <a:effectLst/>
          </c:spPr>
          <c:marker>
            <c:symbol val="none"/>
          </c:marker>
          <c:xVal>
            <c:numRef>
              <c:f>Лист2!$R$20:$R$21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Лист2!$S$20:$S$21</c:f>
              <c:numCache>
                <c:formatCode>General</c:formatCode>
                <c:ptCount val="2"/>
                <c:pt idx="0">
                  <c:v>0.32</c:v>
                </c:pt>
                <c:pt idx="1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AF-41F7-9112-55699209629C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  <a:tailEnd type="oval"/>
            </a:ln>
            <a:effectLst/>
          </c:spPr>
          <c:marker>
            <c:symbol val="none"/>
          </c:marker>
          <c:xVal>
            <c:numRef>
              <c:f>Лист2!$R$22:$R$23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Лист2!$S$22:$S$23</c:f>
              <c:numCache>
                <c:formatCode>General</c:formatCode>
                <c:ptCount val="2"/>
                <c:pt idx="0">
                  <c:v>0.62</c:v>
                </c:pt>
                <c:pt idx="1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AF-41F7-9112-55699209629C}"/>
            </c:ext>
          </c:extLst>
        </c:ser>
        <c:ser>
          <c:idx val="5"/>
          <c:order val="5"/>
          <c:tx>
            <c:strRef>
              <c:f>Лист2!$R$24:$R$25</c:f>
              <c:strCache>
                <c:ptCount val="2"/>
                <c:pt idx="0">
                  <c:v>8</c:v>
                </c:pt>
                <c:pt idx="1">
                  <c:v>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tailEnd type="oval"/>
            </a:ln>
            <a:effectLst/>
          </c:spPr>
          <c:marker>
            <c:symbol val="none"/>
          </c:marker>
          <c:xVal>
            <c:numRef>
              <c:f>Лист2!$R$24:$R$25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xVal>
          <c:yVal>
            <c:numRef>
              <c:f>Лист2!$S$24:$S$25</c:f>
              <c:numCache>
                <c:formatCode>General</c:formatCode>
                <c:ptCount val="2"/>
                <c:pt idx="0">
                  <c:v>0.78</c:v>
                </c:pt>
                <c:pt idx="1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5AF-41F7-9112-55699209629C}"/>
            </c:ext>
          </c:extLst>
        </c:ser>
        <c:ser>
          <c:idx val="6"/>
          <c:order val="6"/>
          <c:spPr>
            <a:ln w="19050" cap="rnd">
              <a:solidFill>
                <a:schemeClr val="accent1"/>
              </a:solidFill>
              <a:round/>
              <a:tailEnd type="oval"/>
            </a:ln>
            <a:effectLst/>
          </c:spPr>
          <c:marker>
            <c:symbol val="none"/>
          </c:marker>
          <c:xVal>
            <c:numRef>
              <c:f>Лист2!$R$26:$R$27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xVal>
          <c:yVal>
            <c:numRef>
              <c:f>Лист2!$S$26:$S$27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5AF-41F7-9112-55699209629C}"/>
            </c:ext>
          </c:extLst>
        </c:ser>
        <c:ser>
          <c:idx val="7"/>
          <c:order val="7"/>
          <c:tx>
            <c:strRef>
              <c:f>Лист2!$R$28:$R$29</c:f>
              <c:strCache>
                <c:ptCount val="2"/>
                <c:pt idx="0">
                  <c:v>10</c:v>
                </c:pt>
                <c:pt idx="1">
                  <c:v>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Лист2!$R$28:$R$29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xVal>
          <c:yVal>
            <c:numRef>
              <c:f>Лист2!$S$28:$S$29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5AF-41F7-9112-55699209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2560"/>
        <c:axId val="197162144"/>
      </c:scatterChart>
      <c:valAx>
        <c:axId val="19716256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62144"/>
        <c:crosses val="autoZero"/>
        <c:crossBetween val="midCat"/>
        <c:majorUnit val="1"/>
      </c:valAx>
      <c:valAx>
        <c:axId val="1971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Эмп.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Лист2!$J$34:$N$34</c:f>
              <c:strCache>
                <c:ptCount val="5"/>
                <c:pt idx="0">
                  <c:v>4 - 5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9 - 10</c:v>
                </c:pt>
              </c:strCache>
            </c:strRef>
          </c:cat>
          <c:val>
            <c:numRef>
              <c:f>Лист2!$J$36:$N$36</c:f>
              <c:numCache>
                <c:formatCode>General</c:formatCode>
                <c:ptCount val="5"/>
                <c:pt idx="0">
                  <c:v>0.13</c:v>
                </c:pt>
                <c:pt idx="1">
                  <c:v>0.19</c:v>
                </c:pt>
                <c:pt idx="2">
                  <c:v>0.3</c:v>
                </c:pt>
                <c:pt idx="3">
                  <c:v>0.16</c:v>
                </c:pt>
                <c:pt idx="4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8-4643-A1D0-CD5853A12544}"/>
            </c:ext>
          </c:extLst>
        </c:ser>
        <c:ser>
          <c:idx val="1"/>
          <c:order val="1"/>
          <c:tx>
            <c:v>Теор.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Лист2!$J$34:$N$34</c:f>
              <c:strCache>
                <c:ptCount val="5"/>
                <c:pt idx="0">
                  <c:v>4 - 5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9 - 10</c:v>
                </c:pt>
              </c:strCache>
            </c:strRef>
          </c:cat>
          <c:val>
            <c:numRef>
              <c:f>Лист2!$J$37:$N$37</c:f>
              <c:numCache>
                <c:formatCode>General</c:formatCode>
                <c:ptCount val="5"/>
                <c:pt idx="0">
                  <c:v>0.11927821637142283</c:v>
                </c:pt>
                <c:pt idx="1">
                  <c:v>0.14373025072756448</c:v>
                </c:pt>
                <c:pt idx="2">
                  <c:v>0.14845281610861308</c:v>
                </c:pt>
                <c:pt idx="3">
                  <c:v>0.13416423255815907</c:v>
                </c:pt>
                <c:pt idx="4">
                  <c:v>7.7923927912104562E-2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8-4643-A1D0-CD5853A1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255"/>
        <c:axId val="2062523087"/>
      </c:lineChart>
      <c:catAx>
        <c:axId val="20625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523087"/>
        <c:crosses val="autoZero"/>
        <c:auto val="1"/>
        <c:lblAlgn val="ctr"/>
        <c:lblOffset val="100"/>
        <c:noMultiLvlLbl val="0"/>
      </c:catAx>
      <c:valAx>
        <c:axId val="20625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52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6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774</xdr:colOff>
      <xdr:row>9</xdr:row>
      <xdr:rowOff>4379</xdr:rowOff>
    </xdr:from>
    <xdr:ext cx="1352433" cy="1751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CE7934-D4B3-4697-8844-1DCDD7B357E7}"/>
                </a:ext>
              </a:extLst>
            </xdr:cNvPr>
            <xdr:cNvSpPr txBox="1"/>
          </xdr:nvSpPr>
          <xdr:spPr>
            <a:xfrm>
              <a:off x="11334429" y="1694793"/>
              <a:ext cx="1352433" cy="175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l-GR" sz="1100" i="1">
                          <a:latin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ru-RU" sz="1100" b="0" i="1">
                          <a:latin typeface="Cambria Math" panose="02040503050406030204" pitchFamily="18" charset="0"/>
                        </a:rPr>
                        <m:t>общ</m:t>
                      </m:r>
                    </m:sub>
                    <m:sup>
                      <m:r>
                        <a:rPr lang="ru-RU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ru-RU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гр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ru-RU" sz="1100"/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межгр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CE7934-D4B3-4697-8844-1DCDD7B357E7}"/>
                </a:ext>
              </a:extLst>
            </xdr:cNvPr>
            <xdr:cNvSpPr txBox="1"/>
          </xdr:nvSpPr>
          <xdr:spPr>
            <a:xfrm>
              <a:off x="11334429" y="1694793"/>
              <a:ext cx="1352433" cy="175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ctr"/>
              <a:r>
                <a:rPr lang="el-GR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общ^2= 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гр^2</a:t>
              </a:r>
              <a:r>
                <a:rPr lang="ru-RU" sz="1100"/>
                <a:t> + 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межгр^2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19</xdr:col>
      <xdr:colOff>253999</xdr:colOff>
      <xdr:row>17</xdr:row>
      <xdr:rowOff>7258</xdr:rowOff>
    </xdr:from>
    <xdr:to>
      <xdr:col>24</xdr:col>
      <xdr:colOff>403677</xdr:colOff>
      <xdr:row>32</xdr:row>
      <xdr:rowOff>10887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C9D8CC1-39A0-4C1A-AF80-788B610E6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304718</xdr:colOff>
      <xdr:row>32</xdr:row>
      <xdr:rowOff>168275</xdr:rowOff>
    </xdr:from>
    <xdr:to>
      <xdr:col>24</xdr:col>
      <xdr:colOff>497279</xdr:colOff>
      <xdr:row>48</xdr:row>
      <xdr:rowOff>1443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F913AD-076D-4EFA-AC40-833803025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352425</xdr:colOff>
      <xdr:row>3</xdr:row>
      <xdr:rowOff>98425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7CE53D-82DF-4A2D-9CEC-CFD9A71BFA4C}"/>
            </a:ext>
          </a:extLst>
        </xdr:cNvPr>
        <xdr:cNvSpPr txBox="1"/>
      </xdr:nvSpPr>
      <xdr:spPr>
        <a:xfrm>
          <a:off x="7261225" y="6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29</xdr:col>
      <xdr:colOff>1159197</xdr:colOff>
      <xdr:row>10</xdr:row>
      <xdr:rowOff>158261</xdr:rowOff>
    </xdr:from>
    <xdr:to>
      <xdr:col>29</xdr:col>
      <xdr:colOff>1296377</xdr:colOff>
      <xdr:row>11</xdr:row>
      <xdr:rowOff>228111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3F3B5542-4094-4072-B340-CD69F905A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81097" y="2025161"/>
          <a:ext cx="13718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374187</xdr:colOff>
      <xdr:row>12</xdr:row>
      <xdr:rowOff>6838</xdr:rowOff>
    </xdr:from>
    <xdr:to>
      <xdr:col>29</xdr:col>
      <xdr:colOff>606368</xdr:colOff>
      <xdr:row>12</xdr:row>
      <xdr:rowOff>179212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752F70E-048C-4C46-9F29-3D835A000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5893" y="2277897"/>
          <a:ext cx="232181" cy="172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560293</xdr:colOff>
      <xdr:row>7</xdr:row>
      <xdr:rowOff>67236</xdr:rowOff>
    </xdr:from>
    <xdr:to>
      <xdr:col>51</xdr:col>
      <xdr:colOff>390788</xdr:colOff>
      <xdr:row>10</xdr:row>
      <xdr:rowOff>164354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2709F31-B86B-4F7C-997F-EED8DF807865}"/>
            </a:ext>
          </a:extLst>
        </xdr:cNvPr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4166117" y="1389530"/>
          <a:ext cx="1227495" cy="6574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44</xdr:col>
      <xdr:colOff>403412</xdr:colOff>
      <xdr:row>17</xdr:row>
      <xdr:rowOff>186018</xdr:rowOff>
    </xdr:from>
    <xdr:to>
      <xdr:col>49</xdr:col>
      <xdr:colOff>44823</xdr:colOff>
      <xdr:row>32</xdr:row>
      <xdr:rowOff>112806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CF0AE08-F7F9-4F2D-88B8-4B1A37B38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591004</xdr:colOff>
      <xdr:row>12</xdr:row>
      <xdr:rowOff>168275</xdr:rowOff>
    </xdr:from>
    <xdr:to>
      <xdr:col>15</xdr:col>
      <xdr:colOff>286203</xdr:colOff>
      <xdr:row>27</xdr:row>
      <xdr:rowOff>149225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1541D0-CFED-487A-8A01-1EE7FB677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603250</xdr:colOff>
      <xdr:row>13</xdr:row>
      <xdr:rowOff>16329</xdr:rowOff>
    </xdr:from>
    <xdr:to>
      <xdr:col>27</xdr:col>
      <xdr:colOff>489856</xdr:colOff>
      <xdr:row>28</xdr:row>
      <xdr:rowOff>38101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8C29105-38EC-4478-BB1D-66409FEF9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1159197</xdr:colOff>
      <xdr:row>16</xdr:row>
      <xdr:rowOff>158261</xdr:rowOff>
    </xdr:from>
    <xdr:to>
      <xdr:col>30</xdr:col>
      <xdr:colOff>1296377</xdr:colOff>
      <xdr:row>17</xdr:row>
      <xdr:rowOff>228111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AD4BB8A-B1F8-48C6-8F77-94C9C24A5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81097" y="2025161"/>
          <a:ext cx="1371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374187</xdr:colOff>
      <xdr:row>18</xdr:row>
      <xdr:rowOff>6838</xdr:rowOff>
    </xdr:from>
    <xdr:to>
      <xdr:col>30</xdr:col>
      <xdr:colOff>606368</xdr:colOff>
      <xdr:row>18</xdr:row>
      <xdr:rowOff>179212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17A0645-886E-4915-81A6-2E89885EC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6087" y="2261088"/>
          <a:ext cx="232181" cy="172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584200</xdr:colOff>
      <xdr:row>32</xdr:row>
      <xdr:rowOff>25400</xdr:rowOff>
    </xdr:from>
    <xdr:to>
      <xdr:col>19</xdr:col>
      <xdr:colOff>592495</xdr:colOff>
      <xdr:row>35</xdr:row>
      <xdr:rowOff>130362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DB42643-E5FA-487D-B22D-9B8296B40339}"/>
            </a:ext>
          </a:extLst>
        </xdr:cNvPr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0947400" y="5956300"/>
          <a:ext cx="1227495" cy="6574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73025</xdr:colOff>
      <xdr:row>38</xdr:row>
      <xdr:rowOff>104775</xdr:rowOff>
    </xdr:from>
    <xdr:to>
      <xdr:col>18</xdr:col>
      <xdr:colOff>377825</xdr:colOff>
      <xdr:row>53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3D20ED-C04F-429E-A2AD-4220CF6A7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079A-0B60-49C9-9D4E-286C332D9E01}">
  <dimension ref="A1:CX119"/>
  <sheetViews>
    <sheetView tabSelected="1" topLeftCell="AL15" zoomScale="85" zoomScaleNormal="85" workbookViewId="0">
      <selection activeCell="AP41" sqref="AP41"/>
    </sheetView>
  </sheetViews>
  <sheetFormatPr defaultRowHeight="14.5" x14ac:dyDescent="0.35"/>
  <cols>
    <col min="1" max="1" width="15" customWidth="1"/>
    <col min="7" max="7" width="8.7265625" customWidth="1"/>
    <col min="8" max="8" width="12" customWidth="1"/>
    <col min="9" max="9" width="10.81640625" customWidth="1"/>
    <col min="10" max="10" width="8.7265625" customWidth="1"/>
    <col min="11" max="11" width="13.26953125" customWidth="1"/>
    <col min="12" max="12" width="10.36328125" customWidth="1"/>
    <col min="13" max="13" width="18.26953125" customWidth="1"/>
    <col min="14" max="14" width="10.08984375" customWidth="1"/>
    <col min="15" max="15" width="17.08984375" customWidth="1"/>
    <col min="16" max="16" width="14.453125" customWidth="1"/>
    <col min="17" max="17" width="11.90625" customWidth="1"/>
    <col min="20" max="20" width="9.36328125" customWidth="1"/>
    <col min="21" max="26" width="12.6328125" customWidth="1"/>
    <col min="27" max="27" width="13.81640625" customWidth="1"/>
    <col min="28" max="28" width="11.81640625" bestFit="1" customWidth="1"/>
    <col min="29" max="29" width="10.7265625" customWidth="1"/>
    <col min="30" max="30" width="30.1796875" customWidth="1"/>
    <col min="31" max="31" width="9.7265625" customWidth="1"/>
    <col min="33" max="33" width="14.7265625" customWidth="1"/>
    <col min="34" max="34" width="11.81640625" bestFit="1" customWidth="1"/>
    <col min="35" max="35" width="16.54296875" customWidth="1"/>
    <col min="36" max="36" width="15.08984375" customWidth="1"/>
    <col min="37" max="37" width="11.81640625" bestFit="1" customWidth="1"/>
    <col min="39" max="39" width="11.81640625" bestFit="1" customWidth="1"/>
    <col min="40" max="40" width="18.1796875" customWidth="1"/>
    <col min="41" max="47" width="15.6328125" customWidth="1"/>
    <col min="48" max="48" width="15" customWidth="1"/>
    <col min="50" max="50" width="11.1796875" customWidth="1"/>
  </cols>
  <sheetData>
    <row r="1" spans="1:102" ht="15" thickBot="1" x14ac:dyDescent="0.4">
      <c r="A1" s="2" t="s">
        <v>7</v>
      </c>
    </row>
    <row r="2" spans="1:102" ht="15" thickBot="1" x14ac:dyDescent="0.4">
      <c r="A2" s="24" t="s">
        <v>0</v>
      </c>
    </row>
    <row r="3" spans="1:102" x14ac:dyDescent="0.35">
      <c r="A3" s="4"/>
      <c r="B3" s="6"/>
      <c r="C3" s="6"/>
      <c r="D3" s="6"/>
      <c r="E3" s="6"/>
      <c r="F3" s="6"/>
      <c r="G3" s="6"/>
      <c r="H3" s="6"/>
      <c r="I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</row>
    <row r="4" spans="1:102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 t="s">
        <v>81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</row>
    <row r="5" spans="1:102" x14ac:dyDescent="0.35">
      <c r="A5" s="18" t="s">
        <v>3</v>
      </c>
      <c r="B5" s="18">
        <f>MAX(B9:B108)</f>
        <v>21416</v>
      </c>
      <c r="AN5" s="42" t="s">
        <v>82</v>
      </c>
    </row>
    <row r="6" spans="1:102" x14ac:dyDescent="0.35">
      <c r="A6" s="18" t="s">
        <v>5</v>
      </c>
      <c r="B6" s="18">
        <f>MIN(B9:B108)</f>
        <v>360</v>
      </c>
      <c r="AN6" s="18" t="s">
        <v>83</v>
      </c>
      <c r="AO6" s="43" t="s">
        <v>84</v>
      </c>
    </row>
    <row r="7" spans="1:102" x14ac:dyDescent="0.35">
      <c r="G7" s="25" t="s">
        <v>8</v>
      </c>
      <c r="H7" s="8">
        <f>K8</f>
        <v>3008</v>
      </c>
      <c r="AN7" s="18" t="s">
        <v>57</v>
      </c>
      <c r="AO7" s="39">
        <f>7-1-2</f>
        <v>4</v>
      </c>
    </row>
    <row r="8" spans="1:102" x14ac:dyDescent="0.35">
      <c r="A8" s="17" t="s">
        <v>2</v>
      </c>
      <c r="B8" s="17" t="s">
        <v>1</v>
      </c>
      <c r="D8" s="17" t="s">
        <v>14</v>
      </c>
      <c r="E8" s="17" t="s">
        <v>15</v>
      </c>
      <c r="G8" s="17" t="s">
        <v>62</v>
      </c>
      <c r="H8" s="18"/>
      <c r="I8" s="7">
        <f>1+INT(3.322*LOG10($O$8))</f>
        <v>7</v>
      </c>
      <c r="J8" s="18" t="s">
        <v>8</v>
      </c>
      <c r="K8" s="7">
        <f>ROUNDUP((MAX(D9:D108)-MIN(D9:D108))/I8,0)</f>
        <v>3008</v>
      </c>
      <c r="L8" s="18" t="s">
        <v>64</v>
      </c>
      <c r="M8" s="7">
        <f>AVERAGE(D9:D108)</f>
        <v>9995.3799999999992</v>
      </c>
      <c r="N8" s="18" t="s">
        <v>16</v>
      </c>
      <c r="O8" s="7">
        <f>COUNTA(D9:D108)</f>
        <v>100</v>
      </c>
      <c r="AN8" s="18" t="s">
        <v>53</v>
      </c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5"/>
    </row>
    <row r="9" spans="1:102" x14ac:dyDescent="0.35">
      <c r="A9" s="3">
        <v>45551</v>
      </c>
      <c r="B9">
        <v>9493</v>
      </c>
      <c r="D9">
        <v>360</v>
      </c>
      <c r="E9" s="7">
        <f t="shared" ref="E9:E11" si="0">D9*D9</f>
        <v>129600</v>
      </c>
      <c r="G9" s="16"/>
      <c r="AO9" s="15" t="s">
        <v>96</v>
      </c>
      <c r="AP9" s="15" t="s">
        <v>97</v>
      </c>
      <c r="AQ9" s="15" t="s">
        <v>98</v>
      </c>
      <c r="AR9" s="15" t="s">
        <v>99</v>
      </c>
      <c r="AS9" s="47" t="s">
        <v>100</v>
      </c>
      <c r="AT9" s="15" t="s">
        <v>101</v>
      </c>
      <c r="AU9" s="15" t="s">
        <v>102</v>
      </c>
    </row>
    <row r="10" spans="1:102" x14ac:dyDescent="0.35">
      <c r="A10" s="3">
        <v>45552</v>
      </c>
      <c r="B10">
        <v>10865</v>
      </c>
      <c r="D10">
        <v>416</v>
      </c>
      <c r="E10" s="7">
        <f t="shared" si="0"/>
        <v>173056</v>
      </c>
      <c r="G10" s="18" t="s">
        <v>9</v>
      </c>
      <c r="H10" s="18" t="s">
        <v>65</v>
      </c>
      <c r="I10" s="18" t="s">
        <v>11</v>
      </c>
      <c r="J10" s="18" t="s">
        <v>63</v>
      </c>
      <c r="K10" s="18" t="s">
        <v>66</v>
      </c>
      <c r="L10" s="18" t="s">
        <v>67</v>
      </c>
      <c r="M10" s="18" t="s">
        <v>68</v>
      </c>
      <c r="O10" t="s">
        <v>13</v>
      </c>
      <c r="T10" s="18" t="s">
        <v>21</v>
      </c>
      <c r="U10" s="18"/>
      <c r="V10" s="18"/>
      <c r="W10" s="18"/>
      <c r="AN10" s="28" t="s">
        <v>47</v>
      </c>
      <c r="AO10" s="18">
        <v>360</v>
      </c>
      <c r="AP10" s="18">
        <f>AO11</f>
        <v>3368</v>
      </c>
      <c r="AQ10" s="18">
        <f t="shared" ref="AQ10:AU10" si="1">AP11</f>
        <v>6376</v>
      </c>
      <c r="AR10" s="18">
        <f t="shared" si="1"/>
        <v>9384</v>
      </c>
      <c r="AS10" s="18">
        <f t="shared" si="1"/>
        <v>12392</v>
      </c>
      <c r="AT10" s="18">
        <f t="shared" si="1"/>
        <v>15400</v>
      </c>
      <c r="AU10" s="18">
        <f t="shared" si="1"/>
        <v>18408</v>
      </c>
    </row>
    <row r="11" spans="1:102" ht="15" customHeight="1" x14ac:dyDescent="0.35">
      <c r="A11" s="3">
        <v>45553</v>
      </c>
      <c r="B11">
        <v>14025</v>
      </c>
      <c r="D11">
        <v>516</v>
      </c>
      <c r="E11" s="7">
        <f t="shared" si="0"/>
        <v>266256</v>
      </c>
      <c r="G11" s="8">
        <v>360</v>
      </c>
      <c r="H11" s="8">
        <f>COUNTIFS($D$9:$D$108, "&gt;="&amp;G11, $D$9:$D$108, "&lt;"&amp;G12)</f>
        <v>5</v>
      </c>
      <c r="I11" s="8">
        <f>H11/$O$8</f>
        <v>0.05</v>
      </c>
      <c r="J11" s="7">
        <f>SUMIFS($D$9:$D$108,$D$9:$D$108, "&gt;="&amp;G11,$D$9:$D$108, "&lt;"&amp;G12)/H11</f>
        <v>723.4</v>
      </c>
      <c r="K11" s="7">
        <f>SUMIFS($E$9:$E$108, $D$9:$D$108, "&gt;="&amp;G11,$D$9:$D$108, "&lt;"&amp;G12)/H11-POWER(J11,2)</f>
        <v>132501.44000000006</v>
      </c>
      <c r="L11" s="7">
        <f>K11*H11</f>
        <v>662507.2000000003</v>
      </c>
      <c r="M11" s="7">
        <f>POWER((J11-$M$8),2) * H11</f>
        <v>429848065.602</v>
      </c>
      <c r="T11" s="28" t="s">
        <v>22</v>
      </c>
      <c r="U11" s="15" t="s">
        <v>96</v>
      </c>
      <c r="V11" s="15" t="s">
        <v>97</v>
      </c>
      <c r="W11" s="15" t="s">
        <v>98</v>
      </c>
      <c r="X11" s="15" t="s">
        <v>99</v>
      </c>
      <c r="Y11" s="15" t="s">
        <v>100</v>
      </c>
      <c r="Z11" s="15" t="s">
        <v>101</v>
      </c>
      <c r="AA11" s="15" t="s">
        <v>102</v>
      </c>
      <c r="AC11" s="31"/>
      <c r="AD11" s="31"/>
      <c r="AE11" s="31"/>
      <c r="AF11" s="31"/>
      <c r="AG11" t="s">
        <v>32</v>
      </c>
      <c r="AH11" t="s">
        <v>31</v>
      </c>
      <c r="AI11" t="s">
        <v>38</v>
      </c>
      <c r="AJ11" t="s">
        <v>39</v>
      </c>
      <c r="AN11" s="28"/>
      <c r="AO11" s="28">
        <f>AO10+$K$8</f>
        <v>3368</v>
      </c>
      <c r="AP11" s="28">
        <f>AP10+$K$8</f>
        <v>6376</v>
      </c>
      <c r="AQ11" s="28">
        <f t="shared" ref="AQ11:AU11" si="2">AQ10+$K$8</f>
        <v>9384</v>
      </c>
      <c r="AR11" s="28">
        <f t="shared" si="2"/>
        <v>12392</v>
      </c>
      <c r="AS11" s="28">
        <f t="shared" si="2"/>
        <v>15400</v>
      </c>
      <c r="AT11" s="28">
        <f t="shared" si="2"/>
        <v>18408</v>
      </c>
      <c r="AU11" s="28">
        <f t="shared" si="2"/>
        <v>21416</v>
      </c>
      <c r="AV11" s="18" t="s">
        <v>46</v>
      </c>
    </row>
    <row r="12" spans="1:102" s="12" customFormat="1" ht="15.5" customHeight="1" x14ac:dyDescent="0.35">
      <c r="A12" s="11">
        <v>45554</v>
      </c>
      <c r="B12">
        <v>10577</v>
      </c>
      <c r="D12">
        <v>1102</v>
      </c>
      <c r="E12" s="7">
        <f>D12*D12</f>
        <v>1214404</v>
      </c>
      <c r="G12" s="13">
        <f>G11+$K$8</f>
        <v>3368</v>
      </c>
      <c r="H12" s="13"/>
      <c r="I12" s="14"/>
      <c r="J12" s="15"/>
      <c r="K12" s="15"/>
      <c r="L12" s="15"/>
      <c r="M12" s="15"/>
      <c r="O12" s="20" t="s">
        <v>69</v>
      </c>
      <c r="P12" s="21">
        <f>SUM(E9:E108) / $O$8 - POWER(M8,2)</f>
        <v>18462935.795600012</v>
      </c>
      <c r="Q12" s="21">
        <f>SQRT(P12)</f>
        <v>4296.8518470619874</v>
      </c>
      <c r="T12" s="18" t="s">
        <v>65</v>
      </c>
      <c r="U12" s="7">
        <v>5</v>
      </c>
      <c r="V12" s="7">
        <v>12</v>
      </c>
      <c r="W12" s="7">
        <v>28</v>
      </c>
      <c r="X12" s="7">
        <v>28</v>
      </c>
      <c r="Y12" s="7">
        <v>16</v>
      </c>
      <c r="Z12" s="7">
        <v>8</v>
      </c>
      <c r="AA12" s="7">
        <v>3</v>
      </c>
      <c r="AC12" s="31"/>
      <c r="AD12" s="32" t="s">
        <v>26</v>
      </c>
      <c r="AE12" s="26">
        <f>M8</f>
        <v>9995.3799999999992</v>
      </c>
      <c r="AF12" s="31"/>
      <c r="AG12">
        <f>ABS(D9-$AE$12)</f>
        <v>9635.3799999999992</v>
      </c>
      <c r="AH12" s="12">
        <f>D9-$AE$12</f>
        <v>-9635.3799999999992</v>
      </c>
      <c r="AI12" s="12">
        <f>POWER(AH12,3)</f>
        <v>-894553956925.43665</v>
      </c>
      <c r="AJ12" s="12">
        <f>POWER(AH12,4)</f>
        <v>8619367305480212</v>
      </c>
      <c r="AN12" s="18" t="s">
        <v>65</v>
      </c>
      <c r="AO12" s="7">
        <v>5</v>
      </c>
      <c r="AP12" s="7">
        <v>12</v>
      </c>
      <c r="AQ12" s="7">
        <v>28</v>
      </c>
      <c r="AR12" s="7">
        <v>28</v>
      </c>
      <c r="AS12" s="7">
        <v>16</v>
      </c>
      <c r="AT12" s="7">
        <v>8</v>
      </c>
      <c r="AU12" s="7">
        <v>3</v>
      </c>
      <c r="AV12" s="14">
        <f>SUM(AO12:AU12)</f>
        <v>100</v>
      </c>
      <c r="AX12">
        <f>1-AV16</f>
        <v>0</v>
      </c>
      <c r="AY12" t="s">
        <v>49</v>
      </c>
    </row>
    <row r="13" spans="1:102" x14ac:dyDescent="0.35">
      <c r="A13" s="3">
        <v>45555</v>
      </c>
      <c r="B13">
        <v>21416</v>
      </c>
      <c r="D13">
        <v>1223</v>
      </c>
      <c r="E13" s="7">
        <f>D13*D13</f>
        <v>1495729</v>
      </c>
      <c r="G13" s="8">
        <f>G12</f>
        <v>3368</v>
      </c>
      <c r="H13" s="8">
        <f>COUNTIFS($D$9:$D$108, "&gt;="&amp;G13, $D$9:$D$108, "&lt;"&amp;G14)</f>
        <v>12</v>
      </c>
      <c r="I13" s="8">
        <f t="shared" ref="I13" si="3">H13/$O$8</f>
        <v>0.12</v>
      </c>
      <c r="J13" s="7">
        <f t="shared" ref="J13" si="4">SUMIFS($D$9:$D$108,$D$9:$D$108, "&gt;="&amp;G13,$D$9:$D$108, "&lt;"&amp;G14)/H13</f>
        <v>4815.5</v>
      </c>
      <c r="K13" s="7">
        <f t="shared" ref="K13" si="5">SUMIFS($E$9:$E$108, $D$9:$D$108, "&gt;="&amp;G13,$D$9:$D$108, "&lt;"&amp;G14)/H13-POWER(J13,2)</f>
        <v>568617.58333333209</v>
      </c>
      <c r="L13" s="7">
        <f>K13*H13</f>
        <v>6823410.9999999851</v>
      </c>
      <c r="M13" s="7">
        <f t="shared" ref="M13" si="6">POWER((J13-$M$8),2) * H13</f>
        <v>321973881.77279991</v>
      </c>
      <c r="O13" s="18" t="s">
        <v>70</v>
      </c>
      <c r="P13" s="22">
        <f>SUM(L11:L24)/$O$8</f>
        <v>593071.55893452791</v>
      </c>
      <c r="Q13" s="21">
        <f>SQRT(P13)</f>
        <v>770.11139384801209</v>
      </c>
      <c r="T13" s="18" t="s">
        <v>74</v>
      </c>
      <c r="U13" s="7">
        <v>5</v>
      </c>
      <c r="V13" s="7">
        <f>U13+V12</f>
        <v>17</v>
      </c>
      <c r="W13" s="7">
        <f t="shared" ref="W13:AA13" si="7">V13+W12</f>
        <v>45</v>
      </c>
      <c r="X13" s="7">
        <f t="shared" si="7"/>
        <v>73</v>
      </c>
      <c r="Y13" s="7">
        <f t="shared" si="7"/>
        <v>89</v>
      </c>
      <c r="Z13" s="7">
        <f t="shared" si="7"/>
        <v>97</v>
      </c>
      <c r="AA13" s="7">
        <f t="shared" si="7"/>
        <v>100</v>
      </c>
      <c r="AC13" s="31"/>
      <c r="AD13" s="32" t="s">
        <v>27</v>
      </c>
      <c r="AE13" s="26">
        <f>9109+$K$8 * ((X12-W12)/((X12-W12)+(X12-Y12)))</f>
        <v>9109</v>
      </c>
      <c r="AF13" s="31"/>
      <c r="AG13">
        <f t="shared" ref="AG13:AG76" si="8">ABS(D10-$AE$12)</f>
        <v>9579.3799999999992</v>
      </c>
      <c r="AH13" s="12">
        <f t="shared" ref="AH13:AH76" si="9">D10-$AE$12</f>
        <v>-9579.3799999999992</v>
      </c>
      <c r="AI13" s="12">
        <f t="shared" ref="AI13:AI76" si="10">POWER(AH13,3)</f>
        <v>-879047218943.41736</v>
      </c>
      <c r="AJ13" s="12">
        <f t="shared" ref="AJ13:AJ76" si="11">POWER(AH13,4)</f>
        <v>8420727348202192</v>
      </c>
      <c r="AN13" s="18" t="s">
        <v>11</v>
      </c>
      <c r="AO13" s="15">
        <f>AO12/$O$8</f>
        <v>0.05</v>
      </c>
      <c r="AP13" s="15">
        <f t="shared" ref="AP13:AU13" si="12">AP12/$O$8</f>
        <v>0.12</v>
      </c>
      <c r="AQ13" s="15">
        <f t="shared" si="12"/>
        <v>0.28000000000000003</v>
      </c>
      <c r="AR13" s="15">
        <f t="shared" si="12"/>
        <v>0.28000000000000003</v>
      </c>
      <c r="AS13" s="15">
        <f t="shared" si="12"/>
        <v>0.16</v>
      </c>
      <c r="AT13" s="15">
        <f t="shared" si="12"/>
        <v>0.08</v>
      </c>
      <c r="AU13" s="15">
        <f t="shared" si="12"/>
        <v>0.03</v>
      </c>
      <c r="AV13" s="15">
        <f t="shared" ref="AV13:AV16" si="13">SUM(AO13:AU13)</f>
        <v>1</v>
      </c>
    </row>
    <row r="14" spans="1:102" ht="17" x14ac:dyDescent="0.45">
      <c r="A14" s="3">
        <v>45556</v>
      </c>
      <c r="B14">
        <v>7459</v>
      </c>
      <c r="D14">
        <v>3859</v>
      </c>
      <c r="E14" s="7">
        <f>D14*D14</f>
        <v>14891881</v>
      </c>
      <c r="G14" s="9">
        <f>G13+$K$8</f>
        <v>6376</v>
      </c>
      <c r="H14" s="13"/>
      <c r="I14" s="14"/>
      <c r="J14" s="15"/>
      <c r="K14" s="15"/>
      <c r="L14" s="15"/>
      <c r="M14" s="15"/>
      <c r="O14" s="18" t="s">
        <v>71</v>
      </c>
      <c r="P14" s="22">
        <f>SUM(M11:M24)/$O$8</f>
        <v>17869864.236665476</v>
      </c>
      <c r="Q14" s="21">
        <f>SQRT(P14)</f>
        <v>4227.2762195846008</v>
      </c>
      <c r="T14" s="18" t="s">
        <v>73</v>
      </c>
      <c r="U14" s="15">
        <f>U13/$O$8</f>
        <v>0.05</v>
      </c>
      <c r="V14" s="15">
        <f t="shared" ref="V14:AA14" si="14">V13/$O$8</f>
        <v>0.17</v>
      </c>
      <c r="W14" s="15">
        <f t="shared" si="14"/>
        <v>0.45</v>
      </c>
      <c r="X14" s="15">
        <f t="shared" si="14"/>
        <v>0.73</v>
      </c>
      <c r="Y14" s="15">
        <f t="shared" si="14"/>
        <v>0.89</v>
      </c>
      <c r="Z14" s="15">
        <f t="shared" si="14"/>
        <v>0.97</v>
      </c>
      <c r="AA14" s="15">
        <f t="shared" si="14"/>
        <v>1</v>
      </c>
      <c r="AC14" s="31"/>
      <c r="AD14" s="30" t="s">
        <v>28</v>
      </c>
      <c r="AE14" s="26">
        <f>9109+K8*((48-26)/59)</f>
        <v>10230.627118644068</v>
      </c>
      <c r="AF14" s="31"/>
      <c r="AG14">
        <f t="shared" si="8"/>
        <v>9479.3799999999992</v>
      </c>
      <c r="AH14" s="12">
        <f t="shared" si="9"/>
        <v>-9479.3799999999992</v>
      </c>
      <c r="AI14" s="12">
        <f t="shared" si="10"/>
        <v>-851804243988.09753</v>
      </c>
      <c r="AJ14" s="12">
        <f t="shared" si="11"/>
        <v>8074576114375892</v>
      </c>
      <c r="AN14" s="18" t="s">
        <v>48</v>
      </c>
      <c r="AO14" s="34" t="str">
        <f>"-∞"</f>
        <v>-∞</v>
      </c>
      <c r="AP14" s="18">
        <f>AP10</f>
        <v>3368</v>
      </c>
      <c r="AQ14" s="18">
        <f t="shared" ref="AQ14:AU14" si="15">AQ10</f>
        <v>6376</v>
      </c>
      <c r="AR14" s="18">
        <f t="shared" si="15"/>
        <v>9384</v>
      </c>
      <c r="AS14" s="18">
        <f t="shared" si="15"/>
        <v>12392</v>
      </c>
      <c r="AT14" s="18">
        <f t="shared" si="15"/>
        <v>15400</v>
      </c>
      <c r="AU14" s="44">
        <f t="shared" si="15"/>
        <v>18408</v>
      </c>
      <c r="AV14" s="35"/>
    </row>
    <row r="15" spans="1:102" x14ac:dyDescent="0.35">
      <c r="A15" s="3">
        <v>45557</v>
      </c>
      <c r="B15">
        <v>16166</v>
      </c>
      <c r="D15">
        <v>3927</v>
      </c>
      <c r="E15" s="7">
        <f>D15*D15</f>
        <v>15421329</v>
      </c>
      <c r="G15" s="8">
        <f t="shared" ref="G15" si="16">G14</f>
        <v>6376</v>
      </c>
      <c r="H15" s="8">
        <f>COUNTIFS($D$9:$D$108, "&gt;="&amp;G15, $D$9:$D$108, "&lt;"&amp;G16)</f>
        <v>28</v>
      </c>
      <c r="I15" s="8">
        <f t="shared" ref="I15" si="17">H15/$O$8</f>
        <v>0.28000000000000003</v>
      </c>
      <c r="J15" s="7">
        <f t="shared" ref="J15" si="18">SUMIFS($D$9:$D$108,$D$9:$D$108, "&gt;="&amp;G15,$D$9:$D$108, "&lt;"&amp;G16)/H15</f>
        <v>8013.9285714285716</v>
      </c>
      <c r="K15" s="7">
        <f t="shared" ref="K15" si="19">SUMIFS($E$9:$E$108, $D$9:$D$108, "&gt;="&amp;G15,$D$9:$D$108, "&lt;"&amp;G16)/H15-POWER(J15,2)</f>
        <v>596728.78061223775</v>
      </c>
      <c r="L15" s="7">
        <f>K15*H15</f>
        <v>16708405.857142657</v>
      </c>
      <c r="M15" s="7">
        <f t="shared" ref="M15" si="20">POWER((J15-$M$8),2) * H15</f>
        <v>109932193.38605705</v>
      </c>
      <c r="T15" s="18" t="s">
        <v>11</v>
      </c>
      <c r="U15" s="15">
        <f>U12/$O$8</f>
        <v>0.05</v>
      </c>
      <c r="V15" s="15">
        <f t="shared" ref="V15:AA15" si="21">V12/$O$8</f>
        <v>0.12</v>
      </c>
      <c r="W15" s="15">
        <f t="shared" si="21"/>
        <v>0.28000000000000003</v>
      </c>
      <c r="X15" s="15">
        <f t="shared" si="21"/>
        <v>0.28000000000000003</v>
      </c>
      <c r="Y15" s="15">
        <f t="shared" si="21"/>
        <v>0.16</v>
      </c>
      <c r="Z15" s="15">
        <f t="shared" si="21"/>
        <v>0.08</v>
      </c>
      <c r="AA15" s="15">
        <f t="shared" si="21"/>
        <v>0.03</v>
      </c>
      <c r="AC15" s="31"/>
      <c r="AD15" s="32" t="s">
        <v>29</v>
      </c>
      <c r="AE15" s="26">
        <f>B5-B6</f>
        <v>21056</v>
      </c>
      <c r="AF15" s="31"/>
      <c r="AG15">
        <f t="shared" si="8"/>
        <v>8893.3799999999992</v>
      </c>
      <c r="AH15" s="12">
        <f t="shared" si="9"/>
        <v>-8893.3799999999992</v>
      </c>
      <c r="AI15" s="12">
        <f t="shared" si="10"/>
        <v>-703397059221.3623</v>
      </c>
      <c r="AJ15" s="12">
        <f t="shared" si="11"/>
        <v>6255577338538079</v>
      </c>
      <c r="AN15" s="18"/>
      <c r="AO15" s="18">
        <f>AO11</f>
        <v>3368</v>
      </c>
      <c r="AP15" s="18">
        <f t="shared" ref="AP15:AT15" si="22">AP11</f>
        <v>6376</v>
      </c>
      <c r="AQ15" s="18">
        <f t="shared" si="22"/>
        <v>9384</v>
      </c>
      <c r="AR15" s="18">
        <f t="shared" si="22"/>
        <v>12392</v>
      </c>
      <c r="AS15" s="18">
        <f t="shared" si="22"/>
        <v>15400</v>
      </c>
      <c r="AT15" s="18">
        <f t="shared" si="22"/>
        <v>18408</v>
      </c>
      <c r="AU15" s="44" t="str">
        <f>"+∞"</f>
        <v>+∞</v>
      </c>
      <c r="AV15" s="35"/>
    </row>
    <row r="16" spans="1:102" x14ac:dyDescent="0.35">
      <c r="A16" s="3">
        <v>45558</v>
      </c>
      <c r="B16">
        <v>9020</v>
      </c>
      <c r="D16">
        <v>4095</v>
      </c>
      <c r="E16" s="7">
        <f>D16*D16</f>
        <v>16769025</v>
      </c>
      <c r="G16" s="9">
        <f>G15+$K$8</f>
        <v>9384</v>
      </c>
      <c r="H16" s="13"/>
      <c r="I16" s="14"/>
      <c r="J16" s="15"/>
      <c r="K16" s="15"/>
      <c r="L16" s="15"/>
      <c r="M16" s="15"/>
      <c r="O16" s="12"/>
      <c r="T16" s="18" t="s">
        <v>72</v>
      </c>
      <c r="U16" s="7">
        <f>U15/$K$8</f>
        <v>1.6622340425531915E-5</v>
      </c>
      <c r="V16" s="7">
        <f t="shared" ref="V16:AA16" si="23">V15/$K$8</f>
        <v>3.9893617021276594E-5</v>
      </c>
      <c r="W16" s="7">
        <f t="shared" si="23"/>
        <v>9.3085106382978728E-5</v>
      </c>
      <c r="X16" s="7">
        <f t="shared" si="23"/>
        <v>9.3085106382978728E-5</v>
      </c>
      <c r="Y16" s="7">
        <f t="shared" si="23"/>
        <v>5.3191489361702127E-5</v>
      </c>
      <c r="Z16" s="7">
        <f t="shared" si="23"/>
        <v>2.6595744680851064E-5</v>
      </c>
      <c r="AA16" s="7">
        <f t="shared" si="23"/>
        <v>9.9734042553191484E-6</v>
      </c>
      <c r="AC16" s="31"/>
      <c r="AD16" s="32" t="s">
        <v>76</v>
      </c>
      <c r="AE16" s="26">
        <f>SUM(AG12:AG106)/O8</f>
        <v>2867.9365999999995</v>
      </c>
      <c r="AF16" s="31"/>
      <c r="AG16">
        <f t="shared" si="8"/>
        <v>8772.3799999999992</v>
      </c>
      <c r="AH16" s="12">
        <f t="shared" si="9"/>
        <v>-8772.3799999999992</v>
      </c>
      <c r="AI16" s="12">
        <f t="shared" si="10"/>
        <v>-675075440149.84509</v>
      </c>
      <c r="AJ16" s="12">
        <f t="shared" si="11"/>
        <v>5922018289661697</v>
      </c>
      <c r="AN16" s="18" t="s">
        <v>85</v>
      </c>
      <c r="AO16" s="7">
        <f>_xlfn.NORM.DIST(AO15,$AE$12,$AE$18,TRUE)</f>
        <v>6.1490592800546071E-2</v>
      </c>
      <c r="AP16" s="7">
        <f>_xlfn.NORM.DIST(AP15,$AE$12,$AE$18,TRUE)-_xlfn.NORM.DIST(AP14,$AE$12,$AE$18,TRUE)</f>
        <v>0.13831020635326324</v>
      </c>
      <c r="AQ16" s="7">
        <f t="shared" ref="AQ16:AT16" si="24">_xlfn.NORM.DIST(AQ15,$AE$12,$AE$18,TRUE)-_xlfn.NORM.DIST(AQ14,$AE$12,$AE$18,TRUE)</f>
        <v>0.24362642417240721</v>
      </c>
      <c r="AR16" s="7">
        <f t="shared" si="24"/>
        <v>0.2680692654645237</v>
      </c>
      <c r="AS16" s="7">
        <f t="shared" si="24"/>
        <v>0.18427313644141219</v>
      </c>
      <c r="AT16" s="7">
        <f t="shared" si="24"/>
        <v>7.9106957351345097E-2</v>
      </c>
      <c r="AU16" s="7">
        <f>1-_xlfn.NORM.DIST(AU14,$AE$12,$AE$18,TRUE)</f>
        <v>2.512341741650248E-2</v>
      </c>
      <c r="AV16" s="15">
        <f t="shared" si="13"/>
        <v>1</v>
      </c>
    </row>
    <row r="17" spans="1:47" x14ac:dyDescent="0.35">
      <c r="A17" s="3">
        <v>45559</v>
      </c>
      <c r="B17">
        <v>8009</v>
      </c>
      <c r="D17">
        <v>4379</v>
      </c>
      <c r="E17" s="7">
        <f>D17*D17</f>
        <v>19175641</v>
      </c>
      <c r="G17" s="8">
        <f t="shared" ref="G17" si="25">G16</f>
        <v>9384</v>
      </c>
      <c r="H17" s="8">
        <f>COUNTIFS($D$9:$D$108, "&gt;="&amp;G17, $D$9:$D$108, "&lt;"&amp;G18)</f>
        <v>28</v>
      </c>
      <c r="I17" s="8">
        <f t="shared" ref="I17" si="26">H17/$O$8</f>
        <v>0.28000000000000003</v>
      </c>
      <c r="J17" s="7">
        <f t="shared" ref="J17" si="27">SUMIFS($D$9:$D$108,$D$9:$D$108, "&gt;="&amp;G17,$D$9:$D$108, "&lt;"&amp;G18)/H17</f>
        <v>10607.428571428571</v>
      </c>
      <c r="K17" s="7">
        <f>SUMIFS($E$9:$E$108, $D$9:$D$108, "&gt;="&amp;G17,$D$9:$D$108, "&lt;"&amp;G18)/H17-POWER(J17,2)</f>
        <v>542289.81632654369</v>
      </c>
      <c r="L17" s="7">
        <f>K17*H17</f>
        <v>15184114.857143223</v>
      </c>
      <c r="M17" s="7">
        <f t="shared" ref="M17" si="28">POWER((J17-$M$8),2) * H17</f>
        <v>10488896.706057142</v>
      </c>
      <c r="O17" s="23" t="s">
        <v>69</v>
      </c>
      <c r="P17" s="7">
        <f>P12</f>
        <v>18462935.795600012</v>
      </c>
      <c r="AC17" s="31"/>
      <c r="AD17" s="32" t="s">
        <v>75</v>
      </c>
      <c r="AE17" s="26">
        <f>P12</f>
        <v>18462935.795600012</v>
      </c>
      <c r="AF17" s="31"/>
      <c r="AG17">
        <f t="shared" si="8"/>
        <v>6136.3799999999992</v>
      </c>
      <c r="AH17" s="12">
        <f t="shared" si="9"/>
        <v>-6136.3799999999992</v>
      </c>
      <c r="AI17" s="12">
        <f t="shared" si="10"/>
        <v>-231066367679.60999</v>
      </c>
      <c r="AJ17" s="12">
        <f t="shared" si="11"/>
        <v>1417911037301805</v>
      </c>
      <c r="AN17" s="18" t="s">
        <v>86</v>
      </c>
      <c r="AO17" s="15">
        <f>(AO16-AO13)*(AO16-AO13)/AO16</f>
        <v>2.1472182474518054E-3</v>
      </c>
      <c r="AP17" s="15">
        <f>(AP16-AP13)*(AP16-AP13)/AP16</f>
        <v>2.4239979502508474E-3</v>
      </c>
      <c r="AQ17" s="15">
        <f>(AQ16-AQ13)*(AQ16-AQ13)/AQ16</f>
        <v>5.4305973704616315E-3</v>
      </c>
      <c r="AR17" s="15">
        <f t="shared" ref="AR17:AU17" si="29">(AR16-AR13)*(AR16-AR13)/AR16</f>
        <v>5.3099122090460296E-4</v>
      </c>
      <c r="AS17" s="15">
        <f t="shared" si="29"/>
        <v>3.1973469605035879E-3</v>
      </c>
      <c r="AT17" s="15">
        <f t="shared" si="29"/>
        <v>1.0081605955016623E-5</v>
      </c>
      <c r="AU17" s="15">
        <f t="shared" si="29"/>
        <v>9.465693818409668E-4</v>
      </c>
    </row>
    <row r="18" spans="1:47" x14ac:dyDescent="0.35">
      <c r="A18" s="3">
        <v>45560</v>
      </c>
      <c r="B18">
        <v>18659</v>
      </c>
      <c r="D18">
        <v>4393</v>
      </c>
      <c r="E18" s="7">
        <f>D18*D18</f>
        <v>19298449</v>
      </c>
      <c r="G18" s="9">
        <f>G17+$K$8</f>
        <v>12392</v>
      </c>
      <c r="H18" s="13"/>
      <c r="I18" s="14"/>
      <c r="J18" s="15"/>
      <c r="K18" s="15"/>
      <c r="L18" s="15"/>
      <c r="M18" s="15"/>
      <c r="O18" s="23" t="s">
        <v>80</v>
      </c>
      <c r="P18" s="7">
        <f>P13+P14</f>
        <v>18462935.795600004</v>
      </c>
      <c r="U18" s="12"/>
      <c r="Z18" s="18" t="s">
        <v>23</v>
      </c>
      <c r="AA18" s="18" t="s">
        <v>24</v>
      </c>
      <c r="AC18" s="31"/>
      <c r="AD18" s="32" t="s">
        <v>34</v>
      </c>
      <c r="AE18" s="26">
        <f>SQRT(AE17)</f>
        <v>4296.8518470619874</v>
      </c>
      <c r="AF18" s="31"/>
      <c r="AG18">
        <f t="shared" si="8"/>
        <v>6068.3799999999992</v>
      </c>
      <c r="AH18" s="12">
        <f t="shared" si="9"/>
        <v>-6068.3799999999992</v>
      </c>
      <c r="AI18" s="12">
        <f t="shared" si="10"/>
        <v>-223469524572.07239</v>
      </c>
      <c r="AJ18" s="12">
        <f t="shared" si="11"/>
        <v>1356097993522672.5</v>
      </c>
    </row>
    <row r="19" spans="1:47" x14ac:dyDescent="0.35">
      <c r="A19" s="3">
        <v>45561</v>
      </c>
      <c r="B19">
        <v>7540</v>
      </c>
      <c r="D19">
        <v>4413</v>
      </c>
      <c r="E19" s="7">
        <f>D19*D19</f>
        <v>19474569</v>
      </c>
      <c r="G19" s="8">
        <f t="shared" ref="G19" si="30">G18</f>
        <v>12392</v>
      </c>
      <c r="H19" s="8">
        <f>COUNTIFS($D$9:$D$108, "&gt;="&amp;G19, $D$9:$D$108, "&lt;"&amp;G20)</f>
        <v>16</v>
      </c>
      <c r="I19" s="8">
        <f t="shared" ref="I19" si="31">H19/$O$8</f>
        <v>0.16</v>
      </c>
      <c r="J19" s="7">
        <f>SUMIFS($D$9:$D$108,$D$9:$D$108, "&gt;="&amp;G19,$D$9:$D$108, "&lt;"&amp;G20)/H19</f>
        <v>13903.1875</v>
      </c>
      <c r="K19" s="7">
        <f t="shared" ref="K19" si="32">SUMIFS($E$9:$E$108, $D$9:$D$108, "&gt;="&amp;G19,$D$9:$D$108, "&lt;"&amp;G20)/H19-POWER(J19,2)</f>
        <v>515224.90234375</v>
      </c>
      <c r="L19" s="7">
        <f>K19*H19</f>
        <v>8243598.4375</v>
      </c>
      <c r="M19" s="7">
        <f t="shared" ref="M19" si="33">POWER((J19-$M$8),2) * H19</f>
        <v>244335351.3129001</v>
      </c>
      <c r="O19" s="23" t="s">
        <v>17</v>
      </c>
      <c r="P19" s="7">
        <f>P14/P12*100</f>
        <v>96.787772185852077</v>
      </c>
      <c r="Z19" s="7">
        <v>0</v>
      </c>
      <c r="AA19" s="7">
        <v>0</v>
      </c>
      <c r="AC19" s="31"/>
      <c r="AD19" s="32" t="s">
        <v>77</v>
      </c>
      <c r="AE19" s="7">
        <f>AE18/AE12*100</f>
        <v>42.988379101764892</v>
      </c>
      <c r="AF19" s="31"/>
      <c r="AG19">
        <f t="shared" si="8"/>
        <v>5900.3799999999992</v>
      </c>
      <c r="AH19" s="12">
        <f t="shared" si="9"/>
        <v>-5900.3799999999992</v>
      </c>
      <c r="AI19" s="12">
        <f t="shared" si="10"/>
        <v>-205418685955.93481</v>
      </c>
      <c r="AJ19" s="12">
        <f t="shared" si="11"/>
        <v>1212048306240678.5</v>
      </c>
      <c r="AN19" s="18" t="s">
        <v>50</v>
      </c>
      <c r="AO19" s="7">
        <f>$O$8*SUM(AO17:AU17)</f>
        <v>1.4686802737368461</v>
      </c>
    </row>
    <row r="20" spans="1:47" x14ac:dyDescent="0.35">
      <c r="A20" s="3">
        <v>45562</v>
      </c>
      <c r="B20">
        <v>11191</v>
      </c>
      <c r="D20">
        <v>4463</v>
      </c>
      <c r="E20" s="7">
        <f>D20*D20</f>
        <v>19918369</v>
      </c>
      <c r="G20" s="9">
        <f>G19+$K$8</f>
        <v>15400</v>
      </c>
      <c r="H20" s="13"/>
      <c r="I20" s="14"/>
      <c r="J20" s="15"/>
      <c r="K20" s="15"/>
      <c r="L20" s="15"/>
      <c r="M20" s="15"/>
      <c r="U20" s="12"/>
      <c r="Z20" s="7">
        <v>360</v>
      </c>
      <c r="AA20" s="7">
        <v>0</v>
      </c>
      <c r="AC20" s="31"/>
      <c r="AD20" s="32" t="s">
        <v>78</v>
      </c>
      <c r="AE20" s="7">
        <f>(SUM(AI12:AI106)/O8)/(AE18*AE18*AE18)</f>
        <v>-0.43593731588331613</v>
      </c>
      <c r="AF20" s="31"/>
      <c r="AG20">
        <f t="shared" si="8"/>
        <v>5616.3799999999992</v>
      </c>
      <c r="AH20" s="12">
        <f t="shared" si="9"/>
        <v>-5616.3799999999992</v>
      </c>
      <c r="AI20" s="12">
        <f t="shared" si="10"/>
        <v>-177161542308.746</v>
      </c>
      <c r="AJ20" s="12">
        <f t="shared" si="11"/>
        <v>995006542991994.63</v>
      </c>
      <c r="AN20" s="18" t="s">
        <v>51</v>
      </c>
      <c r="AO20" s="7">
        <f>_xlfn.CHISQ.INV(0.95,AO7)</f>
        <v>9.4877290367811575</v>
      </c>
    </row>
    <row r="21" spans="1:47" x14ac:dyDescent="0.35">
      <c r="A21" s="3">
        <v>45563</v>
      </c>
      <c r="B21">
        <v>15091</v>
      </c>
      <c r="D21">
        <v>5191</v>
      </c>
      <c r="E21" s="7">
        <f>D21*D21</f>
        <v>26946481</v>
      </c>
      <c r="G21" s="8">
        <f>G20</f>
        <v>15400</v>
      </c>
      <c r="H21" s="8">
        <f>COUNTIFS($D$9:$D$108, "&gt;="&amp;G21, $D$9:$D$108, "&lt;"&amp;G22)</f>
        <v>8</v>
      </c>
      <c r="I21" s="8">
        <f t="shared" ref="I21" si="34">H21/$O$8</f>
        <v>0.08</v>
      </c>
      <c r="J21" s="7">
        <f t="shared" ref="J21" si="35">SUMIFS($D$9:$D$108,$D$9:$D$108, "&gt;="&amp;G21,$D$9:$D$108, "&lt;"&amp;G22)/H21</f>
        <v>16761.625</v>
      </c>
      <c r="K21" s="7">
        <f t="shared" ref="K21" si="36">SUMIFS($E$9:$E$108, $D$9:$D$108, "&gt;="&amp;G21,$D$9:$D$108, "&lt;"&amp;G22)/H21-POWER(J21,2)</f>
        <v>985034.234375</v>
      </c>
      <c r="L21" s="7">
        <f>K21*H21</f>
        <v>7880273.875</v>
      </c>
      <c r="M21" s="7">
        <f t="shared" ref="M21" si="37">POWER((J21-$M$8),2) * H21</f>
        <v>366256571.20020008</v>
      </c>
      <c r="Z21" s="7">
        <f t="shared" ref="Z21:Z27" si="38">Z20+$K$8</f>
        <v>3368</v>
      </c>
      <c r="AA21" s="7">
        <f>$U$14</f>
        <v>0.05</v>
      </c>
      <c r="AC21" s="31"/>
      <c r="AD21" s="32" t="s">
        <v>79</v>
      </c>
      <c r="AE21" s="7">
        <f>(SUM(AJ12:AJ106)/O8)/(POWER(AE18,4))-3</f>
        <v>-1.1669507503032754</v>
      </c>
      <c r="AF21" s="31"/>
      <c r="AG21">
        <f t="shared" si="8"/>
        <v>5602.3799999999992</v>
      </c>
      <c r="AH21" s="12">
        <f t="shared" si="9"/>
        <v>-5602.3799999999992</v>
      </c>
      <c r="AI21" s="12">
        <f t="shared" si="10"/>
        <v>-175840005575.40121</v>
      </c>
      <c r="AJ21" s="12">
        <f t="shared" si="11"/>
        <v>985122530435516.13</v>
      </c>
    </row>
    <row r="22" spans="1:47" x14ac:dyDescent="0.35">
      <c r="A22" s="3">
        <v>45564</v>
      </c>
      <c r="B22">
        <v>7916</v>
      </c>
      <c r="D22">
        <v>5398</v>
      </c>
      <c r="E22" s="7">
        <f>D22*D22</f>
        <v>29138404</v>
      </c>
      <c r="G22" s="9">
        <f>G21+$K$8</f>
        <v>18408</v>
      </c>
      <c r="H22" s="13"/>
      <c r="I22" s="14"/>
      <c r="J22" s="15"/>
      <c r="K22" s="15"/>
      <c r="L22" s="15"/>
      <c r="M22" s="15"/>
      <c r="U22" s="12"/>
      <c r="Z22" s="7">
        <f t="shared" si="38"/>
        <v>6376</v>
      </c>
      <c r="AA22" s="7">
        <f>$V$14</f>
        <v>0.17</v>
      </c>
      <c r="AC22" s="31"/>
      <c r="AD22" s="31"/>
      <c r="AE22" s="31"/>
      <c r="AF22" s="31"/>
      <c r="AG22">
        <f t="shared" si="8"/>
        <v>5582.3799999999992</v>
      </c>
      <c r="AH22" s="12">
        <f t="shared" si="9"/>
        <v>-5582.3799999999992</v>
      </c>
      <c r="AI22" s="12">
        <f t="shared" si="10"/>
        <v>-173963520731.5372</v>
      </c>
      <c r="AJ22" s="12">
        <f t="shared" si="11"/>
        <v>971130478861318.38</v>
      </c>
      <c r="AN22" s="18" t="s">
        <v>60</v>
      </c>
      <c r="AO22" s="18"/>
    </row>
    <row r="23" spans="1:47" x14ac:dyDescent="0.35">
      <c r="A23" s="3">
        <v>45565</v>
      </c>
      <c r="B23">
        <v>7465</v>
      </c>
      <c r="D23">
        <v>5844</v>
      </c>
      <c r="E23" s="7">
        <f>D23*D23</f>
        <v>34152336</v>
      </c>
      <c r="G23" s="8">
        <f t="shared" ref="G23" si="39">G22</f>
        <v>18408</v>
      </c>
      <c r="H23" s="8">
        <f>COUNTIFS($D$9:$D$108, "&gt;="&amp;G23, $D$9:$D$108, "&lt;="&amp;G24)</f>
        <v>3</v>
      </c>
      <c r="I23" s="8">
        <f>H23/$O$8</f>
        <v>0.03</v>
      </c>
      <c r="J23" s="7">
        <f>SUMIFS($D$9:$D$108,$D$9:$D$108, "&gt;="&amp;G23,$D$9:$D$108, "&lt;="&amp;G24)/H23</f>
        <v>20064.333333333332</v>
      </c>
      <c r="K23" s="7">
        <f>SUMIFS($E$9:$E$108, $D$9:$D$108, "&gt;="&amp;G23,$D$9:$D$108, "&lt;="&amp;G24)/H23-POWER(J23,2)</f>
        <v>1268281.5555556417</v>
      </c>
      <c r="L23" s="7">
        <f>K23*H23</f>
        <v>3804844.666666925</v>
      </c>
      <c r="M23" s="7">
        <f t="shared" ref="M23" si="40">POWER((J23-$M$8),2) * H23</f>
        <v>304151463.68653333</v>
      </c>
      <c r="Z23" s="7">
        <f t="shared" si="38"/>
        <v>9384</v>
      </c>
      <c r="AA23" s="7">
        <f>$W$14</f>
        <v>0.45</v>
      </c>
      <c r="AG23">
        <f t="shared" si="8"/>
        <v>5532.3799999999992</v>
      </c>
      <c r="AH23" s="12">
        <f t="shared" si="9"/>
        <v>-5532.3799999999992</v>
      </c>
      <c r="AI23" s="12">
        <f t="shared" si="10"/>
        <v>-169330818611.8772</v>
      </c>
      <c r="AJ23" s="12">
        <f t="shared" si="11"/>
        <v>936802434271977</v>
      </c>
    </row>
    <row r="24" spans="1:47" ht="15" thickBot="1" x14ac:dyDescent="0.4">
      <c r="A24" s="3">
        <v>45566</v>
      </c>
      <c r="B24">
        <v>8296</v>
      </c>
      <c r="D24">
        <v>5881</v>
      </c>
      <c r="E24" s="7">
        <f>D24*D24</f>
        <v>34586161</v>
      </c>
      <c r="G24" s="10">
        <f>G23+$K$8</f>
        <v>21416</v>
      </c>
      <c r="H24" s="13"/>
      <c r="I24" s="14"/>
      <c r="J24" s="15"/>
      <c r="K24" s="15"/>
      <c r="L24" s="15"/>
      <c r="M24" s="7"/>
      <c r="Z24" s="7">
        <f t="shared" si="38"/>
        <v>12392</v>
      </c>
      <c r="AA24" s="7">
        <f>$X$14</f>
        <v>0.73</v>
      </c>
      <c r="AG24">
        <f t="shared" si="8"/>
        <v>4804.3799999999992</v>
      </c>
      <c r="AH24" s="12">
        <f t="shared" si="9"/>
        <v>-4804.3799999999992</v>
      </c>
      <c r="AI24" s="12">
        <f t="shared" si="10"/>
        <v>-110895021939.38762</v>
      </c>
      <c r="AJ24" s="12">
        <f t="shared" si="11"/>
        <v>532781825505155</v>
      </c>
    </row>
    <row r="25" spans="1:47" ht="15" thickBot="1" x14ac:dyDescent="0.4">
      <c r="A25" s="3">
        <v>45567</v>
      </c>
      <c r="B25">
        <v>11716</v>
      </c>
      <c r="D25">
        <v>5943</v>
      </c>
      <c r="E25" s="7">
        <f>D25*D25</f>
        <v>35319249</v>
      </c>
      <c r="G25" s="19" t="s">
        <v>12</v>
      </c>
      <c r="H25" s="2">
        <f>SUM(H11:H24)</f>
        <v>100</v>
      </c>
      <c r="I25" s="2">
        <f>SUM(I11:I24)</f>
        <v>1</v>
      </c>
      <c r="J25" s="27"/>
      <c r="Z25" s="7">
        <f t="shared" si="38"/>
        <v>15400</v>
      </c>
      <c r="AA25" s="7">
        <f>$Y$14</f>
        <v>0.89</v>
      </c>
      <c r="AG25">
        <f t="shared" si="8"/>
        <v>4597.3799999999992</v>
      </c>
      <c r="AH25" s="12">
        <f t="shared" si="9"/>
        <v>-4597.3799999999992</v>
      </c>
      <c r="AI25" s="12">
        <f t="shared" si="10"/>
        <v>-97169777110.735214</v>
      </c>
      <c r="AJ25" s="12">
        <f t="shared" si="11"/>
        <v>446726389893351.81</v>
      </c>
    </row>
    <row r="26" spans="1:47" x14ac:dyDescent="0.35">
      <c r="A26" s="3">
        <v>45568</v>
      </c>
      <c r="B26">
        <v>4463</v>
      </c>
      <c r="D26">
        <v>6503</v>
      </c>
      <c r="E26" s="7">
        <f>D26*D26</f>
        <v>42289009</v>
      </c>
      <c r="Z26" s="7">
        <f t="shared" si="38"/>
        <v>18408</v>
      </c>
      <c r="AA26" s="7">
        <f>$Z$14</f>
        <v>0.97</v>
      </c>
      <c r="AG26">
        <f t="shared" si="8"/>
        <v>4151.3799999999992</v>
      </c>
      <c r="AH26" s="12">
        <f t="shared" si="9"/>
        <v>-4151.3799999999992</v>
      </c>
      <c r="AI26" s="12">
        <f t="shared" si="10"/>
        <v>-71544699862.408035</v>
      </c>
      <c r="AJ26" s="12">
        <f t="shared" si="11"/>
        <v>297009236114803.44</v>
      </c>
    </row>
    <row r="27" spans="1:47" x14ac:dyDescent="0.35">
      <c r="A27" s="3">
        <v>45569</v>
      </c>
      <c r="B27">
        <v>14247</v>
      </c>
      <c r="D27">
        <v>6840</v>
      </c>
      <c r="E27" s="7">
        <f>D27*D27</f>
        <v>46785600</v>
      </c>
      <c r="Z27" s="7">
        <f t="shared" si="38"/>
        <v>21416</v>
      </c>
      <c r="AA27" s="7">
        <f>$AA$14</f>
        <v>1</v>
      </c>
      <c r="AG27">
        <f t="shared" si="8"/>
        <v>4114.3799999999992</v>
      </c>
      <c r="AH27" s="12">
        <f t="shared" si="9"/>
        <v>-4114.3799999999992</v>
      </c>
      <c r="AI27" s="12">
        <f t="shared" si="10"/>
        <v>-69648729821.679626</v>
      </c>
      <c r="AJ27" s="12">
        <f t="shared" si="11"/>
        <v>286561341003722.19</v>
      </c>
      <c r="AN27" s="18" t="s">
        <v>55</v>
      </c>
      <c r="AO27" s="18"/>
      <c r="AP27" s="18"/>
    </row>
    <row r="28" spans="1:47" x14ac:dyDescent="0.35">
      <c r="A28" s="3">
        <v>45570</v>
      </c>
      <c r="B28">
        <v>13015</v>
      </c>
      <c r="D28">
        <v>6980</v>
      </c>
      <c r="E28" s="7">
        <f>D28*D28</f>
        <v>48720400</v>
      </c>
      <c r="Z28" s="7">
        <v>22000</v>
      </c>
      <c r="AA28" s="7">
        <v>1</v>
      </c>
      <c r="AG28">
        <f t="shared" si="8"/>
        <v>4052.3799999999992</v>
      </c>
      <c r="AH28" s="12">
        <f t="shared" si="9"/>
        <v>-4052.3799999999992</v>
      </c>
      <c r="AI28" s="12">
        <f t="shared" si="10"/>
        <v>-66547307685.941231</v>
      </c>
      <c r="AJ28" s="12">
        <f t="shared" si="11"/>
        <v>269674978720354.44</v>
      </c>
    </row>
    <row r="29" spans="1:47" x14ac:dyDescent="0.35">
      <c r="A29" s="3">
        <v>45571</v>
      </c>
      <c r="B29">
        <v>6503</v>
      </c>
      <c r="D29">
        <v>7094</v>
      </c>
      <c r="E29" s="7">
        <f>D29*D29</f>
        <v>50324836</v>
      </c>
      <c r="AG29">
        <f t="shared" si="8"/>
        <v>3492.3799999999992</v>
      </c>
      <c r="AH29" s="12">
        <f t="shared" si="9"/>
        <v>-3492.3799999999992</v>
      </c>
      <c r="AI29" s="12">
        <f t="shared" si="10"/>
        <v>-42595574233.749245</v>
      </c>
      <c r="AJ29" s="12">
        <f t="shared" si="11"/>
        <v>148759931542461.16</v>
      </c>
      <c r="AN29" s="18" t="s">
        <v>56</v>
      </c>
      <c r="AO29" s="7">
        <f>ABS(AO19-AO7)/SQRT(2*AO7)</f>
        <v>0.89495667189597561</v>
      </c>
      <c r="AP29" s="37" t="s">
        <v>58</v>
      </c>
      <c r="AQ29" s="38">
        <v>3</v>
      </c>
    </row>
    <row r="30" spans="1:47" x14ac:dyDescent="0.35">
      <c r="A30" s="3">
        <v>45572</v>
      </c>
      <c r="B30">
        <v>15584</v>
      </c>
      <c r="D30">
        <v>7176</v>
      </c>
      <c r="E30" s="7">
        <f>D30*D30</f>
        <v>51494976</v>
      </c>
      <c r="AG30">
        <f t="shared" si="8"/>
        <v>3155.3799999999992</v>
      </c>
      <c r="AH30" s="12">
        <f t="shared" si="9"/>
        <v>-3155.3799999999992</v>
      </c>
      <c r="AI30" s="12">
        <f t="shared" si="10"/>
        <v>-31416297830.30085</v>
      </c>
      <c r="AJ30" s="12">
        <f t="shared" si="11"/>
        <v>99130357847774.688</v>
      </c>
    </row>
    <row r="31" spans="1:47" x14ac:dyDescent="0.35">
      <c r="A31" s="3">
        <v>45573</v>
      </c>
      <c r="B31">
        <v>11776</v>
      </c>
      <c r="D31">
        <v>7210</v>
      </c>
      <c r="E31" s="7">
        <f>D31*D31</f>
        <v>51984100</v>
      </c>
      <c r="AG31">
        <f t="shared" si="8"/>
        <v>3015.3799999999992</v>
      </c>
      <c r="AH31" s="12">
        <f t="shared" si="9"/>
        <v>-3015.3799999999992</v>
      </c>
      <c r="AI31" s="12">
        <f t="shared" si="10"/>
        <v>-27417392537.652851</v>
      </c>
      <c r="AJ31" s="12">
        <f t="shared" si="11"/>
        <v>82673857110187.625</v>
      </c>
      <c r="AN31" s="18" t="s">
        <v>60</v>
      </c>
      <c r="AO31" s="18"/>
    </row>
    <row r="32" spans="1:47" x14ac:dyDescent="0.35">
      <c r="A32" s="3">
        <v>45574</v>
      </c>
      <c r="B32">
        <v>10193</v>
      </c>
      <c r="D32">
        <v>7382</v>
      </c>
      <c r="E32" s="7">
        <f>D32*D32</f>
        <v>54493924</v>
      </c>
      <c r="AG32">
        <f t="shared" si="8"/>
        <v>2901.3799999999992</v>
      </c>
      <c r="AH32" s="12">
        <f t="shared" si="9"/>
        <v>-2901.3799999999992</v>
      </c>
      <c r="AI32" s="12">
        <f t="shared" si="10"/>
        <v>-24423833970.908051</v>
      </c>
      <c r="AJ32" s="12">
        <f t="shared" si="11"/>
        <v>70862823406513.172</v>
      </c>
    </row>
    <row r="33" spans="1:43" x14ac:dyDescent="0.35">
      <c r="A33" s="3">
        <v>45575</v>
      </c>
      <c r="B33">
        <v>12805</v>
      </c>
      <c r="D33">
        <v>7459</v>
      </c>
      <c r="E33" s="7">
        <f>D33*D33</f>
        <v>55636681</v>
      </c>
      <c r="AG33">
        <f t="shared" si="8"/>
        <v>2819.3799999999992</v>
      </c>
      <c r="AH33" s="12">
        <f t="shared" si="9"/>
        <v>-2819.3799999999992</v>
      </c>
      <c r="AI33" s="12">
        <f t="shared" si="10"/>
        <v>-22410979787.785652</v>
      </c>
      <c r="AJ33" s="12">
        <f t="shared" si="11"/>
        <v>63185068194087.094</v>
      </c>
    </row>
    <row r="34" spans="1:43" x14ac:dyDescent="0.35">
      <c r="A34" s="3">
        <v>45576</v>
      </c>
      <c r="B34">
        <v>14786</v>
      </c>
      <c r="D34">
        <v>7465</v>
      </c>
      <c r="E34" s="7">
        <f>D34*D34</f>
        <v>55726225</v>
      </c>
      <c r="AG34">
        <f t="shared" si="8"/>
        <v>2785.3799999999992</v>
      </c>
      <c r="AH34" s="12">
        <f t="shared" si="9"/>
        <v>-2785.3799999999992</v>
      </c>
      <c r="AI34" s="12">
        <f t="shared" si="10"/>
        <v>-21609929928.016853</v>
      </c>
      <c r="AJ34" s="12">
        <f t="shared" si="11"/>
        <v>60191866622899.563</v>
      </c>
    </row>
    <row r="35" spans="1:43" x14ac:dyDescent="0.35">
      <c r="A35" s="3">
        <v>45577</v>
      </c>
      <c r="B35">
        <v>10464</v>
      </c>
      <c r="D35">
        <v>7493</v>
      </c>
      <c r="E35" s="7">
        <f>D35*D35</f>
        <v>56145049</v>
      </c>
      <c r="AG35">
        <f t="shared" si="8"/>
        <v>2613.3799999999992</v>
      </c>
      <c r="AH35" s="12">
        <f t="shared" si="9"/>
        <v>-2613.3799999999992</v>
      </c>
      <c r="AI35" s="12">
        <f t="shared" si="10"/>
        <v>-17848745185.666454</v>
      </c>
      <c r="AJ35" s="12">
        <f t="shared" si="11"/>
        <v>46645553693316.984</v>
      </c>
      <c r="AN35" s="18" t="s">
        <v>59</v>
      </c>
      <c r="AO35" s="18"/>
    </row>
    <row r="36" spans="1:43" x14ac:dyDescent="0.35">
      <c r="A36" s="3">
        <v>45578</v>
      </c>
      <c r="B36">
        <v>7382</v>
      </c>
      <c r="D36">
        <v>7540</v>
      </c>
      <c r="E36" s="7">
        <f>D36*D36</f>
        <v>56851600</v>
      </c>
      <c r="AG36">
        <f t="shared" si="8"/>
        <v>2536.3799999999992</v>
      </c>
      <c r="AH36" s="12">
        <f t="shared" si="9"/>
        <v>-2536.3799999999992</v>
      </c>
      <c r="AI36" s="12">
        <f t="shared" si="10"/>
        <v>-16317099432.090057</v>
      </c>
      <c r="AJ36" s="12">
        <f t="shared" si="11"/>
        <v>41386364657564.57</v>
      </c>
    </row>
    <row r="37" spans="1:43" x14ac:dyDescent="0.35">
      <c r="A37" s="3">
        <v>45579</v>
      </c>
      <c r="B37">
        <v>7791</v>
      </c>
      <c r="D37">
        <v>7791</v>
      </c>
      <c r="E37" s="7">
        <f>D37*D37</f>
        <v>60699681</v>
      </c>
      <c r="AG37">
        <f t="shared" si="8"/>
        <v>2530.3799999999992</v>
      </c>
      <c r="AH37" s="12">
        <f t="shared" si="9"/>
        <v>-2530.3799999999992</v>
      </c>
      <c r="AI37" s="12">
        <f t="shared" si="10"/>
        <v>-16201575122.050856</v>
      </c>
      <c r="AJ37" s="12">
        <f t="shared" si="11"/>
        <v>40996141657335.031</v>
      </c>
      <c r="AN37" s="18" t="s">
        <v>56</v>
      </c>
      <c r="AO37" s="7">
        <f>ABS(AO19-AO7)/SQRT(2*7+2.4)</f>
        <v>0.62506485305326376</v>
      </c>
      <c r="AP37" s="37" t="s">
        <v>58</v>
      </c>
      <c r="AQ37" s="38">
        <v>3</v>
      </c>
    </row>
    <row r="38" spans="1:43" x14ac:dyDescent="0.35">
      <c r="A38" s="3">
        <v>45580</v>
      </c>
      <c r="B38">
        <v>9751</v>
      </c>
      <c r="D38">
        <v>7838</v>
      </c>
      <c r="E38" s="7">
        <f>D38*D38</f>
        <v>61434244</v>
      </c>
      <c r="AG38">
        <f t="shared" si="8"/>
        <v>2502.3799999999992</v>
      </c>
      <c r="AH38" s="12">
        <f t="shared" si="9"/>
        <v>-2502.3799999999992</v>
      </c>
      <c r="AI38" s="12">
        <f t="shared" si="10"/>
        <v>-15669667496.481258</v>
      </c>
      <c r="AJ38" s="12">
        <f t="shared" si="11"/>
        <v>39211462549844.758</v>
      </c>
    </row>
    <row r="39" spans="1:43" ht="15.5" customHeight="1" x14ac:dyDescent="0.35">
      <c r="A39" s="3">
        <v>45581</v>
      </c>
      <c r="B39">
        <v>10950</v>
      </c>
      <c r="D39">
        <v>7916</v>
      </c>
      <c r="E39" s="7">
        <f>D39*D39</f>
        <v>62663056</v>
      </c>
      <c r="AG39">
        <f t="shared" si="8"/>
        <v>2455.3799999999992</v>
      </c>
      <c r="AH39" s="12">
        <f t="shared" si="9"/>
        <v>-2455.3799999999992</v>
      </c>
      <c r="AI39" s="12">
        <f t="shared" si="10"/>
        <v>-14803218247.060856</v>
      </c>
      <c r="AJ39" s="12">
        <f t="shared" si="11"/>
        <v>36347526019468.273</v>
      </c>
      <c r="AN39" s="18" t="s">
        <v>60</v>
      </c>
      <c r="AO39" s="18"/>
    </row>
    <row r="40" spans="1:43" x14ac:dyDescent="0.35">
      <c r="A40" s="3">
        <v>45582</v>
      </c>
      <c r="B40">
        <v>7176</v>
      </c>
      <c r="D40">
        <v>8009</v>
      </c>
      <c r="E40" s="7">
        <f>D40*D40</f>
        <v>64144081</v>
      </c>
      <c r="AG40">
        <f t="shared" si="8"/>
        <v>2204.3799999999992</v>
      </c>
      <c r="AH40" s="12">
        <f t="shared" si="9"/>
        <v>-2204.3799999999992</v>
      </c>
      <c r="AI40" s="12">
        <f t="shared" si="10"/>
        <v>-10711724301.067661</v>
      </c>
      <c r="AJ40" s="12">
        <f t="shared" si="11"/>
        <v>23612710814787.523</v>
      </c>
    </row>
    <row r="41" spans="1:43" x14ac:dyDescent="0.35">
      <c r="A41" s="3">
        <v>45583</v>
      </c>
      <c r="B41">
        <v>14133</v>
      </c>
      <c r="D41">
        <v>8296</v>
      </c>
      <c r="E41" s="7">
        <f>D41*D41</f>
        <v>68823616</v>
      </c>
      <c r="AG41">
        <f t="shared" si="8"/>
        <v>2157.3799999999992</v>
      </c>
      <c r="AH41" s="12">
        <f t="shared" si="9"/>
        <v>-2157.3799999999992</v>
      </c>
      <c r="AI41" s="12">
        <f t="shared" si="10"/>
        <v>-10041068847.327261</v>
      </c>
      <c r="AJ41" s="12">
        <f t="shared" si="11"/>
        <v>21662401109846.875</v>
      </c>
    </row>
    <row r="42" spans="1:43" x14ac:dyDescent="0.35">
      <c r="A42" s="3">
        <v>45584</v>
      </c>
      <c r="B42">
        <v>20118</v>
      </c>
      <c r="D42">
        <v>8302</v>
      </c>
      <c r="E42" s="7">
        <f>D42*D42</f>
        <v>68923204</v>
      </c>
      <c r="AG42">
        <f t="shared" si="8"/>
        <v>2079.3799999999992</v>
      </c>
      <c r="AH42" s="12">
        <f t="shared" si="9"/>
        <v>-2079.3799999999992</v>
      </c>
      <c r="AI42" s="12">
        <f t="shared" si="10"/>
        <v>-8990867294.4176617</v>
      </c>
      <c r="AJ42" s="12">
        <f t="shared" si="11"/>
        <v>18695429634666.191</v>
      </c>
    </row>
    <row r="43" spans="1:43" x14ac:dyDescent="0.35">
      <c r="A43" s="3">
        <v>45585</v>
      </c>
      <c r="B43">
        <v>14244</v>
      </c>
      <c r="D43">
        <v>8422</v>
      </c>
      <c r="E43" s="7">
        <f>D43*D43</f>
        <v>70930084</v>
      </c>
      <c r="AG43">
        <f t="shared" si="8"/>
        <v>1986.3799999999992</v>
      </c>
      <c r="AH43" s="12">
        <f t="shared" si="9"/>
        <v>-1986.3799999999992</v>
      </c>
      <c r="AI43" s="12">
        <f t="shared" si="10"/>
        <v>-7837670499.8300619</v>
      </c>
      <c r="AJ43" s="12">
        <f t="shared" si="11"/>
        <v>15568591927452.432</v>
      </c>
    </row>
    <row r="44" spans="1:43" x14ac:dyDescent="0.35">
      <c r="A44" s="3">
        <v>45586</v>
      </c>
      <c r="B44">
        <v>14930</v>
      </c>
      <c r="D44">
        <v>8551</v>
      </c>
      <c r="E44" s="7">
        <f>D44*D44</f>
        <v>73119601</v>
      </c>
      <c r="AG44">
        <f t="shared" si="8"/>
        <v>1699.3799999999992</v>
      </c>
      <c r="AH44" s="12">
        <f t="shared" si="9"/>
        <v>-1699.3799999999992</v>
      </c>
      <c r="AI44" s="12">
        <f t="shared" si="10"/>
        <v>-4907626560.2016649</v>
      </c>
      <c r="AJ44" s="12">
        <f t="shared" si="11"/>
        <v>8339922423875.5</v>
      </c>
    </row>
    <row r="45" spans="1:43" x14ac:dyDescent="0.35">
      <c r="A45" s="3">
        <v>45587</v>
      </c>
      <c r="B45">
        <v>5844</v>
      </c>
      <c r="D45">
        <v>8592</v>
      </c>
      <c r="E45" s="7">
        <f>D45*D45</f>
        <v>73822464</v>
      </c>
      <c r="AG45">
        <f t="shared" si="8"/>
        <v>1693.3799999999992</v>
      </c>
      <c r="AH45" s="12">
        <f t="shared" si="9"/>
        <v>-1693.3799999999992</v>
      </c>
      <c r="AI45" s="12">
        <f t="shared" si="10"/>
        <v>-4855827814.3224659</v>
      </c>
      <c r="AJ45" s="12">
        <f t="shared" si="11"/>
        <v>8222761704217.373</v>
      </c>
    </row>
    <row r="46" spans="1:43" x14ac:dyDescent="0.35">
      <c r="A46" s="3">
        <v>45588</v>
      </c>
      <c r="B46">
        <v>17233</v>
      </c>
      <c r="D46">
        <v>8596</v>
      </c>
      <c r="E46" s="7">
        <f>D46*D46</f>
        <v>73891216</v>
      </c>
      <c r="AG46">
        <f t="shared" si="8"/>
        <v>1573.3799999999992</v>
      </c>
      <c r="AH46" s="12">
        <f t="shared" si="9"/>
        <v>-1573.3799999999992</v>
      </c>
      <c r="AI46" s="12">
        <f t="shared" si="10"/>
        <v>-3894940933.538466</v>
      </c>
      <c r="AJ46" s="12">
        <f t="shared" si="11"/>
        <v>6128222166010.748</v>
      </c>
    </row>
    <row r="47" spans="1:43" x14ac:dyDescent="0.35">
      <c r="A47" s="3">
        <v>45589</v>
      </c>
      <c r="B47">
        <v>7210</v>
      </c>
      <c r="D47">
        <v>8822</v>
      </c>
      <c r="E47" s="7">
        <f>D47*D47</f>
        <v>77827684</v>
      </c>
      <c r="AG47">
        <f t="shared" si="8"/>
        <v>1444.3799999999992</v>
      </c>
      <c r="AH47" s="12">
        <f t="shared" si="9"/>
        <v>-1444.3799999999992</v>
      </c>
      <c r="AI47" s="12">
        <f t="shared" si="10"/>
        <v>-3013314064.6356668</v>
      </c>
      <c r="AJ47" s="12">
        <f t="shared" si="11"/>
        <v>4352370568678.4624</v>
      </c>
    </row>
    <row r="48" spans="1:43" x14ac:dyDescent="0.35">
      <c r="A48" s="3">
        <v>45590</v>
      </c>
      <c r="B48">
        <v>13570</v>
      </c>
      <c r="D48">
        <v>8832</v>
      </c>
      <c r="E48" s="7">
        <f>D48*D48</f>
        <v>78004224</v>
      </c>
      <c r="AG48">
        <f t="shared" si="8"/>
        <v>1403.3799999999992</v>
      </c>
      <c r="AH48" s="12">
        <f t="shared" si="9"/>
        <v>-1403.3799999999992</v>
      </c>
      <c r="AI48" s="12">
        <f t="shared" si="10"/>
        <v>-2763922421.0944672</v>
      </c>
      <c r="AJ48" s="12">
        <f t="shared" si="11"/>
        <v>3878833447315.5513</v>
      </c>
    </row>
    <row r="49" spans="1:36" x14ac:dyDescent="0.35">
      <c r="A49" s="3">
        <v>45591</v>
      </c>
      <c r="B49">
        <v>12519</v>
      </c>
      <c r="D49">
        <v>8903</v>
      </c>
      <c r="E49" s="7">
        <f t="shared" ref="E49:E95" si="41">D49*D49</f>
        <v>79263409</v>
      </c>
      <c r="AG49">
        <f t="shared" si="8"/>
        <v>1399.3799999999992</v>
      </c>
      <c r="AH49" s="12">
        <f t="shared" si="9"/>
        <v>-1399.3799999999992</v>
      </c>
      <c r="AI49" s="12">
        <f t="shared" si="10"/>
        <v>-2740356014.2416673</v>
      </c>
      <c r="AJ49" s="12">
        <f t="shared" si="11"/>
        <v>3834799399209.5024</v>
      </c>
    </row>
    <row r="50" spans="1:36" x14ac:dyDescent="0.35">
      <c r="A50" s="3">
        <v>45592</v>
      </c>
      <c r="B50">
        <v>7493</v>
      </c>
      <c r="D50">
        <v>8935</v>
      </c>
      <c r="E50" s="7">
        <f t="shared" si="41"/>
        <v>79834225</v>
      </c>
      <c r="AG50">
        <f t="shared" si="8"/>
        <v>1173.3799999999992</v>
      </c>
      <c r="AH50" s="12">
        <f t="shared" si="9"/>
        <v>-1173.3799999999992</v>
      </c>
      <c r="AI50" s="12">
        <f t="shared" si="10"/>
        <v>-1615533784.2584689</v>
      </c>
      <c r="AJ50" s="12">
        <f t="shared" si="11"/>
        <v>1895635031773.2009</v>
      </c>
    </row>
    <row r="51" spans="1:36" x14ac:dyDescent="0.35">
      <c r="A51" s="3">
        <v>45593</v>
      </c>
      <c r="B51">
        <v>10027</v>
      </c>
      <c r="D51">
        <v>9020</v>
      </c>
      <c r="E51" s="7">
        <f t="shared" si="41"/>
        <v>81360400</v>
      </c>
      <c r="T51" s="41"/>
      <c r="U51" s="28" t="s">
        <v>103</v>
      </c>
      <c r="V51" s="28" t="s">
        <v>104</v>
      </c>
      <c r="W51" s="28" t="s">
        <v>105</v>
      </c>
      <c r="X51" s="28" t="s">
        <v>106</v>
      </c>
      <c r="Y51" s="28" t="s">
        <v>107</v>
      </c>
      <c r="Z51" s="28" t="s">
        <v>108</v>
      </c>
      <c r="AA51" s="28" t="s">
        <v>109</v>
      </c>
      <c r="AB51" s="28" t="s">
        <v>110</v>
      </c>
      <c r="AC51" s="28" t="s">
        <v>111</v>
      </c>
      <c r="AG51">
        <f t="shared" si="8"/>
        <v>1163.3799999999992</v>
      </c>
      <c r="AH51" s="12">
        <f t="shared" si="9"/>
        <v>-1163.3799999999992</v>
      </c>
      <c r="AI51" s="12">
        <f t="shared" si="10"/>
        <v>-1574580179.5264688</v>
      </c>
      <c r="AJ51" s="12">
        <f t="shared" si="11"/>
        <v>1831835089257.502</v>
      </c>
    </row>
    <row r="52" spans="1:36" x14ac:dyDescent="0.35">
      <c r="A52" s="3">
        <v>45594</v>
      </c>
      <c r="B52">
        <v>7094</v>
      </c>
      <c r="D52">
        <v>9043</v>
      </c>
      <c r="E52" s="7">
        <f t="shared" si="41"/>
        <v>81775849</v>
      </c>
      <c r="T52" s="18" t="s">
        <v>65</v>
      </c>
      <c r="U52" s="7">
        <v>0</v>
      </c>
      <c r="V52" s="7">
        <v>5</v>
      </c>
      <c r="W52" s="7">
        <v>17</v>
      </c>
      <c r="X52" s="7">
        <v>45</v>
      </c>
      <c r="Y52" s="7">
        <v>73</v>
      </c>
      <c r="Z52" s="7">
        <v>89</v>
      </c>
      <c r="AA52" s="7">
        <v>97</v>
      </c>
      <c r="AB52" s="7">
        <v>100</v>
      </c>
      <c r="AC52" s="26">
        <v>100</v>
      </c>
      <c r="AG52">
        <f t="shared" si="8"/>
        <v>1092.3799999999992</v>
      </c>
      <c r="AH52" s="12">
        <f t="shared" si="9"/>
        <v>-1092.3799999999992</v>
      </c>
      <c r="AI52" s="12">
        <f t="shared" si="10"/>
        <v>-1303530570.0692689</v>
      </c>
      <c r="AJ52" s="12">
        <f t="shared" si="11"/>
        <v>1423950724132.2671</v>
      </c>
    </row>
    <row r="53" spans="1:36" x14ac:dyDescent="0.35">
      <c r="A53" s="3">
        <v>45595</v>
      </c>
      <c r="B53">
        <v>14385</v>
      </c>
      <c r="D53">
        <v>9380</v>
      </c>
      <c r="E53" s="7">
        <f t="shared" si="41"/>
        <v>87984400</v>
      </c>
      <c r="T53" s="18" t="s">
        <v>11</v>
      </c>
      <c r="U53" s="7">
        <f>U52/$O$8</f>
        <v>0</v>
      </c>
      <c r="V53" s="7">
        <f t="shared" ref="V53:AC53" si="42">V52/$O$8</f>
        <v>0.05</v>
      </c>
      <c r="W53" s="7">
        <f t="shared" si="42"/>
        <v>0.17</v>
      </c>
      <c r="X53" s="7">
        <f t="shared" si="42"/>
        <v>0.45</v>
      </c>
      <c r="Y53" s="7">
        <f t="shared" si="42"/>
        <v>0.73</v>
      </c>
      <c r="Z53" s="7">
        <f t="shared" si="42"/>
        <v>0.89</v>
      </c>
      <c r="AA53" s="7">
        <f t="shared" si="42"/>
        <v>0.97</v>
      </c>
      <c r="AB53" s="7">
        <f t="shared" si="42"/>
        <v>1</v>
      </c>
      <c r="AC53" s="7">
        <f t="shared" si="42"/>
        <v>1</v>
      </c>
      <c r="AG53">
        <f t="shared" si="8"/>
        <v>1060.3799999999992</v>
      </c>
      <c r="AH53" s="12">
        <f t="shared" si="9"/>
        <v>-1060.3799999999992</v>
      </c>
      <c r="AI53" s="12">
        <f t="shared" si="10"/>
        <v>-1192297363.2468693</v>
      </c>
      <c r="AJ53" s="12">
        <f t="shared" si="11"/>
        <v>1264288278039.7144</v>
      </c>
    </row>
    <row r="54" spans="1:36" x14ac:dyDescent="0.35">
      <c r="A54" s="3">
        <v>45596</v>
      </c>
      <c r="B54">
        <v>3859</v>
      </c>
      <c r="D54">
        <v>9488</v>
      </c>
      <c r="E54" s="7">
        <f t="shared" si="41"/>
        <v>90022144</v>
      </c>
      <c r="AG54">
        <f t="shared" si="8"/>
        <v>975.3799999999992</v>
      </c>
      <c r="AH54" s="12">
        <f t="shared" si="9"/>
        <v>-975.3799999999992</v>
      </c>
      <c r="AI54" s="12">
        <f t="shared" si="10"/>
        <v>-927943509.92486978</v>
      </c>
      <c r="AJ54" s="12">
        <f t="shared" si="11"/>
        <v>905097540710.5188</v>
      </c>
    </row>
    <row r="55" spans="1:36" x14ac:dyDescent="0.35">
      <c r="A55" s="3">
        <v>45597</v>
      </c>
      <c r="B55">
        <v>11023</v>
      </c>
      <c r="D55">
        <v>9493</v>
      </c>
      <c r="E55" s="7">
        <f t="shared" si="41"/>
        <v>90117049</v>
      </c>
      <c r="AG55">
        <f t="shared" si="8"/>
        <v>952.3799999999992</v>
      </c>
      <c r="AH55" s="12">
        <f t="shared" si="9"/>
        <v>-952.3799999999992</v>
      </c>
      <c r="AI55" s="12">
        <f t="shared" si="10"/>
        <v>-863835007.0212698</v>
      </c>
      <c r="AJ55" s="12">
        <f t="shared" si="11"/>
        <v>822699183986.91626</v>
      </c>
    </row>
    <row r="56" spans="1:36" x14ac:dyDescent="0.35">
      <c r="A56" s="3">
        <v>45598</v>
      </c>
      <c r="B56">
        <v>5191</v>
      </c>
      <c r="D56">
        <v>9503</v>
      </c>
      <c r="E56" s="7">
        <f t="shared" si="41"/>
        <v>90307009</v>
      </c>
      <c r="AG56">
        <f t="shared" si="8"/>
        <v>615.3799999999992</v>
      </c>
      <c r="AH56" s="12">
        <f t="shared" si="9"/>
        <v>-615.3799999999992</v>
      </c>
      <c r="AI56" s="12">
        <f t="shared" si="10"/>
        <v>-233039817.97287109</v>
      </c>
      <c r="AJ56" s="12">
        <f t="shared" si="11"/>
        <v>143408043184.14523</v>
      </c>
    </row>
    <row r="57" spans="1:36" x14ac:dyDescent="0.35">
      <c r="A57" s="3">
        <v>45599</v>
      </c>
      <c r="B57">
        <v>10350</v>
      </c>
      <c r="D57">
        <v>9524</v>
      </c>
      <c r="E57" s="7">
        <f t="shared" si="41"/>
        <v>90706576</v>
      </c>
      <c r="AG57">
        <f t="shared" si="8"/>
        <v>507.3799999999992</v>
      </c>
      <c r="AH57" s="12">
        <f t="shared" si="9"/>
        <v>-507.3799999999992</v>
      </c>
      <c r="AI57" s="12">
        <f t="shared" si="10"/>
        <v>-130617098.54727139</v>
      </c>
      <c r="AJ57" s="12">
        <f t="shared" si="11"/>
        <v>66272503460.914444</v>
      </c>
    </row>
    <row r="58" spans="1:36" x14ac:dyDescent="0.35">
      <c r="A58" s="3">
        <v>45600</v>
      </c>
      <c r="B58">
        <v>17152</v>
      </c>
      <c r="D58">
        <v>9554</v>
      </c>
      <c r="E58" s="7">
        <f t="shared" si="41"/>
        <v>91278916</v>
      </c>
      <c r="AG58">
        <f t="shared" si="8"/>
        <v>502.3799999999992</v>
      </c>
      <c r="AH58" s="12">
        <f t="shared" si="9"/>
        <v>-502.3799999999992</v>
      </c>
      <c r="AI58" s="12">
        <f t="shared" si="10"/>
        <v>-126793510.0812714</v>
      </c>
      <c r="AJ58" s="12">
        <f t="shared" si="11"/>
        <v>63698523594.629021</v>
      </c>
    </row>
    <row r="59" spans="1:36" x14ac:dyDescent="0.35">
      <c r="A59" s="3">
        <v>45601</v>
      </c>
      <c r="B59">
        <v>11364</v>
      </c>
      <c r="D59">
        <v>9751</v>
      </c>
      <c r="E59" s="7">
        <f t="shared" si="41"/>
        <v>95082001</v>
      </c>
      <c r="AG59">
        <f t="shared" si="8"/>
        <v>492.3799999999992</v>
      </c>
      <c r="AH59" s="12">
        <f t="shared" si="9"/>
        <v>-492.3799999999992</v>
      </c>
      <c r="AI59" s="12">
        <f t="shared" si="10"/>
        <v>-119371654.14927141</v>
      </c>
      <c r="AJ59" s="12">
        <f t="shared" si="11"/>
        <v>58776215070.018166</v>
      </c>
    </row>
    <row r="60" spans="1:36" x14ac:dyDescent="0.35">
      <c r="A60" s="3">
        <v>45602</v>
      </c>
      <c r="B60">
        <v>11118</v>
      </c>
      <c r="D60">
        <v>10027</v>
      </c>
      <c r="E60" s="7">
        <f t="shared" si="41"/>
        <v>100540729</v>
      </c>
      <c r="AG60">
        <f t="shared" si="8"/>
        <v>471.3799999999992</v>
      </c>
      <c r="AH60" s="12">
        <f t="shared" si="9"/>
        <v>-471.3799999999992</v>
      </c>
      <c r="AI60" s="12">
        <f t="shared" si="10"/>
        <v>-104740213.83207147</v>
      </c>
      <c r="AJ60" s="12">
        <f t="shared" si="11"/>
        <v>49372441996.161766</v>
      </c>
    </row>
    <row r="61" spans="1:36" x14ac:dyDescent="0.35">
      <c r="A61" s="3">
        <v>45603</v>
      </c>
      <c r="B61">
        <v>9488</v>
      </c>
      <c r="D61">
        <v>10193</v>
      </c>
      <c r="E61" s="7">
        <f t="shared" si="41"/>
        <v>103897249</v>
      </c>
      <c r="AG61">
        <f t="shared" si="8"/>
        <v>441.3799999999992</v>
      </c>
      <c r="AH61" s="12">
        <f t="shared" si="9"/>
        <v>-441.3799999999992</v>
      </c>
      <c r="AI61" s="12">
        <f t="shared" si="10"/>
        <v>-85988020.43607153</v>
      </c>
      <c r="AJ61" s="12">
        <f t="shared" si="11"/>
        <v>37953392460.073181</v>
      </c>
    </row>
    <row r="62" spans="1:36" x14ac:dyDescent="0.35">
      <c r="A62" s="3">
        <v>45604</v>
      </c>
      <c r="B62">
        <v>18403</v>
      </c>
      <c r="D62">
        <v>10223</v>
      </c>
      <c r="E62" s="7">
        <f t="shared" si="41"/>
        <v>104509729</v>
      </c>
      <c r="AG62">
        <f t="shared" si="8"/>
        <v>244.3799999999992</v>
      </c>
      <c r="AH62" s="12">
        <f t="shared" si="9"/>
        <v>-244.3799999999992</v>
      </c>
      <c r="AI62" s="12">
        <f t="shared" si="10"/>
        <v>-14594760.795671856</v>
      </c>
      <c r="AJ62" s="12">
        <f t="shared" si="11"/>
        <v>3566667643.2462764</v>
      </c>
    </row>
    <row r="63" spans="1:36" x14ac:dyDescent="0.35">
      <c r="A63" s="3">
        <v>45605</v>
      </c>
      <c r="B63">
        <v>9503</v>
      </c>
      <c r="D63">
        <v>10304</v>
      </c>
      <c r="E63" s="7">
        <f t="shared" si="41"/>
        <v>106172416</v>
      </c>
      <c r="AG63">
        <f t="shared" si="8"/>
        <v>31.6200000000008</v>
      </c>
      <c r="AH63" s="12">
        <f t="shared" si="9"/>
        <v>31.6200000000008</v>
      </c>
      <c r="AI63" s="12">
        <f t="shared" si="10"/>
        <v>31614.447528002398</v>
      </c>
      <c r="AJ63" s="12">
        <f t="shared" si="11"/>
        <v>999648.83083546115</v>
      </c>
    </row>
    <row r="64" spans="1:36" x14ac:dyDescent="0.35">
      <c r="A64" s="3">
        <v>45606</v>
      </c>
      <c r="B64">
        <v>5943</v>
      </c>
      <c r="D64">
        <v>10350</v>
      </c>
      <c r="E64" s="7">
        <f t="shared" si="41"/>
        <v>107122500</v>
      </c>
      <c r="AG64">
        <f t="shared" si="8"/>
        <v>197.6200000000008</v>
      </c>
      <c r="AH64" s="12">
        <f t="shared" si="9"/>
        <v>197.6200000000008</v>
      </c>
      <c r="AI64" s="12">
        <f t="shared" si="10"/>
        <v>7717785.1587280938</v>
      </c>
      <c r="AJ64" s="12">
        <f t="shared" si="11"/>
        <v>1525188703.067852</v>
      </c>
    </row>
    <row r="65" spans="1:36" x14ac:dyDescent="0.35">
      <c r="A65" s="3">
        <v>45607</v>
      </c>
      <c r="B65">
        <v>11484</v>
      </c>
      <c r="D65">
        <v>10377</v>
      </c>
      <c r="E65" s="7">
        <f t="shared" si="41"/>
        <v>107682129</v>
      </c>
      <c r="AG65">
        <f t="shared" si="8"/>
        <v>227.6200000000008</v>
      </c>
      <c r="AH65" s="12">
        <f t="shared" si="9"/>
        <v>227.6200000000008</v>
      </c>
      <c r="AI65" s="12">
        <f t="shared" si="10"/>
        <v>11793188.954728125</v>
      </c>
      <c r="AJ65" s="12">
        <f t="shared" si="11"/>
        <v>2684365669.8752251</v>
      </c>
    </row>
    <row r="66" spans="1:36" x14ac:dyDescent="0.35">
      <c r="A66" s="3">
        <v>45608</v>
      </c>
      <c r="B66">
        <v>7838</v>
      </c>
      <c r="D66">
        <v>10464</v>
      </c>
      <c r="E66" s="7">
        <f t="shared" si="41"/>
        <v>109495296</v>
      </c>
      <c r="AG66">
        <f t="shared" si="8"/>
        <v>308.6200000000008</v>
      </c>
      <c r="AH66" s="12">
        <f t="shared" si="9"/>
        <v>308.6200000000008</v>
      </c>
      <c r="AI66" s="12">
        <f t="shared" si="10"/>
        <v>29394914.463928226</v>
      </c>
      <c r="AJ66" s="12">
        <f t="shared" si="11"/>
        <v>9071858501.8575516</v>
      </c>
    </row>
    <row r="67" spans="1:36" x14ac:dyDescent="0.35">
      <c r="A67" s="3">
        <v>45609</v>
      </c>
      <c r="B67">
        <v>13515</v>
      </c>
      <c r="D67">
        <v>10486</v>
      </c>
      <c r="E67" s="7">
        <f t="shared" si="41"/>
        <v>109956196</v>
      </c>
      <c r="AG67">
        <f t="shared" si="8"/>
        <v>354.6200000000008</v>
      </c>
      <c r="AH67" s="12">
        <f t="shared" si="9"/>
        <v>354.6200000000008</v>
      </c>
      <c r="AI67" s="12">
        <f t="shared" si="10"/>
        <v>44595360.231128305</v>
      </c>
      <c r="AJ67" s="12">
        <f t="shared" si="11"/>
        <v>15814406645.162754</v>
      </c>
    </row>
    <row r="68" spans="1:36" x14ac:dyDescent="0.35">
      <c r="A68" s="3">
        <v>45610</v>
      </c>
      <c r="B68">
        <v>8302</v>
      </c>
      <c r="D68">
        <v>10577</v>
      </c>
      <c r="E68" s="7">
        <f t="shared" si="41"/>
        <v>111872929</v>
      </c>
      <c r="AG68">
        <f t="shared" si="8"/>
        <v>381.6200000000008</v>
      </c>
      <c r="AH68" s="12">
        <f t="shared" si="9"/>
        <v>381.6200000000008</v>
      </c>
      <c r="AI68" s="12">
        <f t="shared" si="10"/>
        <v>55576780.067528352</v>
      </c>
      <c r="AJ68" s="12">
        <f t="shared" si="11"/>
        <v>21209210809.370216</v>
      </c>
    </row>
    <row r="69" spans="1:36" x14ac:dyDescent="0.35">
      <c r="A69" s="3">
        <v>45611</v>
      </c>
      <c r="B69">
        <v>11600</v>
      </c>
      <c r="D69">
        <v>10590</v>
      </c>
      <c r="E69" s="7">
        <f t="shared" si="41"/>
        <v>112148100</v>
      </c>
      <c r="AG69">
        <f t="shared" si="8"/>
        <v>468.6200000000008</v>
      </c>
      <c r="AH69" s="12">
        <f t="shared" si="9"/>
        <v>468.6200000000008</v>
      </c>
      <c r="AI69" s="12">
        <f t="shared" si="10"/>
        <v>102911156.57592852</v>
      </c>
      <c r="AJ69" s="12">
        <f t="shared" si="11"/>
        <v>48226226194.61171</v>
      </c>
    </row>
    <row r="70" spans="1:36" x14ac:dyDescent="0.35">
      <c r="A70" s="3">
        <v>45612</v>
      </c>
      <c r="B70">
        <v>1223</v>
      </c>
      <c r="D70">
        <v>10865</v>
      </c>
      <c r="E70" s="7">
        <f t="shared" si="41"/>
        <v>118048225</v>
      </c>
      <c r="AG70">
        <f t="shared" si="8"/>
        <v>490.6200000000008</v>
      </c>
      <c r="AH70" s="12">
        <f t="shared" si="9"/>
        <v>490.6200000000008</v>
      </c>
      <c r="AI70" s="12">
        <f t="shared" si="10"/>
        <v>118096151.30632856</v>
      </c>
      <c r="AJ70" s="12">
        <f t="shared" si="11"/>
        <v>57940333753.911018</v>
      </c>
    </row>
    <row r="71" spans="1:36" x14ac:dyDescent="0.35">
      <c r="A71" s="3">
        <v>45613</v>
      </c>
      <c r="B71">
        <v>17904</v>
      </c>
      <c r="D71">
        <v>10950</v>
      </c>
      <c r="E71" s="7">
        <f t="shared" si="41"/>
        <v>119902500</v>
      </c>
      <c r="AG71">
        <f t="shared" si="8"/>
        <v>581.6200000000008</v>
      </c>
      <c r="AH71" s="12">
        <f t="shared" si="9"/>
        <v>581.6200000000008</v>
      </c>
      <c r="AI71" s="12">
        <f t="shared" si="10"/>
        <v>196751474.7075288</v>
      </c>
      <c r="AJ71" s="12">
        <f t="shared" si="11"/>
        <v>114434592719.39305</v>
      </c>
    </row>
    <row r="72" spans="1:36" x14ac:dyDescent="0.35">
      <c r="A72" s="3">
        <v>45614</v>
      </c>
      <c r="B72">
        <v>13978</v>
      </c>
      <c r="D72">
        <v>11023</v>
      </c>
      <c r="E72" s="7">
        <f t="shared" si="41"/>
        <v>121506529</v>
      </c>
      <c r="AG72">
        <f t="shared" si="8"/>
        <v>594.6200000000008</v>
      </c>
      <c r="AH72" s="12">
        <f t="shared" si="9"/>
        <v>594.6200000000008</v>
      </c>
      <c r="AI72" s="12">
        <f t="shared" si="10"/>
        <v>210241544.19912887</v>
      </c>
      <c r="AJ72" s="12">
        <f t="shared" si="11"/>
        <v>125013827011.68617</v>
      </c>
    </row>
    <row r="73" spans="1:36" x14ac:dyDescent="0.35">
      <c r="A73" s="3">
        <v>45615</v>
      </c>
      <c r="B73">
        <v>6840</v>
      </c>
      <c r="D73">
        <v>11118</v>
      </c>
      <c r="E73" s="7">
        <f t="shared" si="41"/>
        <v>123609924</v>
      </c>
      <c r="AG73">
        <f t="shared" si="8"/>
        <v>869.6200000000008</v>
      </c>
      <c r="AH73" s="12">
        <f t="shared" si="9"/>
        <v>869.6200000000008</v>
      </c>
      <c r="AI73" s="12">
        <f t="shared" si="10"/>
        <v>657640510.82912982</v>
      </c>
      <c r="AJ73" s="12">
        <f t="shared" si="11"/>
        <v>571897341027.22852</v>
      </c>
    </row>
    <row r="74" spans="1:36" x14ac:dyDescent="0.35">
      <c r="A74" s="3">
        <v>45616</v>
      </c>
      <c r="B74">
        <v>8822</v>
      </c>
      <c r="D74">
        <v>11191</v>
      </c>
      <c r="E74" s="7">
        <f t="shared" si="41"/>
        <v>125238481</v>
      </c>
      <c r="AG74">
        <f t="shared" si="8"/>
        <v>954.6200000000008</v>
      </c>
      <c r="AH74" s="12">
        <f t="shared" si="9"/>
        <v>954.6200000000008</v>
      </c>
      <c r="AI74" s="12">
        <f t="shared" si="10"/>
        <v>869944580.1511302</v>
      </c>
      <c r="AJ74" s="12">
        <f t="shared" si="11"/>
        <v>830466495103.87268</v>
      </c>
    </row>
    <row r="75" spans="1:36" x14ac:dyDescent="0.35">
      <c r="A75" s="3">
        <v>45617</v>
      </c>
      <c r="B75">
        <v>13372</v>
      </c>
      <c r="D75">
        <v>11357</v>
      </c>
      <c r="E75" s="7">
        <f t="shared" si="41"/>
        <v>128981449</v>
      </c>
      <c r="AG75">
        <f t="shared" si="8"/>
        <v>1027.6200000000008</v>
      </c>
      <c r="AH75" s="12">
        <f t="shared" si="9"/>
        <v>1027.6200000000008</v>
      </c>
      <c r="AI75" s="12">
        <f t="shared" si="10"/>
        <v>1085169663.5147307</v>
      </c>
      <c r="AJ75" s="12">
        <f t="shared" si="11"/>
        <v>1115142049621.0083</v>
      </c>
    </row>
    <row r="76" spans="1:36" x14ac:dyDescent="0.35">
      <c r="A76" s="3">
        <v>45618</v>
      </c>
      <c r="B76">
        <v>15904</v>
      </c>
      <c r="D76">
        <v>11364</v>
      </c>
      <c r="E76" s="7">
        <f t="shared" si="41"/>
        <v>129140496</v>
      </c>
      <c r="AG76">
        <f t="shared" si="8"/>
        <v>1122.6200000000008</v>
      </c>
      <c r="AH76" s="12">
        <f t="shared" si="9"/>
        <v>1122.6200000000008</v>
      </c>
      <c r="AI76" s="12">
        <f t="shared" si="10"/>
        <v>1414810666.368731</v>
      </c>
      <c r="AJ76" s="12">
        <f t="shared" si="11"/>
        <v>1588294750278.866</v>
      </c>
    </row>
    <row r="77" spans="1:36" x14ac:dyDescent="0.35">
      <c r="A77" s="3">
        <v>45619</v>
      </c>
      <c r="B77">
        <v>8935</v>
      </c>
      <c r="D77">
        <v>11484</v>
      </c>
      <c r="E77" s="7">
        <f t="shared" si="41"/>
        <v>131882256</v>
      </c>
      <c r="AG77">
        <f t="shared" ref="AG77:AG104" si="43">ABS(D74-$AE$12)</f>
        <v>1195.6200000000008</v>
      </c>
      <c r="AH77" s="12">
        <f t="shared" ref="AH77:AH106" si="44">D74-$AE$12</f>
        <v>1195.6200000000008</v>
      </c>
      <c r="AI77" s="12">
        <f t="shared" ref="AI77:AI105" si="45">POWER(AH77,3)</f>
        <v>1709147379.8123314</v>
      </c>
      <c r="AJ77" s="12">
        <f t="shared" ref="AJ77:AJ106" si="46">POWER(AH77,4)</f>
        <v>2043490790251.2214</v>
      </c>
    </row>
    <row r="78" spans="1:36" x14ac:dyDescent="0.35">
      <c r="A78" s="3">
        <v>45620</v>
      </c>
      <c r="B78">
        <v>10377</v>
      </c>
      <c r="D78">
        <v>11600</v>
      </c>
      <c r="E78" s="7">
        <f t="shared" si="41"/>
        <v>134560000</v>
      </c>
      <c r="AG78">
        <f t="shared" si="43"/>
        <v>1361.6200000000008</v>
      </c>
      <c r="AH78" s="12">
        <f t="shared" si="44"/>
        <v>1361.6200000000008</v>
      </c>
      <c r="AI78" s="12">
        <f t="shared" si="45"/>
        <v>2524455767.8035321</v>
      </c>
      <c r="AJ78" s="12">
        <f t="shared" si="46"/>
        <v>3437349462556.6475</v>
      </c>
    </row>
    <row r="79" spans="1:36" x14ac:dyDescent="0.35">
      <c r="A79" s="3">
        <v>45621</v>
      </c>
      <c r="B79">
        <v>8596</v>
      </c>
      <c r="D79">
        <v>11660</v>
      </c>
      <c r="E79" s="7">
        <f t="shared" si="41"/>
        <v>135955600</v>
      </c>
      <c r="AG79">
        <f t="shared" si="43"/>
        <v>1368.6200000000008</v>
      </c>
      <c r="AH79" s="12">
        <f t="shared" si="44"/>
        <v>1368.6200000000008</v>
      </c>
      <c r="AI79" s="12">
        <f t="shared" si="45"/>
        <v>2563590458.4559326</v>
      </c>
      <c r="AJ79" s="12">
        <f t="shared" si="46"/>
        <v>3508581173251.9604</v>
      </c>
    </row>
    <row r="80" spans="1:36" x14ac:dyDescent="0.35">
      <c r="A80" s="3">
        <v>45622</v>
      </c>
      <c r="B80">
        <v>1102</v>
      </c>
      <c r="D80">
        <v>11716</v>
      </c>
      <c r="E80" s="7">
        <f t="shared" si="41"/>
        <v>137264656</v>
      </c>
      <c r="AG80">
        <f t="shared" si="43"/>
        <v>1488.6200000000008</v>
      </c>
      <c r="AH80" s="12">
        <f t="shared" si="44"/>
        <v>1488.6200000000008</v>
      </c>
      <c r="AI80" s="12">
        <f t="shared" si="45"/>
        <v>3298766296.0399332</v>
      </c>
      <c r="AJ80" s="12">
        <f t="shared" si="46"/>
        <v>4910609483610.9678</v>
      </c>
    </row>
    <row r="81" spans="1:36" x14ac:dyDescent="0.35">
      <c r="A81" s="3">
        <v>45623</v>
      </c>
      <c r="B81">
        <v>9524</v>
      </c>
      <c r="D81">
        <v>11776</v>
      </c>
      <c r="E81" s="7">
        <f t="shared" si="41"/>
        <v>138674176</v>
      </c>
      <c r="AG81">
        <f t="shared" si="43"/>
        <v>1604.6200000000008</v>
      </c>
      <c r="AH81" s="12">
        <f t="shared" si="44"/>
        <v>1604.6200000000008</v>
      </c>
      <c r="AI81" s="12">
        <f t="shared" si="45"/>
        <v>4131584151.7311344</v>
      </c>
      <c r="AJ81" s="12">
        <f t="shared" si="46"/>
        <v>6629622561550.8164</v>
      </c>
    </row>
    <row r="82" spans="1:36" x14ac:dyDescent="0.35">
      <c r="A82" s="3">
        <v>45624</v>
      </c>
      <c r="B82">
        <v>10304</v>
      </c>
      <c r="D82">
        <v>12519</v>
      </c>
      <c r="E82" s="7">
        <f t="shared" si="41"/>
        <v>156725361</v>
      </c>
      <c r="AG82">
        <f t="shared" si="43"/>
        <v>1664.6200000000008</v>
      </c>
      <c r="AH82" s="12">
        <f t="shared" si="44"/>
        <v>1664.6200000000008</v>
      </c>
      <c r="AI82" s="12">
        <f t="shared" si="45"/>
        <v>4612595009.723134</v>
      </c>
      <c r="AJ82" s="12">
        <f t="shared" si="46"/>
        <v>7678217905085.3271</v>
      </c>
    </row>
    <row r="83" spans="1:36" x14ac:dyDescent="0.35">
      <c r="A83" s="3">
        <v>45625</v>
      </c>
      <c r="B83">
        <v>8832</v>
      </c>
      <c r="D83">
        <v>12805</v>
      </c>
      <c r="E83" s="7">
        <f t="shared" si="41"/>
        <v>163968025</v>
      </c>
      <c r="AG83">
        <f t="shared" si="43"/>
        <v>1720.6200000000008</v>
      </c>
      <c r="AH83" s="12">
        <f t="shared" si="44"/>
        <v>1720.6200000000008</v>
      </c>
      <c r="AI83" s="12">
        <f t="shared" si="45"/>
        <v>5093952607.7423353</v>
      </c>
      <c r="AJ83" s="12">
        <f t="shared" si="46"/>
        <v>8764756735933.6221</v>
      </c>
    </row>
    <row r="84" spans="1:36" x14ac:dyDescent="0.35">
      <c r="A84" s="3">
        <v>45626</v>
      </c>
      <c r="B84">
        <v>9043</v>
      </c>
      <c r="D84">
        <v>13015</v>
      </c>
      <c r="E84" s="7">
        <f t="shared" si="41"/>
        <v>169390225</v>
      </c>
      <c r="AG84">
        <f t="shared" si="43"/>
        <v>1780.6200000000008</v>
      </c>
      <c r="AH84" s="12">
        <f t="shared" si="44"/>
        <v>1780.6200000000008</v>
      </c>
      <c r="AI84" s="12">
        <f t="shared" si="45"/>
        <v>5645647276.9343357</v>
      </c>
      <c r="AJ84" s="12">
        <f t="shared" si="46"/>
        <v>10052752454254.82</v>
      </c>
    </row>
    <row r="85" spans="1:36" x14ac:dyDescent="0.35">
      <c r="A85" s="3">
        <v>45627</v>
      </c>
      <c r="B85">
        <v>8903</v>
      </c>
      <c r="D85">
        <v>13372</v>
      </c>
      <c r="E85" s="7">
        <f t="shared" si="41"/>
        <v>178810384</v>
      </c>
      <c r="AG85">
        <f t="shared" si="43"/>
        <v>2523.6200000000008</v>
      </c>
      <c r="AH85" s="12">
        <f t="shared" si="44"/>
        <v>2523.6200000000008</v>
      </c>
      <c r="AI85" s="12">
        <f t="shared" si="45"/>
        <v>16072072460.701942</v>
      </c>
      <c r="AJ85" s="12">
        <f t="shared" si="46"/>
        <v>40559803503276.648</v>
      </c>
    </row>
    <row r="86" spans="1:36" x14ac:dyDescent="0.35">
      <c r="A86" s="3">
        <v>45628</v>
      </c>
      <c r="B86">
        <v>5881</v>
      </c>
      <c r="D86">
        <v>13515</v>
      </c>
      <c r="E86" s="7">
        <f t="shared" si="41"/>
        <v>182655225</v>
      </c>
      <c r="AG86">
        <f t="shared" si="43"/>
        <v>2809.6200000000008</v>
      </c>
      <c r="AH86" s="12">
        <f t="shared" si="44"/>
        <v>2809.6200000000008</v>
      </c>
      <c r="AI86" s="12">
        <f t="shared" si="45"/>
        <v>22179040663.237148</v>
      </c>
      <c r="AJ86" s="12">
        <f t="shared" si="46"/>
        <v>62314676228244.375</v>
      </c>
    </row>
    <row r="87" spans="1:36" x14ac:dyDescent="0.35">
      <c r="A87" s="3">
        <v>45629</v>
      </c>
      <c r="B87">
        <v>3927</v>
      </c>
      <c r="D87">
        <v>13570</v>
      </c>
      <c r="E87" s="7">
        <f t="shared" si="41"/>
        <v>184144900</v>
      </c>
      <c r="AG87">
        <f t="shared" si="43"/>
        <v>3019.6200000000008</v>
      </c>
      <c r="AH87" s="12">
        <f t="shared" si="44"/>
        <v>3019.6200000000008</v>
      </c>
      <c r="AI87" s="12">
        <f t="shared" si="45"/>
        <v>27533212052.209152</v>
      </c>
      <c r="AJ87" s="12">
        <f t="shared" si="46"/>
        <v>83139837777091.813</v>
      </c>
    </row>
    <row r="88" spans="1:36" x14ac:dyDescent="0.35">
      <c r="A88" s="3">
        <v>45630</v>
      </c>
      <c r="B88">
        <v>11357</v>
      </c>
      <c r="D88">
        <v>13836</v>
      </c>
      <c r="E88" s="7">
        <f t="shared" si="41"/>
        <v>191434896</v>
      </c>
      <c r="AG88">
        <f t="shared" si="43"/>
        <v>3376.6200000000008</v>
      </c>
      <c r="AH88" s="12">
        <f t="shared" si="44"/>
        <v>3376.6200000000008</v>
      </c>
      <c r="AI88" s="12">
        <f t="shared" si="45"/>
        <v>38498744388.801552</v>
      </c>
      <c r="AJ88" s="12">
        <f t="shared" si="46"/>
        <v>129995630278115.13</v>
      </c>
    </row>
    <row r="89" spans="1:36" x14ac:dyDescent="0.35">
      <c r="A89" s="3">
        <v>45631</v>
      </c>
      <c r="B89">
        <v>10223</v>
      </c>
      <c r="D89">
        <v>13978</v>
      </c>
      <c r="E89" s="7">
        <f t="shared" si="41"/>
        <v>195384484</v>
      </c>
      <c r="AG89">
        <f t="shared" si="43"/>
        <v>3519.6200000000008</v>
      </c>
      <c r="AH89" s="12">
        <f t="shared" si="44"/>
        <v>3519.6200000000008</v>
      </c>
      <c r="AI89" s="12">
        <f t="shared" si="45"/>
        <v>43600084468.809158</v>
      </c>
      <c r="AJ89" s="12">
        <f t="shared" si="46"/>
        <v>153455729298110.09</v>
      </c>
    </row>
    <row r="90" spans="1:36" x14ac:dyDescent="0.35">
      <c r="A90" s="3">
        <v>45632</v>
      </c>
      <c r="B90">
        <v>8592</v>
      </c>
      <c r="D90">
        <v>14025</v>
      </c>
      <c r="E90" s="7">
        <f t="shared" si="41"/>
        <v>196700625</v>
      </c>
      <c r="AG90">
        <f t="shared" si="43"/>
        <v>3574.6200000000008</v>
      </c>
      <c r="AH90" s="12">
        <f t="shared" si="44"/>
        <v>3574.6200000000008</v>
      </c>
      <c r="AI90" s="12">
        <f t="shared" si="45"/>
        <v>45676166011.135162</v>
      </c>
      <c r="AJ90" s="12">
        <f t="shared" si="46"/>
        <v>163274936546724</v>
      </c>
    </row>
    <row r="91" spans="1:36" x14ac:dyDescent="0.35">
      <c r="A91" s="3">
        <v>45633</v>
      </c>
      <c r="B91">
        <v>4413</v>
      </c>
      <c r="D91">
        <v>14133</v>
      </c>
      <c r="E91" s="7">
        <f t="shared" si="41"/>
        <v>199741689</v>
      </c>
      <c r="AG91">
        <f t="shared" si="43"/>
        <v>3840.6200000000008</v>
      </c>
      <c r="AH91" s="12">
        <f t="shared" si="44"/>
        <v>3840.6200000000008</v>
      </c>
      <c r="AI91" s="12">
        <f t="shared" si="45"/>
        <v>56650535244.52636</v>
      </c>
      <c r="AJ91" s="12">
        <f t="shared" si="46"/>
        <v>217573178670832.88</v>
      </c>
    </row>
    <row r="92" spans="1:36" x14ac:dyDescent="0.35">
      <c r="A92" s="3">
        <v>45634</v>
      </c>
      <c r="B92">
        <v>11660</v>
      </c>
      <c r="D92">
        <v>14244</v>
      </c>
      <c r="E92" s="7">
        <f t="shared" si="41"/>
        <v>202891536</v>
      </c>
      <c r="AG92">
        <f t="shared" si="43"/>
        <v>3982.6200000000008</v>
      </c>
      <c r="AH92" s="12">
        <f t="shared" si="44"/>
        <v>3982.6200000000008</v>
      </c>
      <c r="AI92" s="12">
        <f t="shared" si="45"/>
        <v>63169379522.920769</v>
      </c>
      <c r="AJ92" s="12">
        <f t="shared" si="46"/>
        <v>251579634275574.75</v>
      </c>
    </row>
    <row r="93" spans="1:36" x14ac:dyDescent="0.35">
      <c r="A93" s="3">
        <v>45635</v>
      </c>
      <c r="B93">
        <v>13836</v>
      </c>
      <c r="D93">
        <v>14247</v>
      </c>
      <c r="E93" s="7">
        <f t="shared" si="41"/>
        <v>202977009</v>
      </c>
      <c r="AG93">
        <f t="shared" si="43"/>
        <v>4029.6200000000008</v>
      </c>
      <c r="AH93" s="12">
        <f t="shared" si="44"/>
        <v>4029.6200000000008</v>
      </c>
      <c r="AI93" s="12">
        <f t="shared" si="45"/>
        <v>65432314119.741173</v>
      </c>
      <c r="AJ93" s="12">
        <f t="shared" si="46"/>
        <v>263667361623191.47</v>
      </c>
    </row>
    <row r="94" spans="1:36" x14ac:dyDescent="0.35">
      <c r="A94" s="3">
        <v>45636</v>
      </c>
      <c r="B94">
        <v>8422</v>
      </c>
      <c r="D94">
        <v>14385</v>
      </c>
      <c r="E94" s="7">
        <f t="shared" si="41"/>
        <v>206928225</v>
      </c>
      <c r="AG94">
        <f t="shared" si="43"/>
        <v>4137.6200000000008</v>
      </c>
      <c r="AH94" s="12">
        <f t="shared" si="44"/>
        <v>4137.6200000000008</v>
      </c>
      <c r="AI94" s="12">
        <f t="shared" si="45"/>
        <v>70835637594.36676</v>
      </c>
      <c r="AJ94" s="12">
        <f t="shared" si="46"/>
        <v>293090950823203.88</v>
      </c>
    </row>
    <row r="95" spans="1:36" x14ac:dyDescent="0.35">
      <c r="A95" s="3">
        <v>45637</v>
      </c>
      <c r="B95">
        <v>15747</v>
      </c>
      <c r="D95">
        <v>14786</v>
      </c>
      <c r="E95" s="7">
        <f t="shared" si="41"/>
        <v>218625796</v>
      </c>
      <c r="AG95">
        <f t="shared" si="43"/>
        <v>4248.6200000000008</v>
      </c>
      <c r="AH95" s="12">
        <f t="shared" si="44"/>
        <v>4248.6200000000008</v>
      </c>
      <c r="AI95" s="12">
        <f t="shared" si="45"/>
        <v>76690870528.47197</v>
      </c>
      <c r="AJ95" s="12">
        <f t="shared" si="46"/>
        <v>325830366344676.63</v>
      </c>
    </row>
    <row r="96" spans="1:36" x14ac:dyDescent="0.35">
      <c r="A96" s="3">
        <v>45638</v>
      </c>
      <c r="B96">
        <v>9554</v>
      </c>
      <c r="D96">
        <v>14930</v>
      </c>
      <c r="E96" s="7">
        <f>D96*D96</f>
        <v>222904900</v>
      </c>
      <c r="AG96">
        <f t="shared" si="43"/>
        <v>4251.6200000000008</v>
      </c>
      <c r="AH96" s="12">
        <f t="shared" si="44"/>
        <v>4251.6200000000008</v>
      </c>
      <c r="AI96" s="12">
        <f t="shared" si="45"/>
        <v>76853442215.351578</v>
      </c>
      <c r="AJ96" s="12">
        <f t="shared" si="46"/>
        <v>326751631991633.19</v>
      </c>
    </row>
    <row r="97" spans="1:101" x14ac:dyDescent="0.35">
      <c r="A97" s="3">
        <v>45639</v>
      </c>
      <c r="B97">
        <v>8551</v>
      </c>
      <c r="D97">
        <v>15091</v>
      </c>
      <c r="E97" s="7">
        <f>D97*D97</f>
        <v>227738281</v>
      </c>
      <c r="AG97">
        <f t="shared" si="43"/>
        <v>4389.6200000000008</v>
      </c>
      <c r="AH97" s="12">
        <f t="shared" si="44"/>
        <v>4389.6200000000008</v>
      </c>
      <c r="AI97" s="12">
        <f t="shared" si="45"/>
        <v>84582550707.693176</v>
      </c>
      <c r="AJ97" s="12">
        <f t="shared" si="46"/>
        <v>371285256237504.13</v>
      </c>
    </row>
    <row r="98" spans="1:101" x14ac:dyDescent="0.35">
      <c r="A98" s="3">
        <v>45640</v>
      </c>
      <c r="B98">
        <v>4095</v>
      </c>
      <c r="D98">
        <v>15584</v>
      </c>
      <c r="E98" s="7">
        <f>D98*D98</f>
        <v>242861056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>
        <f t="shared" si="43"/>
        <v>4790.6200000000008</v>
      </c>
      <c r="AH98" s="12">
        <f t="shared" si="44"/>
        <v>4790.6200000000008</v>
      </c>
      <c r="AI98" s="12">
        <f t="shared" si="45"/>
        <v>109944920550.06639</v>
      </c>
      <c r="AJ98" s="12">
        <f t="shared" si="46"/>
        <v>526704335285559.13</v>
      </c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</row>
    <row r="99" spans="1:101" x14ac:dyDescent="0.35">
      <c r="A99" s="3">
        <v>45641</v>
      </c>
      <c r="B99">
        <v>5398</v>
      </c>
      <c r="D99">
        <v>15747</v>
      </c>
      <c r="E99" s="7">
        <f>D99*D99</f>
        <v>247968009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>
        <f t="shared" si="43"/>
        <v>4934.6200000000008</v>
      </c>
      <c r="AH99" s="12">
        <f t="shared" si="44"/>
        <v>4934.6200000000008</v>
      </c>
      <c r="AI99" s="12">
        <f t="shared" si="45"/>
        <v>120160338696.28719</v>
      </c>
      <c r="AJ99" s="12">
        <f t="shared" si="46"/>
        <v>592945610537472.75</v>
      </c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</row>
    <row r="100" spans="1:101" x14ac:dyDescent="0.35">
      <c r="A100" s="3">
        <v>45642</v>
      </c>
      <c r="B100">
        <v>6980</v>
      </c>
      <c r="D100">
        <v>15904</v>
      </c>
      <c r="E100" s="7">
        <f>D100*D100</f>
        <v>252937216</v>
      </c>
      <c r="AG100">
        <f t="shared" si="43"/>
        <v>5095.6200000000008</v>
      </c>
      <c r="AH100" s="12">
        <f t="shared" si="44"/>
        <v>5095.6200000000008</v>
      </c>
      <c r="AI100" s="12">
        <f t="shared" si="45"/>
        <v>132309522037.29239</v>
      </c>
      <c r="AJ100" s="12">
        <f t="shared" si="46"/>
        <v>674199046683667.88</v>
      </c>
    </row>
    <row r="101" spans="1:101" x14ac:dyDescent="0.35">
      <c r="A101" s="3">
        <v>45643</v>
      </c>
      <c r="B101">
        <v>10486</v>
      </c>
      <c r="D101">
        <v>16166</v>
      </c>
      <c r="E101" s="7">
        <f>D101*D101</f>
        <v>261339556</v>
      </c>
      <c r="AG101">
        <f t="shared" si="43"/>
        <v>5588.6200000000008</v>
      </c>
      <c r="AH101" s="12">
        <f t="shared" si="44"/>
        <v>5588.6200000000008</v>
      </c>
      <c r="AI101" s="12">
        <f t="shared" si="45"/>
        <v>174547543800.16</v>
      </c>
      <c r="AJ101" s="12">
        <f t="shared" si="46"/>
        <v>975479894232450.25</v>
      </c>
    </row>
    <row r="102" spans="1:101" x14ac:dyDescent="0.35">
      <c r="A102" s="3">
        <v>45644</v>
      </c>
      <c r="B102">
        <v>4393</v>
      </c>
      <c r="D102">
        <v>17152</v>
      </c>
      <c r="E102" s="7">
        <f>D102*D102</f>
        <v>294191104</v>
      </c>
      <c r="AG102">
        <f t="shared" si="43"/>
        <v>5751.6200000000008</v>
      </c>
      <c r="AH102" s="12">
        <f t="shared" si="44"/>
        <v>5751.6200000000008</v>
      </c>
      <c r="AI102" s="12">
        <f t="shared" si="45"/>
        <v>190270104025.15161</v>
      </c>
      <c r="AJ102" s="12">
        <f t="shared" si="46"/>
        <v>1094361335713142.6</v>
      </c>
    </row>
    <row r="103" spans="1:101" x14ac:dyDescent="0.35">
      <c r="A103" s="3">
        <v>45645</v>
      </c>
      <c r="B103">
        <v>4379</v>
      </c>
      <c r="D103">
        <v>17233</v>
      </c>
      <c r="E103" s="7">
        <f>D103*D103</f>
        <v>296976289</v>
      </c>
      <c r="AG103">
        <f t="shared" si="43"/>
        <v>5908.6200000000008</v>
      </c>
      <c r="AH103" s="12">
        <f t="shared" si="44"/>
        <v>5908.6200000000008</v>
      </c>
      <c r="AI103" s="12">
        <f t="shared" si="45"/>
        <v>206280502428.38403</v>
      </c>
      <c r="AJ103" s="12">
        <f t="shared" si="46"/>
        <v>1218833102258398.8</v>
      </c>
    </row>
    <row r="104" spans="1:101" x14ac:dyDescent="0.35">
      <c r="A104" s="3">
        <v>45646</v>
      </c>
      <c r="B104">
        <v>9380</v>
      </c>
      <c r="D104">
        <v>17904</v>
      </c>
      <c r="E104" s="7">
        <f>D104*D104</f>
        <v>320553216</v>
      </c>
      <c r="AG104">
        <f t="shared" si="43"/>
        <v>6170.6200000000008</v>
      </c>
      <c r="AH104" s="12">
        <f t="shared" si="44"/>
        <v>6170.6200000000008</v>
      </c>
      <c r="AI104" s="12">
        <f t="shared" si="45"/>
        <v>234955928269.48239</v>
      </c>
      <c r="AJ104" s="12">
        <f t="shared" si="46"/>
        <v>1449823750098233.5</v>
      </c>
    </row>
    <row r="105" spans="1:101" x14ac:dyDescent="0.35">
      <c r="A105" s="3">
        <v>45647</v>
      </c>
      <c r="B105">
        <v>10590</v>
      </c>
      <c r="D105">
        <v>18403</v>
      </c>
      <c r="E105" s="7">
        <f>D105*D105</f>
        <v>338670409</v>
      </c>
      <c r="AG105">
        <f>ABS(D102-$AE$12)</f>
        <v>7156.6200000000008</v>
      </c>
      <c r="AH105" s="12">
        <f t="shared" si="44"/>
        <v>7156.6200000000008</v>
      </c>
      <c r="AI105" s="12">
        <f t="shared" si="45"/>
        <v>366542108173.49768</v>
      </c>
      <c r="AJ105" s="12">
        <f t="shared" si="46"/>
        <v>2623202582196617.5</v>
      </c>
    </row>
    <row r="106" spans="1:101" x14ac:dyDescent="0.35">
      <c r="A106" s="3">
        <v>45648</v>
      </c>
      <c r="B106">
        <v>360</v>
      </c>
      <c r="D106">
        <v>18659</v>
      </c>
      <c r="E106" s="7">
        <f>D106*D106</f>
        <v>348158281</v>
      </c>
      <c r="AG106">
        <f>ABS(D103-$AE$12)</f>
        <v>7237.6200000000008</v>
      </c>
      <c r="AH106" s="12">
        <f t="shared" si="44"/>
        <v>7237.6200000000008</v>
      </c>
      <c r="AI106" s="12">
        <f>POWER(AH106,3)</f>
        <v>379129285353.28687</v>
      </c>
      <c r="AJ106" s="12">
        <f t="shared" si="46"/>
        <v>2743993698258656.5</v>
      </c>
    </row>
    <row r="107" spans="1:101" x14ac:dyDescent="0.35">
      <c r="A107" s="3">
        <v>45649</v>
      </c>
      <c r="B107">
        <v>416</v>
      </c>
      <c r="D107">
        <v>20118</v>
      </c>
      <c r="E107" s="7">
        <f>D107*D107</f>
        <v>404733924</v>
      </c>
    </row>
    <row r="108" spans="1:101" x14ac:dyDescent="0.35">
      <c r="A108" s="3">
        <v>45650</v>
      </c>
      <c r="B108">
        <v>516</v>
      </c>
      <c r="D108">
        <v>21416</v>
      </c>
      <c r="E108" s="7">
        <f>D108*D108</f>
        <v>458645056</v>
      </c>
    </row>
    <row r="118" spans="4:5" x14ac:dyDescent="0.35">
      <c r="D118" s="6"/>
      <c r="E118" s="6"/>
    </row>
    <row r="119" spans="4:5" x14ac:dyDescent="0.35">
      <c r="D119" s="4"/>
      <c r="E119" s="4"/>
    </row>
  </sheetData>
  <sortState xmlns:xlrd2="http://schemas.microsoft.com/office/spreadsheetml/2017/richdata2" ref="D9:E108">
    <sortCondition ref="D9:D10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D334-7063-468B-BE3E-49F1C4B7B70A}">
  <dimension ref="A1:AM109"/>
  <sheetViews>
    <sheetView topLeftCell="A10" zoomScale="85" zoomScaleNormal="85" workbookViewId="0">
      <selection activeCell="Q33" sqref="Q33"/>
    </sheetView>
  </sheetViews>
  <sheetFormatPr defaultRowHeight="14.5" x14ac:dyDescent="0.35"/>
  <cols>
    <col min="9" max="9" width="13.453125" customWidth="1"/>
    <col min="25" max="25" width="9.6328125" customWidth="1"/>
    <col min="31" max="31" width="29.90625" customWidth="1"/>
    <col min="32" max="32" width="14.90625" customWidth="1"/>
    <col min="36" max="36" width="11.90625" customWidth="1"/>
    <col min="38" max="38" width="11.7265625" customWidth="1"/>
    <col min="39" max="39" width="12.36328125" customWidth="1"/>
  </cols>
  <sheetData>
    <row r="1" spans="1:39" ht="15" thickBot="1" x14ac:dyDescent="0.4">
      <c r="A1" s="2" t="s">
        <v>6</v>
      </c>
    </row>
    <row r="2" spans="1:39" x14ac:dyDescent="0.35">
      <c r="A2" t="s">
        <v>4</v>
      </c>
    </row>
    <row r="3" spans="1:39" x14ac:dyDescent="0.35">
      <c r="A3" t="s">
        <v>3</v>
      </c>
      <c r="B3">
        <f>MAX(Лист2!B10:B109)</f>
        <v>10</v>
      </c>
    </row>
    <row r="4" spans="1:39" x14ac:dyDescent="0.35">
      <c r="A4" t="s">
        <v>5</v>
      </c>
      <c r="B4">
        <f>MIN(Лист2!B10:B109)</f>
        <v>4</v>
      </c>
    </row>
    <row r="9" spans="1:39" x14ac:dyDescent="0.35">
      <c r="A9" s="1" t="s">
        <v>2</v>
      </c>
      <c r="B9" s="1" t="s">
        <v>1</v>
      </c>
      <c r="D9" s="18" t="s">
        <v>18</v>
      </c>
      <c r="E9" s="18"/>
      <c r="F9" s="18"/>
      <c r="G9" s="18" t="s">
        <v>1</v>
      </c>
      <c r="I9" s="25" t="s">
        <v>19</v>
      </c>
      <c r="J9" s="25"/>
      <c r="K9" s="25"/>
      <c r="L9" s="25"/>
      <c r="R9" s="25" t="s">
        <v>40</v>
      </c>
      <c r="S9" s="18"/>
      <c r="T9" s="25"/>
      <c r="U9" s="25"/>
      <c r="V9" s="25"/>
      <c r="AI9" s="29" t="s">
        <v>41</v>
      </c>
      <c r="AJ9" s="29" t="s">
        <v>42</v>
      </c>
      <c r="AK9" s="29" t="s">
        <v>43</v>
      </c>
      <c r="AL9" s="29" t="s">
        <v>44</v>
      </c>
      <c r="AM9" s="29" t="s">
        <v>45</v>
      </c>
    </row>
    <row r="10" spans="1:39" x14ac:dyDescent="0.35">
      <c r="A10" s="3">
        <v>45551</v>
      </c>
      <c r="B10">
        <v>9</v>
      </c>
      <c r="D10">
        <v>4</v>
      </c>
      <c r="G10" s="7">
        <f>COUNTA(D10:D109)</f>
        <v>100</v>
      </c>
      <c r="I10" s="18" t="s">
        <v>20</v>
      </c>
      <c r="J10" s="7">
        <v>4</v>
      </c>
      <c r="K10" s="7">
        <v>5</v>
      </c>
      <c r="L10" s="7">
        <v>6</v>
      </c>
      <c r="M10" s="7">
        <v>7</v>
      </c>
      <c r="N10" s="7">
        <v>8</v>
      </c>
      <c r="O10" s="7">
        <v>9</v>
      </c>
      <c r="P10" s="7">
        <v>10</v>
      </c>
      <c r="Q10" s="18" t="s">
        <v>12</v>
      </c>
      <c r="R10" s="18" t="s">
        <v>87</v>
      </c>
      <c r="S10" t="s">
        <v>88</v>
      </c>
      <c r="T10" s="8" t="s">
        <v>89</v>
      </c>
      <c r="U10" s="7" t="s">
        <v>90</v>
      </c>
      <c r="V10" s="7" t="s">
        <v>91</v>
      </c>
      <c r="W10" s="7" t="s">
        <v>92</v>
      </c>
      <c r="X10" s="7" t="s">
        <v>93</v>
      </c>
      <c r="Y10" s="7" t="s">
        <v>94</v>
      </c>
      <c r="Z10" s="7" t="s">
        <v>95</v>
      </c>
      <c r="AA10" s="5"/>
      <c r="AI10">
        <f>D10-$AF$18</f>
        <v>-3.2300000000000004</v>
      </c>
      <c r="AJ10">
        <f>POWER(AI10,2)</f>
        <v>10.432900000000004</v>
      </c>
      <c r="AK10">
        <f>ABS(AI10)</f>
        <v>3.2300000000000004</v>
      </c>
      <c r="AL10">
        <f>POWER(AI10,3)</f>
        <v>-33.698267000000016</v>
      </c>
      <c r="AM10">
        <f>POWER(AI10,4)</f>
        <v>108.84540241000008</v>
      </c>
    </row>
    <row r="11" spans="1:39" x14ac:dyDescent="0.35">
      <c r="A11" s="3">
        <v>45552</v>
      </c>
      <c r="B11">
        <v>7</v>
      </c>
      <c r="D11">
        <v>4</v>
      </c>
      <c r="I11" s="18" t="s">
        <v>10</v>
      </c>
      <c r="J11" s="7">
        <f t="shared" ref="J11:P11" si="0">COUNTIF($D$10:$D$109, "="&amp;J10)</f>
        <v>2</v>
      </c>
      <c r="K11" s="7">
        <f t="shared" si="0"/>
        <v>11</v>
      </c>
      <c r="L11" s="7">
        <f t="shared" si="0"/>
        <v>19</v>
      </c>
      <c r="M11" s="7">
        <f t="shared" si="0"/>
        <v>30</v>
      </c>
      <c r="N11" s="7">
        <f t="shared" si="0"/>
        <v>16</v>
      </c>
      <c r="O11" s="7">
        <f t="shared" si="0"/>
        <v>12</v>
      </c>
      <c r="P11" s="7">
        <f t="shared" si="0"/>
        <v>10</v>
      </c>
      <c r="Q11" s="26">
        <f>SUM(J11:P11)</f>
        <v>100</v>
      </c>
      <c r="R11" s="18" t="s">
        <v>25</v>
      </c>
      <c r="S11" s="7">
        <v>0</v>
      </c>
      <c r="T11" s="7">
        <f>J12</f>
        <v>0.02</v>
      </c>
      <c r="U11" s="7">
        <f t="shared" ref="U11:Z11" si="1">T11+K12</f>
        <v>0.13</v>
      </c>
      <c r="V11" s="7">
        <f t="shared" si="1"/>
        <v>0.32</v>
      </c>
      <c r="W11" s="7">
        <f t="shared" si="1"/>
        <v>0.62</v>
      </c>
      <c r="X11" s="7">
        <f t="shared" si="1"/>
        <v>0.78</v>
      </c>
      <c r="Y11" s="7">
        <f t="shared" si="1"/>
        <v>0.9</v>
      </c>
      <c r="Z11" s="7">
        <f t="shared" si="1"/>
        <v>1</v>
      </c>
      <c r="AA11" s="5"/>
      <c r="AI11">
        <f t="shared" ref="AI11:AI74" si="2">D11-$AF$18</f>
        <v>-3.2300000000000004</v>
      </c>
      <c r="AJ11">
        <f t="shared" ref="AJ11:AJ74" si="3">POWER(AI11,2)</f>
        <v>10.432900000000004</v>
      </c>
      <c r="AK11">
        <f t="shared" ref="AK11:AK74" si="4">ABS(AI11)</f>
        <v>3.2300000000000004</v>
      </c>
      <c r="AL11">
        <f t="shared" ref="AL11:AL74" si="5">POWER(AI11,3)</f>
        <v>-33.698267000000016</v>
      </c>
      <c r="AM11">
        <f t="shared" ref="AM11:AM74" si="6">POWER(AI11,4)</f>
        <v>108.84540241000008</v>
      </c>
    </row>
    <row r="12" spans="1:39" x14ac:dyDescent="0.35">
      <c r="A12" s="3">
        <v>45553</v>
      </c>
      <c r="B12">
        <v>7</v>
      </c>
      <c r="D12">
        <v>5</v>
      </c>
      <c r="I12" s="18" t="s">
        <v>11</v>
      </c>
      <c r="J12" s="7">
        <f t="shared" ref="J12:P12" si="7">J11 / $G$10</f>
        <v>0.02</v>
      </c>
      <c r="K12" s="7">
        <f t="shared" si="7"/>
        <v>0.11</v>
      </c>
      <c r="L12" s="7">
        <f t="shared" si="7"/>
        <v>0.19</v>
      </c>
      <c r="M12" s="7">
        <f t="shared" si="7"/>
        <v>0.3</v>
      </c>
      <c r="N12" s="7">
        <f t="shared" si="7"/>
        <v>0.16</v>
      </c>
      <c r="O12" s="7">
        <f t="shared" si="7"/>
        <v>0.12</v>
      </c>
      <c r="P12" s="7">
        <f t="shared" si="7"/>
        <v>0.1</v>
      </c>
      <c r="Q12" s="26">
        <f>SUM(J12:P12)</f>
        <v>1</v>
      </c>
      <c r="AI12">
        <f t="shared" si="2"/>
        <v>-2.2300000000000004</v>
      </c>
      <c r="AJ12">
        <f t="shared" si="3"/>
        <v>4.9729000000000019</v>
      </c>
      <c r="AK12">
        <f t="shared" si="4"/>
        <v>2.2300000000000004</v>
      </c>
      <c r="AL12">
        <f t="shared" si="5"/>
        <v>-11.089567000000006</v>
      </c>
      <c r="AM12">
        <f t="shared" si="6"/>
        <v>24.72973441000002</v>
      </c>
    </row>
    <row r="13" spans="1:39" x14ac:dyDescent="0.35">
      <c r="A13" s="3">
        <v>45554</v>
      </c>
      <c r="B13">
        <v>7</v>
      </c>
      <c r="D13">
        <v>5</v>
      </c>
      <c r="AI13">
        <f t="shared" si="2"/>
        <v>-2.2300000000000004</v>
      </c>
      <c r="AJ13">
        <f t="shared" si="3"/>
        <v>4.9729000000000019</v>
      </c>
      <c r="AK13">
        <f t="shared" si="4"/>
        <v>2.2300000000000004</v>
      </c>
      <c r="AL13">
        <f t="shared" si="5"/>
        <v>-11.089567000000006</v>
      </c>
      <c r="AM13">
        <f t="shared" si="6"/>
        <v>24.72973441000002</v>
      </c>
    </row>
    <row r="14" spans="1:39" x14ac:dyDescent="0.35">
      <c r="A14" s="3">
        <v>45555</v>
      </c>
      <c r="B14">
        <v>7</v>
      </c>
      <c r="D14">
        <v>5</v>
      </c>
      <c r="R14">
        <v>0</v>
      </c>
      <c r="S14">
        <v>0</v>
      </c>
      <c r="AD14" s="33"/>
      <c r="AE14" s="33"/>
      <c r="AI14">
        <f t="shared" si="2"/>
        <v>-2.2300000000000004</v>
      </c>
      <c r="AJ14">
        <f t="shared" si="3"/>
        <v>4.9729000000000019</v>
      </c>
      <c r="AK14">
        <f t="shared" si="4"/>
        <v>2.2300000000000004</v>
      </c>
      <c r="AL14">
        <f t="shared" si="5"/>
        <v>-11.089567000000006</v>
      </c>
      <c r="AM14">
        <f t="shared" si="6"/>
        <v>24.72973441000002</v>
      </c>
    </row>
    <row r="15" spans="1:39" x14ac:dyDescent="0.35">
      <c r="A15" s="3">
        <v>45556</v>
      </c>
      <c r="B15">
        <v>10</v>
      </c>
      <c r="D15">
        <v>5</v>
      </c>
      <c r="R15">
        <v>4</v>
      </c>
      <c r="S15">
        <v>0</v>
      </c>
      <c r="AD15" s="33"/>
      <c r="AE15" s="33"/>
      <c r="AI15">
        <f t="shared" si="2"/>
        <v>-2.2300000000000004</v>
      </c>
      <c r="AJ15">
        <f t="shared" si="3"/>
        <v>4.9729000000000019</v>
      </c>
      <c r="AK15">
        <f t="shared" si="4"/>
        <v>2.2300000000000004</v>
      </c>
      <c r="AL15">
        <f t="shared" si="5"/>
        <v>-11.089567000000006</v>
      </c>
      <c r="AM15">
        <f t="shared" si="6"/>
        <v>24.72973441000002</v>
      </c>
    </row>
    <row r="16" spans="1:39" x14ac:dyDescent="0.35">
      <c r="A16" s="3">
        <v>45557</v>
      </c>
      <c r="B16">
        <v>6</v>
      </c>
      <c r="D16">
        <v>5</v>
      </c>
      <c r="R16">
        <v>4</v>
      </c>
      <c r="S16">
        <f>T11</f>
        <v>0.02</v>
      </c>
      <c r="AI16">
        <f t="shared" si="2"/>
        <v>-2.2300000000000004</v>
      </c>
      <c r="AJ16">
        <f t="shared" si="3"/>
        <v>4.9729000000000019</v>
      </c>
      <c r="AK16">
        <f t="shared" si="4"/>
        <v>2.2300000000000004</v>
      </c>
      <c r="AL16">
        <f t="shared" si="5"/>
        <v>-11.089567000000006</v>
      </c>
      <c r="AM16">
        <f t="shared" si="6"/>
        <v>24.72973441000002</v>
      </c>
    </row>
    <row r="17" spans="1:39" x14ac:dyDescent="0.35">
      <c r="A17" s="3">
        <v>45558</v>
      </c>
      <c r="B17">
        <v>9</v>
      </c>
      <c r="D17">
        <v>5</v>
      </c>
      <c r="K17" s="5"/>
      <c r="L17" s="5"/>
      <c r="R17">
        <v>5</v>
      </c>
      <c r="S17">
        <f>S16</f>
        <v>0.02</v>
      </c>
      <c r="AD17" s="31"/>
      <c r="AE17" s="31"/>
      <c r="AF17" s="31"/>
      <c r="AG17" s="31"/>
      <c r="AI17">
        <f t="shared" si="2"/>
        <v>-2.2300000000000004</v>
      </c>
      <c r="AJ17">
        <f t="shared" si="3"/>
        <v>4.9729000000000019</v>
      </c>
      <c r="AK17">
        <f t="shared" si="4"/>
        <v>2.2300000000000004</v>
      </c>
      <c r="AL17">
        <f t="shared" si="5"/>
        <v>-11.089567000000006</v>
      </c>
      <c r="AM17">
        <f t="shared" si="6"/>
        <v>24.72973441000002</v>
      </c>
    </row>
    <row r="18" spans="1:39" x14ac:dyDescent="0.35">
      <c r="A18" s="3">
        <v>45559</v>
      </c>
      <c r="B18">
        <v>7</v>
      </c>
      <c r="D18">
        <v>5</v>
      </c>
      <c r="K18" s="5"/>
      <c r="L18" s="5"/>
      <c r="R18">
        <v>5</v>
      </c>
      <c r="S18">
        <f>U11</f>
        <v>0.13</v>
      </c>
      <c r="AD18" s="31"/>
      <c r="AE18" s="32" t="s">
        <v>26</v>
      </c>
      <c r="AF18" s="26">
        <f>SUM(D10:D109) / G10</f>
        <v>7.23</v>
      </c>
      <c r="AG18" s="31"/>
      <c r="AI18">
        <f t="shared" si="2"/>
        <v>-2.2300000000000004</v>
      </c>
      <c r="AJ18">
        <f t="shared" si="3"/>
        <v>4.9729000000000019</v>
      </c>
      <c r="AK18">
        <f t="shared" si="4"/>
        <v>2.2300000000000004</v>
      </c>
      <c r="AL18">
        <f t="shared" si="5"/>
        <v>-11.089567000000006</v>
      </c>
      <c r="AM18">
        <f t="shared" si="6"/>
        <v>24.72973441000002</v>
      </c>
    </row>
    <row r="19" spans="1:39" x14ac:dyDescent="0.35">
      <c r="A19" s="3">
        <v>45560</v>
      </c>
      <c r="B19">
        <v>7</v>
      </c>
      <c r="D19">
        <v>5</v>
      </c>
      <c r="K19" s="5"/>
      <c r="L19" s="5"/>
      <c r="R19">
        <v>6</v>
      </c>
      <c r="S19">
        <f>S18</f>
        <v>0.13</v>
      </c>
      <c r="AD19" s="31"/>
      <c r="AE19" s="32" t="s">
        <v>27</v>
      </c>
      <c r="AF19" s="26">
        <v>7</v>
      </c>
      <c r="AG19" s="31"/>
      <c r="AI19">
        <f t="shared" si="2"/>
        <v>-2.2300000000000004</v>
      </c>
      <c r="AJ19">
        <f t="shared" si="3"/>
        <v>4.9729000000000019</v>
      </c>
      <c r="AK19">
        <f t="shared" si="4"/>
        <v>2.2300000000000004</v>
      </c>
      <c r="AL19">
        <f t="shared" si="5"/>
        <v>-11.089567000000006</v>
      </c>
      <c r="AM19">
        <f t="shared" si="6"/>
        <v>24.72973441000002</v>
      </c>
    </row>
    <row r="20" spans="1:39" ht="17" x14ac:dyDescent="0.45">
      <c r="A20" s="3">
        <v>45561</v>
      </c>
      <c r="B20">
        <v>5</v>
      </c>
      <c r="D20">
        <v>5</v>
      </c>
      <c r="K20" s="5"/>
      <c r="L20" s="5"/>
      <c r="R20">
        <v>6</v>
      </c>
      <c r="S20">
        <f>V11</f>
        <v>0.32</v>
      </c>
      <c r="AD20" s="31"/>
      <c r="AE20" s="30" t="s">
        <v>28</v>
      </c>
      <c r="AF20" s="26">
        <v>7</v>
      </c>
      <c r="AG20" s="31"/>
      <c r="AI20">
        <f t="shared" si="2"/>
        <v>-2.2300000000000004</v>
      </c>
      <c r="AJ20">
        <f t="shared" si="3"/>
        <v>4.9729000000000019</v>
      </c>
      <c r="AK20">
        <f t="shared" si="4"/>
        <v>2.2300000000000004</v>
      </c>
      <c r="AL20">
        <f t="shared" si="5"/>
        <v>-11.089567000000006</v>
      </c>
      <c r="AM20">
        <f t="shared" si="6"/>
        <v>24.72973441000002</v>
      </c>
    </row>
    <row r="21" spans="1:39" x14ac:dyDescent="0.35">
      <c r="A21" s="3">
        <v>45562</v>
      </c>
      <c r="B21">
        <v>5</v>
      </c>
      <c r="D21">
        <v>5</v>
      </c>
      <c r="K21" s="5"/>
      <c r="L21" s="5"/>
      <c r="R21">
        <v>7</v>
      </c>
      <c r="S21">
        <f>V11</f>
        <v>0.32</v>
      </c>
      <c r="AD21" s="31"/>
      <c r="AE21" s="32" t="s">
        <v>29</v>
      </c>
      <c r="AF21" s="26">
        <f>B3-B4</f>
        <v>6</v>
      </c>
      <c r="AG21" s="31"/>
      <c r="AI21">
        <f t="shared" si="2"/>
        <v>-2.2300000000000004</v>
      </c>
      <c r="AJ21">
        <f t="shared" si="3"/>
        <v>4.9729000000000019</v>
      </c>
      <c r="AK21">
        <f t="shared" si="4"/>
        <v>2.2300000000000004</v>
      </c>
      <c r="AL21">
        <f t="shared" si="5"/>
        <v>-11.089567000000006</v>
      </c>
      <c r="AM21">
        <f t="shared" si="6"/>
        <v>24.72973441000002</v>
      </c>
    </row>
    <row r="22" spans="1:39" x14ac:dyDescent="0.35">
      <c r="A22" s="3">
        <v>45563</v>
      </c>
      <c r="B22">
        <v>10</v>
      </c>
      <c r="D22">
        <v>5</v>
      </c>
      <c r="K22" s="5"/>
      <c r="L22" s="5"/>
      <c r="R22">
        <v>7</v>
      </c>
      <c r="S22">
        <f>W11</f>
        <v>0.62</v>
      </c>
      <c r="AD22" s="31"/>
      <c r="AE22" s="32" t="s">
        <v>30</v>
      </c>
      <c r="AF22" s="26">
        <f>SUM(AK10:AK104)/G10</f>
        <v>1.0867000000000007</v>
      </c>
      <c r="AG22" s="31"/>
      <c r="AI22">
        <f t="shared" si="2"/>
        <v>-2.2300000000000004</v>
      </c>
      <c r="AJ22">
        <f t="shared" si="3"/>
        <v>4.9729000000000019</v>
      </c>
      <c r="AK22">
        <f t="shared" si="4"/>
        <v>2.2300000000000004</v>
      </c>
      <c r="AL22">
        <f t="shared" si="5"/>
        <v>-11.089567000000006</v>
      </c>
      <c r="AM22">
        <f t="shared" si="6"/>
        <v>24.72973441000002</v>
      </c>
    </row>
    <row r="23" spans="1:39" x14ac:dyDescent="0.35">
      <c r="A23" s="3">
        <v>45564</v>
      </c>
      <c r="B23">
        <v>10</v>
      </c>
      <c r="D23">
        <v>6</v>
      </c>
      <c r="K23" s="5"/>
      <c r="L23" s="5"/>
      <c r="R23">
        <v>8</v>
      </c>
      <c r="S23">
        <f>W11</f>
        <v>0.62</v>
      </c>
      <c r="AD23" s="31"/>
      <c r="AE23" s="32" t="s">
        <v>33</v>
      </c>
      <c r="AF23" s="26">
        <f>SUM(AJ10:AJ104)/G10</f>
        <v>1.9134549999999988</v>
      </c>
      <c r="AG23" s="31"/>
      <c r="AI23">
        <f t="shared" si="2"/>
        <v>-1.2300000000000004</v>
      </c>
      <c r="AJ23">
        <f t="shared" si="3"/>
        <v>1.512900000000001</v>
      </c>
      <c r="AK23">
        <f t="shared" si="4"/>
        <v>1.2300000000000004</v>
      </c>
      <c r="AL23">
        <f t="shared" si="5"/>
        <v>-1.8608670000000018</v>
      </c>
      <c r="AM23">
        <f t="shared" si="6"/>
        <v>2.2888664100000029</v>
      </c>
    </row>
    <row r="24" spans="1:39" x14ac:dyDescent="0.35">
      <c r="A24" s="3">
        <v>45565</v>
      </c>
      <c r="B24">
        <v>8</v>
      </c>
      <c r="D24">
        <v>6</v>
      </c>
      <c r="R24">
        <v>8</v>
      </c>
      <c r="S24">
        <f>X11</f>
        <v>0.78</v>
      </c>
      <c r="AD24" s="31"/>
      <c r="AE24" s="32" t="s">
        <v>34</v>
      </c>
      <c r="AF24" s="26">
        <f>SQRT(AF23)</f>
        <v>1.3832769064796819</v>
      </c>
      <c r="AG24" s="31"/>
      <c r="AI24">
        <f t="shared" si="2"/>
        <v>-1.2300000000000004</v>
      </c>
      <c r="AJ24">
        <f t="shared" si="3"/>
        <v>1.512900000000001</v>
      </c>
      <c r="AK24">
        <f t="shared" si="4"/>
        <v>1.2300000000000004</v>
      </c>
      <c r="AL24">
        <f t="shared" si="5"/>
        <v>-1.8608670000000018</v>
      </c>
      <c r="AM24">
        <f t="shared" si="6"/>
        <v>2.2888664100000029</v>
      </c>
    </row>
    <row r="25" spans="1:39" x14ac:dyDescent="0.35">
      <c r="A25" s="3">
        <v>45566</v>
      </c>
      <c r="B25">
        <v>5</v>
      </c>
      <c r="D25">
        <v>6</v>
      </c>
      <c r="R25">
        <v>9</v>
      </c>
      <c r="S25">
        <f>X11</f>
        <v>0.78</v>
      </c>
      <c r="AD25" s="31"/>
      <c r="AE25" s="32" t="s">
        <v>35</v>
      </c>
      <c r="AF25" s="7">
        <f>AF24/AF18*100</f>
        <v>19.132460670535018</v>
      </c>
      <c r="AG25" s="31"/>
      <c r="AI25">
        <f t="shared" si="2"/>
        <v>-1.2300000000000004</v>
      </c>
      <c r="AJ25">
        <f t="shared" si="3"/>
        <v>1.512900000000001</v>
      </c>
      <c r="AK25">
        <f t="shared" si="4"/>
        <v>1.2300000000000004</v>
      </c>
      <c r="AL25">
        <f t="shared" si="5"/>
        <v>-1.8608670000000018</v>
      </c>
      <c r="AM25">
        <f t="shared" si="6"/>
        <v>2.2888664100000029</v>
      </c>
    </row>
    <row r="26" spans="1:39" x14ac:dyDescent="0.35">
      <c r="A26" s="3">
        <v>45567</v>
      </c>
      <c r="B26">
        <v>6</v>
      </c>
      <c r="D26">
        <v>6</v>
      </c>
      <c r="R26">
        <v>9</v>
      </c>
      <c r="S26">
        <f>Y11</f>
        <v>0.9</v>
      </c>
      <c r="AD26" s="31"/>
      <c r="AE26" s="32" t="s">
        <v>36</v>
      </c>
      <c r="AF26" s="7">
        <f>(SUM(AL10:AL104)/G10)/(AF24*AF24*AF24)</f>
        <v>-0.16996228359245905</v>
      </c>
      <c r="AG26" s="31"/>
      <c r="AI26">
        <f t="shared" si="2"/>
        <v>-1.2300000000000004</v>
      </c>
      <c r="AJ26">
        <f t="shared" si="3"/>
        <v>1.512900000000001</v>
      </c>
      <c r="AK26">
        <f t="shared" si="4"/>
        <v>1.2300000000000004</v>
      </c>
      <c r="AL26">
        <f t="shared" si="5"/>
        <v>-1.8608670000000018</v>
      </c>
      <c r="AM26">
        <f t="shared" si="6"/>
        <v>2.2888664100000029</v>
      </c>
    </row>
    <row r="27" spans="1:39" x14ac:dyDescent="0.35">
      <c r="A27" s="3">
        <v>45568</v>
      </c>
      <c r="B27">
        <v>5</v>
      </c>
      <c r="D27">
        <v>6</v>
      </c>
      <c r="R27">
        <v>10</v>
      </c>
      <c r="S27">
        <f>Y11</f>
        <v>0.9</v>
      </c>
      <c r="AD27" s="31"/>
      <c r="AE27" s="32" t="s">
        <v>37</v>
      </c>
      <c r="AF27" s="7">
        <f>(SUM(AM10:AM104)/G10)/(POWER(AF24,4))-3</f>
        <v>-0.40239833466059949</v>
      </c>
      <c r="AG27" s="31"/>
      <c r="AI27">
        <f t="shared" si="2"/>
        <v>-1.2300000000000004</v>
      </c>
      <c r="AJ27">
        <f t="shared" si="3"/>
        <v>1.512900000000001</v>
      </c>
      <c r="AK27">
        <f t="shared" si="4"/>
        <v>1.2300000000000004</v>
      </c>
      <c r="AL27">
        <f t="shared" si="5"/>
        <v>-1.8608670000000018</v>
      </c>
      <c r="AM27">
        <f t="shared" si="6"/>
        <v>2.2888664100000029</v>
      </c>
    </row>
    <row r="28" spans="1:39" x14ac:dyDescent="0.35">
      <c r="A28" s="3">
        <v>45569</v>
      </c>
      <c r="B28">
        <v>7</v>
      </c>
      <c r="D28">
        <v>6</v>
      </c>
      <c r="R28">
        <v>10</v>
      </c>
      <c r="S28">
        <f>Z11</f>
        <v>1</v>
      </c>
      <c r="AD28" s="31"/>
      <c r="AE28" s="31"/>
      <c r="AF28" s="31"/>
      <c r="AG28" s="31"/>
      <c r="AI28">
        <f t="shared" si="2"/>
        <v>-1.2300000000000004</v>
      </c>
      <c r="AJ28">
        <f t="shared" si="3"/>
        <v>1.512900000000001</v>
      </c>
      <c r="AK28">
        <f t="shared" si="4"/>
        <v>1.2300000000000004</v>
      </c>
      <c r="AL28">
        <f t="shared" si="5"/>
        <v>-1.8608670000000018</v>
      </c>
      <c r="AM28">
        <f t="shared" si="6"/>
        <v>2.2888664100000029</v>
      </c>
    </row>
    <row r="29" spans="1:39" x14ac:dyDescent="0.35">
      <c r="A29" s="3">
        <v>45570</v>
      </c>
      <c r="B29">
        <v>4</v>
      </c>
      <c r="D29">
        <v>6</v>
      </c>
      <c r="R29">
        <v>12</v>
      </c>
      <c r="S29">
        <v>1</v>
      </c>
      <c r="AI29">
        <f t="shared" si="2"/>
        <v>-1.2300000000000004</v>
      </c>
      <c r="AJ29">
        <f t="shared" si="3"/>
        <v>1.512900000000001</v>
      </c>
      <c r="AK29">
        <f t="shared" si="4"/>
        <v>1.2300000000000004</v>
      </c>
      <c r="AL29">
        <f t="shared" si="5"/>
        <v>-1.8608670000000018</v>
      </c>
      <c r="AM29">
        <f t="shared" si="6"/>
        <v>2.2888664100000029</v>
      </c>
    </row>
    <row r="30" spans="1:39" x14ac:dyDescent="0.35">
      <c r="A30" s="3">
        <v>45571</v>
      </c>
      <c r="B30">
        <v>9</v>
      </c>
      <c r="D30">
        <v>6</v>
      </c>
      <c r="I30" s="45" t="s">
        <v>83</v>
      </c>
      <c r="J30" s="18"/>
      <c r="K30" s="46" t="s">
        <v>84</v>
      </c>
      <c r="AI30">
        <f t="shared" si="2"/>
        <v>-1.2300000000000004</v>
      </c>
      <c r="AJ30">
        <f t="shared" si="3"/>
        <v>1.512900000000001</v>
      </c>
      <c r="AK30">
        <f t="shared" si="4"/>
        <v>1.2300000000000004</v>
      </c>
      <c r="AL30">
        <f t="shared" si="5"/>
        <v>-1.8608670000000018</v>
      </c>
      <c r="AM30">
        <f t="shared" si="6"/>
        <v>2.2888664100000029</v>
      </c>
    </row>
    <row r="31" spans="1:39" x14ac:dyDescent="0.35">
      <c r="A31" s="3">
        <v>45572</v>
      </c>
      <c r="B31">
        <v>6</v>
      </c>
      <c r="D31">
        <v>6</v>
      </c>
      <c r="I31" s="40" t="s">
        <v>57</v>
      </c>
      <c r="J31" s="40"/>
      <c r="K31" s="9">
        <f>5-1-2</f>
        <v>2</v>
      </c>
      <c r="AI31">
        <f t="shared" si="2"/>
        <v>-1.2300000000000004</v>
      </c>
      <c r="AJ31">
        <f t="shared" si="3"/>
        <v>1.512900000000001</v>
      </c>
      <c r="AK31">
        <f t="shared" si="4"/>
        <v>1.2300000000000004</v>
      </c>
      <c r="AL31">
        <f t="shared" si="5"/>
        <v>-1.8608670000000018</v>
      </c>
      <c r="AM31">
        <f t="shared" si="6"/>
        <v>2.2888664100000029</v>
      </c>
    </row>
    <row r="32" spans="1:39" x14ac:dyDescent="0.35">
      <c r="A32" s="3">
        <v>45573</v>
      </c>
      <c r="B32">
        <v>6</v>
      </c>
      <c r="D32">
        <v>6</v>
      </c>
      <c r="I32" s="18" t="s">
        <v>54</v>
      </c>
      <c r="J32" s="18"/>
      <c r="AI32">
        <f t="shared" si="2"/>
        <v>-1.2300000000000004</v>
      </c>
      <c r="AJ32">
        <f t="shared" si="3"/>
        <v>1.512900000000001</v>
      </c>
      <c r="AK32">
        <f t="shared" si="4"/>
        <v>1.2300000000000004</v>
      </c>
      <c r="AL32">
        <f t="shared" si="5"/>
        <v>-1.8608670000000018</v>
      </c>
      <c r="AM32">
        <f t="shared" si="6"/>
        <v>2.2888664100000029</v>
      </c>
    </row>
    <row r="33" spans="1:39" x14ac:dyDescent="0.35">
      <c r="A33" s="3">
        <v>45574</v>
      </c>
      <c r="B33">
        <v>7</v>
      </c>
      <c r="D33">
        <v>6</v>
      </c>
      <c r="AI33">
        <f t="shared" si="2"/>
        <v>-1.2300000000000004</v>
      </c>
      <c r="AJ33">
        <f t="shared" si="3"/>
        <v>1.512900000000001</v>
      </c>
      <c r="AK33">
        <f t="shared" si="4"/>
        <v>1.2300000000000004</v>
      </c>
      <c r="AL33">
        <f t="shared" si="5"/>
        <v>-1.8608670000000018</v>
      </c>
      <c r="AM33">
        <f t="shared" si="6"/>
        <v>2.2888664100000029</v>
      </c>
    </row>
    <row r="34" spans="1:39" x14ac:dyDescent="0.35">
      <c r="A34" s="3">
        <v>45575</v>
      </c>
      <c r="B34">
        <v>7</v>
      </c>
      <c r="D34">
        <v>6</v>
      </c>
      <c r="I34" s="18" t="s">
        <v>20</v>
      </c>
      <c r="J34" s="36" t="str">
        <f>"4 - 5"</f>
        <v>4 - 5</v>
      </c>
      <c r="K34" s="7">
        <v>6</v>
      </c>
      <c r="L34" s="7">
        <v>7</v>
      </c>
      <c r="M34" s="7">
        <v>8</v>
      </c>
      <c r="N34" s="7" t="str">
        <f>"9 - 10"</f>
        <v>9 - 10</v>
      </c>
      <c r="O34" s="18" t="s">
        <v>12</v>
      </c>
      <c r="P34" s="5"/>
      <c r="AI34">
        <f t="shared" si="2"/>
        <v>-1.2300000000000004</v>
      </c>
      <c r="AJ34">
        <f t="shared" si="3"/>
        <v>1.512900000000001</v>
      </c>
      <c r="AK34">
        <f t="shared" si="4"/>
        <v>1.2300000000000004</v>
      </c>
      <c r="AL34">
        <f t="shared" si="5"/>
        <v>-1.8608670000000018</v>
      </c>
      <c r="AM34">
        <f t="shared" si="6"/>
        <v>2.2888664100000029</v>
      </c>
    </row>
    <row r="35" spans="1:39" x14ac:dyDescent="0.35">
      <c r="A35" s="3">
        <v>45576</v>
      </c>
      <c r="B35">
        <v>7</v>
      </c>
      <c r="D35">
        <v>6</v>
      </c>
      <c r="I35" s="18" t="s">
        <v>52</v>
      </c>
      <c r="J35" s="7">
        <v>13</v>
      </c>
      <c r="K35" s="7">
        <v>19</v>
      </c>
      <c r="L35" s="7">
        <v>30</v>
      </c>
      <c r="M35" s="7">
        <v>16</v>
      </c>
      <c r="N35" s="7">
        <v>22</v>
      </c>
      <c r="O35" s="26">
        <f>SUM(J35:N35)</f>
        <v>100</v>
      </c>
      <c r="P35" s="5"/>
      <c r="AI35">
        <f t="shared" si="2"/>
        <v>-1.2300000000000004</v>
      </c>
      <c r="AJ35">
        <f t="shared" si="3"/>
        <v>1.512900000000001</v>
      </c>
      <c r="AK35">
        <f t="shared" si="4"/>
        <v>1.2300000000000004</v>
      </c>
      <c r="AL35">
        <f t="shared" si="5"/>
        <v>-1.8608670000000018</v>
      </c>
      <c r="AM35">
        <f t="shared" si="6"/>
        <v>2.2888664100000029</v>
      </c>
    </row>
    <row r="36" spans="1:39" x14ac:dyDescent="0.35">
      <c r="A36" s="3">
        <v>45577</v>
      </c>
      <c r="B36">
        <v>10</v>
      </c>
      <c r="D36">
        <v>6</v>
      </c>
      <c r="I36" s="18" t="s">
        <v>11</v>
      </c>
      <c r="J36" s="7">
        <f>J35/$G$10</f>
        <v>0.13</v>
      </c>
      <c r="K36" s="7">
        <f t="shared" ref="K36:M36" si="8">K35/$G$10</f>
        <v>0.19</v>
      </c>
      <c r="L36" s="7">
        <f>L35/$G$10</f>
        <v>0.3</v>
      </c>
      <c r="M36" s="7">
        <f t="shared" si="8"/>
        <v>0.16</v>
      </c>
      <c r="N36" s="7">
        <f>N35/$G$10</f>
        <v>0.22</v>
      </c>
      <c r="O36" s="26">
        <f ca="1">SUM(J36:P36)</f>
        <v>1</v>
      </c>
      <c r="P36" s="5"/>
      <c r="AI36">
        <f t="shared" si="2"/>
        <v>-1.2300000000000004</v>
      </c>
      <c r="AJ36">
        <f t="shared" si="3"/>
        <v>1.512900000000001</v>
      </c>
      <c r="AK36">
        <f t="shared" si="4"/>
        <v>1.2300000000000004</v>
      </c>
      <c r="AL36">
        <f t="shared" si="5"/>
        <v>-1.8608670000000018</v>
      </c>
      <c r="AM36">
        <f t="shared" si="6"/>
        <v>2.2888664100000029</v>
      </c>
    </row>
    <row r="37" spans="1:39" x14ac:dyDescent="0.35">
      <c r="A37" s="3">
        <v>45578</v>
      </c>
      <c r="B37">
        <v>7</v>
      </c>
      <c r="D37">
        <v>6</v>
      </c>
      <c r="I37" s="18" t="s">
        <v>85</v>
      </c>
      <c r="J37" s="7">
        <f>_xlfn.POISSON.DIST(5,$AF$18,TRUE)-_xlfn.POISSON.DIST(4,$AF$18,TRUE)</f>
        <v>0.11927821637142283</v>
      </c>
      <c r="K37" s="7">
        <f>_xlfn.POISSON.DIST(K34,$AF$18,FALSE)</f>
        <v>0.14373025072756448</v>
      </c>
      <c r="L37" s="7">
        <f>_xlfn.POISSON.DIST(L34,$AF$18,FALSE)</f>
        <v>0.14845281610861308</v>
      </c>
      <c r="M37" s="7">
        <f>_xlfn.POISSON.DIST(M34,$AF$18,FALSE)</f>
        <v>0.13416423255815907</v>
      </c>
      <c r="N37" s="7">
        <f>_xlfn.POISSON.DIST(10,$AF$18,TRUE)-_xlfn.POISSON.DIST(9,$AF$18,TRUE)</f>
        <v>7.7923927912104562E-2</v>
      </c>
      <c r="O37" s="26">
        <f>SUM(J37:N37)</f>
        <v>0.62354944367786402</v>
      </c>
      <c r="P37" s="5"/>
      <c r="S37">
        <f>1-O37</f>
        <v>0.37645055632213598</v>
      </c>
      <c r="T37" t="s">
        <v>49</v>
      </c>
      <c r="AI37">
        <f t="shared" si="2"/>
        <v>-1.2300000000000004</v>
      </c>
      <c r="AJ37">
        <f t="shared" si="3"/>
        <v>1.512900000000001</v>
      </c>
      <c r="AK37">
        <f t="shared" si="4"/>
        <v>1.2300000000000004</v>
      </c>
      <c r="AL37">
        <f t="shared" si="5"/>
        <v>-1.8608670000000018</v>
      </c>
      <c r="AM37">
        <f t="shared" si="6"/>
        <v>2.2888664100000029</v>
      </c>
    </row>
    <row r="38" spans="1:39" x14ac:dyDescent="0.35">
      <c r="A38" s="3">
        <v>45579</v>
      </c>
      <c r="B38">
        <v>8</v>
      </c>
      <c r="D38">
        <v>6</v>
      </c>
      <c r="I38" s="18" t="s">
        <v>86</v>
      </c>
      <c r="J38" s="7">
        <f>(J37-J36)*(J37-J36)/J37</f>
        <v>9.6376897370815593E-4</v>
      </c>
      <c r="K38" s="7">
        <f>(K37-K36)*(K37-K36)/K37</f>
        <v>1.4895192117851562E-2</v>
      </c>
      <c r="L38" s="7">
        <f>(L37-L36)*(L37-L36)/L37</f>
        <v>0.15470605103649054</v>
      </c>
      <c r="M38" s="7">
        <f>(M37-M36)*(M37-M36)/M37</f>
        <v>4.9751477467702733E-3</v>
      </c>
      <c r="N38" s="7">
        <f>(N37-N36)*(N37-N36)/N37</f>
        <v>0.25904251493448222</v>
      </c>
      <c r="O38" s="26">
        <f>SUM(J38:N38)</f>
        <v>0.43458267480930274</v>
      </c>
      <c r="P38" s="5"/>
      <c r="AI38">
        <f t="shared" si="2"/>
        <v>-1.2300000000000004</v>
      </c>
      <c r="AJ38">
        <f t="shared" si="3"/>
        <v>1.512900000000001</v>
      </c>
      <c r="AK38">
        <f t="shared" si="4"/>
        <v>1.2300000000000004</v>
      </c>
      <c r="AL38">
        <f t="shared" si="5"/>
        <v>-1.8608670000000018</v>
      </c>
      <c r="AM38">
        <f t="shared" si="6"/>
        <v>2.2888664100000029</v>
      </c>
    </row>
    <row r="39" spans="1:39" x14ac:dyDescent="0.35">
      <c r="A39" s="3">
        <v>45580</v>
      </c>
      <c r="B39">
        <v>5</v>
      </c>
      <c r="D39">
        <v>6</v>
      </c>
      <c r="AI39">
        <f t="shared" si="2"/>
        <v>-1.2300000000000004</v>
      </c>
      <c r="AJ39">
        <f t="shared" si="3"/>
        <v>1.512900000000001</v>
      </c>
      <c r="AK39">
        <f t="shared" si="4"/>
        <v>1.2300000000000004</v>
      </c>
      <c r="AL39">
        <f t="shared" si="5"/>
        <v>-1.8608670000000018</v>
      </c>
      <c r="AM39">
        <f t="shared" si="6"/>
        <v>2.2888664100000029</v>
      </c>
    </row>
    <row r="40" spans="1:39" x14ac:dyDescent="0.35">
      <c r="A40" s="3">
        <v>45581</v>
      </c>
      <c r="B40">
        <v>8</v>
      </c>
      <c r="D40">
        <v>6</v>
      </c>
      <c r="AI40">
        <f t="shared" si="2"/>
        <v>-1.2300000000000004</v>
      </c>
      <c r="AJ40">
        <f t="shared" si="3"/>
        <v>1.512900000000001</v>
      </c>
      <c r="AK40">
        <f t="shared" si="4"/>
        <v>1.2300000000000004</v>
      </c>
      <c r="AL40">
        <f t="shared" si="5"/>
        <v>-1.8608670000000018</v>
      </c>
      <c r="AM40">
        <f t="shared" si="6"/>
        <v>2.2888664100000029</v>
      </c>
    </row>
    <row r="41" spans="1:39" x14ac:dyDescent="0.35">
      <c r="A41" s="3">
        <v>45582</v>
      </c>
      <c r="B41">
        <v>5</v>
      </c>
      <c r="D41">
        <v>6</v>
      </c>
      <c r="I41" s="18" t="s">
        <v>50</v>
      </c>
      <c r="J41" s="7">
        <f>G10*SUM(J38:N38)</f>
        <v>43.458267480930274</v>
      </c>
      <c r="AI41">
        <f t="shared" si="2"/>
        <v>-1.2300000000000004</v>
      </c>
      <c r="AJ41">
        <f t="shared" si="3"/>
        <v>1.512900000000001</v>
      </c>
      <c r="AK41">
        <f t="shared" si="4"/>
        <v>1.2300000000000004</v>
      </c>
      <c r="AL41">
        <f t="shared" si="5"/>
        <v>-1.8608670000000018</v>
      </c>
      <c r="AM41">
        <f t="shared" si="6"/>
        <v>2.2888664100000029</v>
      </c>
    </row>
    <row r="42" spans="1:39" x14ac:dyDescent="0.35">
      <c r="A42" s="3">
        <v>45583</v>
      </c>
      <c r="B42">
        <v>7</v>
      </c>
      <c r="D42">
        <v>7</v>
      </c>
      <c r="I42" s="18" t="s">
        <v>51</v>
      </c>
      <c r="J42" s="7">
        <f>_xlfn.CHISQ.INV(0.95,K31)</f>
        <v>5.9914645471079799</v>
      </c>
      <c r="AI42">
        <f t="shared" si="2"/>
        <v>-0.23000000000000043</v>
      </c>
      <c r="AJ42">
        <f t="shared" si="3"/>
        <v>5.2900000000000197E-2</v>
      </c>
      <c r="AK42">
        <f t="shared" si="4"/>
        <v>0.23000000000000043</v>
      </c>
      <c r="AL42">
        <f t="shared" si="5"/>
        <v>-1.2167000000000068E-2</v>
      </c>
      <c r="AM42">
        <f t="shared" si="6"/>
        <v>2.7984100000000207E-3</v>
      </c>
    </row>
    <row r="43" spans="1:39" x14ac:dyDescent="0.35">
      <c r="A43" s="3">
        <v>45584</v>
      </c>
      <c r="B43">
        <v>7</v>
      </c>
      <c r="D43">
        <v>7</v>
      </c>
      <c r="AI43">
        <f t="shared" si="2"/>
        <v>-0.23000000000000043</v>
      </c>
      <c r="AJ43">
        <f t="shared" si="3"/>
        <v>5.2900000000000197E-2</v>
      </c>
      <c r="AK43">
        <f t="shared" si="4"/>
        <v>0.23000000000000043</v>
      </c>
      <c r="AL43">
        <f t="shared" si="5"/>
        <v>-1.2167000000000068E-2</v>
      </c>
      <c r="AM43">
        <f t="shared" si="6"/>
        <v>2.7984100000000207E-3</v>
      </c>
    </row>
    <row r="44" spans="1:39" x14ac:dyDescent="0.35">
      <c r="A44" s="3">
        <v>45585</v>
      </c>
      <c r="B44">
        <v>10</v>
      </c>
      <c r="D44">
        <v>7</v>
      </c>
      <c r="I44" s="18" t="s">
        <v>61</v>
      </c>
      <c r="J44" s="18"/>
      <c r="AI44">
        <f t="shared" si="2"/>
        <v>-0.23000000000000043</v>
      </c>
      <c r="AJ44">
        <f t="shared" si="3"/>
        <v>5.2900000000000197E-2</v>
      </c>
      <c r="AK44">
        <f t="shared" si="4"/>
        <v>0.23000000000000043</v>
      </c>
      <c r="AL44">
        <f t="shared" si="5"/>
        <v>-1.2167000000000068E-2</v>
      </c>
      <c r="AM44">
        <f t="shared" si="6"/>
        <v>2.7984100000000207E-3</v>
      </c>
    </row>
    <row r="45" spans="1:39" x14ac:dyDescent="0.35">
      <c r="A45" s="3">
        <v>45586</v>
      </c>
      <c r="B45">
        <v>7</v>
      </c>
      <c r="D45">
        <v>7</v>
      </c>
      <c r="AI45">
        <f t="shared" si="2"/>
        <v>-0.23000000000000043</v>
      </c>
      <c r="AJ45">
        <f t="shared" si="3"/>
        <v>5.2900000000000197E-2</v>
      </c>
      <c r="AK45">
        <f t="shared" si="4"/>
        <v>0.23000000000000043</v>
      </c>
      <c r="AL45">
        <f t="shared" si="5"/>
        <v>-1.2167000000000068E-2</v>
      </c>
      <c r="AM45">
        <f t="shared" si="6"/>
        <v>2.7984100000000207E-3</v>
      </c>
    </row>
    <row r="46" spans="1:39" x14ac:dyDescent="0.35">
      <c r="A46" s="3">
        <v>45587</v>
      </c>
      <c r="B46">
        <v>7</v>
      </c>
      <c r="D46">
        <v>7</v>
      </c>
      <c r="AI46">
        <f t="shared" si="2"/>
        <v>-0.23000000000000043</v>
      </c>
      <c r="AJ46">
        <f t="shared" si="3"/>
        <v>5.2900000000000197E-2</v>
      </c>
      <c r="AK46">
        <f t="shared" si="4"/>
        <v>0.23000000000000043</v>
      </c>
      <c r="AL46">
        <f t="shared" si="5"/>
        <v>-1.2167000000000068E-2</v>
      </c>
      <c r="AM46">
        <f t="shared" si="6"/>
        <v>2.7984100000000207E-3</v>
      </c>
    </row>
    <row r="47" spans="1:39" x14ac:dyDescent="0.35">
      <c r="A47" s="3">
        <v>45588</v>
      </c>
      <c r="B47">
        <v>7</v>
      </c>
      <c r="D47">
        <v>7</v>
      </c>
      <c r="AI47">
        <f t="shared" si="2"/>
        <v>-0.23000000000000043</v>
      </c>
      <c r="AJ47">
        <f t="shared" si="3"/>
        <v>5.2900000000000197E-2</v>
      </c>
      <c r="AK47">
        <f t="shared" si="4"/>
        <v>0.23000000000000043</v>
      </c>
      <c r="AL47">
        <f t="shared" si="5"/>
        <v>-1.2167000000000068E-2</v>
      </c>
      <c r="AM47">
        <f t="shared" si="6"/>
        <v>2.7984100000000207E-3</v>
      </c>
    </row>
    <row r="48" spans="1:39" x14ac:dyDescent="0.35">
      <c r="A48" s="3">
        <v>45589</v>
      </c>
      <c r="B48">
        <v>6</v>
      </c>
      <c r="D48">
        <v>7</v>
      </c>
      <c r="AI48">
        <f t="shared" si="2"/>
        <v>-0.23000000000000043</v>
      </c>
      <c r="AJ48">
        <f t="shared" si="3"/>
        <v>5.2900000000000197E-2</v>
      </c>
      <c r="AK48">
        <f t="shared" si="4"/>
        <v>0.23000000000000043</v>
      </c>
      <c r="AL48">
        <f t="shared" si="5"/>
        <v>-1.2167000000000068E-2</v>
      </c>
      <c r="AM48">
        <f t="shared" si="6"/>
        <v>2.7984100000000207E-3</v>
      </c>
    </row>
    <row r="49" spans="1:39" x14ac:dyDescent="0.35">
      <c r="A49" s="3">
        <v>45590</v>
      </c>
      <c r="B49">
        <v>6</v>
      </c>
      <c r="D49">
        <v>7</v>
      </c>
      <c r="AI49">
        <f t="shared" si="2"/>
        <v>-0.23000000000000043</v>
      </c>
      <c r="AJ49">
        <f t="shared" si="3"/>
        <v>5.2900000000000197E-2</v>
      </c>
      <c r="AK49">
        <f t="shared" si="4"/>
        <v>0.23000000000000043</v>
      </c>
      <c r="AL49">
        <f t="shared" si="5"/>
        <v>-1.2167000000000068E-2</v>
      </c>
      <c r="AM49">
        <f t="shared" si="6"/>
        <v>2.7984100000000207E-3</v>
      </c>
    </row>
    <row r="50" spans="1:39" x14ac:dyDescent="0.35">
      <c r="A50" s="3">
        <v>45591</v>
      </c>
      <c r="B50">
        <v>4</v>
      </c>
      <c r="D50">
        <v>7</v>
      </c>
      <c r="AI50">
        <f t="shared" si="2"/>
        <v>-0.23000000000000043</v>
      </c>
      <c r="AJ50">
        <f t="shared" si="3"/>
        <v>5.2900000000000197E-2</v>
      </c>
      <c r="AK50">
        <f t="shared" si="4"/>
        <v>0.23000000000000043</v>
      </c>
      <c r="AL50">
        <f t="shared" si="5"/>
        <v>-1.2167000000000068E-2</v>
      </c>
      <c r="AM50">
        <f t="shared" si="6"/>
        <v>2.7984100000000207E-3</v>
      </c>
    </row>
    <row r="51" spans="1:39" x14ac:dyDescent="0.35">
      <c r="A51" s="3">
        <v>45592</v>
      </c>
      <c r="B51">
        <v>10</v>
      </c>
      <c r="D51">
        <v>7</v>
      </c>
      <c r="AI51">
        <f t="shared" si="2"/>
        <v>-0.23000000000000043</v>
      </c>
      <c r="AJ51">
        <f t="shared" si="3"/>
        <v>5.2900000000000197E-2</v>
      </c>
      <c r="AK51">
        <f t="shared" si="4"/>
        <v>0.23000000000000043</v>
      </c>
      <c r="AL51">
        <f t="shared" si="5"/>
        <v>-1.2167000000000068E-2</v>
      </c>
      <c r="AM51">
        <f t="shared" si="6"/>
        <v>2.7984100000000207E-3</v>
      </c>
    </row>
    <row r="52" spans="1:39" x14ac:dyDescent="0.35">
      <c r="A52" s="3">
        <v>45593</v>
      </c>
      <c r="B52">
        <v>8</v>
      </c>
      <c r="D52">
        <v>7</v>
      </c>
      <c r="AI52">
        <f t="shared" si="2"/>
        <v>-0.23000000000000043</v>
      </c>
      <c r="AJ52">
        <f t="shared" si="3"/>
        <v>5.2900000000000197E-2</v>
      </c>
      <c r="AK52">
        <f t="shared" si="4"/>
        <v>0.23000000000000043</v>
      </c>
      <c r="AL52">
        <f t="shared" si="5"/>
        <v>-1.2167000000000068E-2</v>
      </c>
      <c r="AM52">
        <f t="shared" si="6"/>
        <v>2.7984100000000207E-3</v>
      </c>
    </row>
    <row r="53" spans="1:39" x14ac:dyDescent="0.35">
      <c r="A53" s="3">
        <v>45594</v>
      </c>
      <c r="B53">
        <v>6</v>
      </c>
      <c r="D53">
        <v>7</v>
      </c>
      <c r="AI53">
        <f t="shared" si="2"/>
        <v>-0.23000000000000043</v>
      </c>
      <c r="AJ53">
        <f t="shared" si="3"/>
        <v>5.2900000000000197E-2</v>
      </c>
      <c r="AK53">
        <f t="shared" si="4"/>
        <v>0.23000000000000043</v>
      </c>
      <c r="AL53">
        <f t="shared" si="5"/>
        <v>-1.2167000000000068E-2</v>
      </c>
      <c r="AM53">
        <f t="shared" si="6"/>
        <v>2.7984100000000207E-3</v>
      </c>
    </row>
    <row r="54" spans="1:39" x14ac:dyDescent="0.35">
      <c r="A54" s="3">
        <v>45595</v>
      </c>
      <c r="B54">
        <v>6</v>
      </c>
      <c r="D54">
        <v>7</v>
      </c>
      <c r="AI54">
        <f t="shared" si="2"/>
        <v>-0.23000000000000043</v>
      </c>
      <c r="AJ54">
        <f t="shared" si="3"/>
        <v>5.2900000000000197E-2</v>
      </c>
      <c r="AK54">
        <f t="shared" si="4"/>
        <v>0.23000000000000043</v>
      </c>
      <c r="AL54">
        <f t="shared" si="5"/>
        <v>-1.2167000000000068E-2</v>
      </c>
      <c r="AM54">
        <f t="shared" si="6"/>
        <v>2.7984100000000207E-3</v>
      </c>
    </row>
    <row r="55" spans="1:39" x14ac:dyDescent="0.35">
      <c r="A55" s="3">
        <v>45596</v>
      </c>
      <c r="B55">
        <v>7</v>
      </c>
      <c r="D55">
        <v>7</v>
      </c>
      <c r="AI55">
        <f t="shared" si="2"/>
        <v>-0.23000000000000043</v>
      </c>
      <c r="AJ55">
        <f t="shared" si="3"/>
        <v>5.2900000000000197E-2</v>
      </c>
      <c r="AK55">
        <f t="shared" si="4"/>
        <v>0.23000000000000043</v>
      </c>
      <c r="AL55">
        <f t="shared" si="5"/>
        <v>-1.2167000000000068E-2</v>
      </c>
      <c r="AM55">
        <f t="shared" si="6"/>
        <v>2.7984100000000207E-3</v>
      </c>
    </row>
    <row r="56" spans="1:39" x14ac:dyDescent="0.35">
      <c r="A56" s="3">
        <v>45597</v>
      </c>
      <c r="B56">
        <v>7</v>
      </c>
      <c r="D56">
        <v>7</v>
      </c>
      <c r="AI56">
        <f t="shared" si="2"/>
        <v>-0.23000000000000043</v>
      </c>
      <c r="AJ56">
        <f t="shared" si="3"/>
        <v>5.2900000000000197E-2</v>
      </c>
      <c r="AK56">
        <f t="shared" si="4"/>
        <v>0.23000000000000043</v>
      </c>
      <c r="AL56">
        <f t="shared" si="5"/>
        <v>-1.2167000000000068E-2</v>
      </c>
      <c r="AM56">
        <f t="shared" si="6"/>
        <v>2.7984100000000207E-3</v>
      </c>
    </row>
    <row r="57" spans="1:39" x14ac:dyDescent="0.35">
      <c r="A57" s="3">
        <v>45598</v>
      </c>
      <c r="B57">
        <v>10</v>
      </c>
      <c r="D57">
        <v>7</v>
      </c>
      <c r="I57" s="18" t="s">
        <v>55</v>
      </c>
      <c r="J57" s="18"/>
      <c r="K57" s="18"/>
      <c r="AI57">
        <f t="shared" si="2"/>
        <v>-0.23000000000000043</v>
      </c>
      <c r="AJ57">
        <f t="shared" si="3"/>
        <v>5.2900000000000197E-2</v>
      </c>
      <c r="AK57">
        <f t="shared" si="4"/>
        <v>0.23000000000000043</v>
      </c>
      <c r="AL57">
        <f t="shared" si="5"/>
        <v>-1.2167000000000068E-2</v>
      </c>
      <c r="AM57">
        <f t="shared" si="6"/>
        <v>2.7984100000000207E-3</v>
      </c>
    </row>
    <row r="58" spans="1:39" x14ac:dyDescent="0.35">
      <c r="A58" s="3">
        <v>45599</v>
      </c>
      <c r="B58">
        <v>10</v>
      </c>
      <c r="D58">
        <v>7</v>
      </c>
      <c r="AI58">
        <f t="shared" si="2"/>
        <v>-0.23000000000000043</v>
      </c>
      <c r="AJ58">
        <f t="shared" si="3"/>
        <v>5.2900000000000197E-2</v>
      </c>
      <c r="AK58">
        <f t="shared" si="4"/>
        <v>0.23000000000000043</v>
      </c>
      <c r="AL58">
        <f t="shared" si="5"/>
        <v>-1.2167000000000068E-2</v>
      </c>
      <c r="AM58">
        <f t="shared" si="6"/>
        <v>2.7984100000000207E-3</v>
      </c>
    </row>
    <row r="59" spans="1:39" x14ac:dyDescent="0.35">
      <c r="A59" s="3">
        <v>45600</v>
      </c>
      <c r="B59">
        <v>6</v>
      </c>
      <c r="D59">
        <v>7</v>
      </c>
      <c r="I59" s="18" t="s">
        <v>56</v>
      </c>
      <c r="J59" s="7">
        <f>ABS(J41-K31)/SQRT(2*K31)</f>
        <v>20.729133740465137</v>
      </c>
      <c r="K59" s="37" t="s">
        <v>58</v>
      </c>
      <c r="L59" s="38">
        <v>3</v>
      </c>
      <c r="AI59">
        <f t="shared" si="2"/>
        <v>-0.23000000000000043</v>
      </c>
      <c r="AJ59">
        <f t="shared" si="3"/>
        <v>5.2900000000000197E-2</v>
      </c>
      <c r="AK59">
        <f t="shared" si="4"/>
        <v>0.23000000000000043</v>
      </c>
      <c r="AL59">
        <f t="shared" si="5"/>
        <v>-1.2167000000000068E-2</v>
      </c>
      <c r="AM59">
        <f t="shared" si="6"/>
        <v>2.7984100000000207E-3</v>
      </c>
    </row>
    <row r="60" spans="1:39" x14ac:dyDescent="0.35">
      <c r="A60" s="3">
        <v>45601</v>
      </c>
      <c r="B60">
        <v>6</v>
      </c>
      <c r="D60">
        <v>7</v>
      </c>
      <c r="AI60">
        <f t="shared" si="2"/>
        <v>-0.23000000000000043</v>
      </c>
      <c r="AJ60">
        <f t="shared" si="3"/>
        <v>5.2900000000000197E-2</v>
      </c>
      <c r="AK60">
        <f t="shared" si="4"/>
        <v>0.23000000000000043</v>
      </c>
      <c r="AL60">
        <f t="shared" si="5"/>
        <v>-1.2167000000000068E-2</v>
      </c>
      <c r="AM60">
        <f t="shared" si="6"/>
        <v>2.7984100000000207E-3</v>
      </c>
    </row>
    <row r="61" spans="1:39" x14ac:dyDescent="0.35">
      <c r="A61" s="3">
        <v>45602</v>
      </c>
      <c r="B61">
        <v>7</v>
      </c>
      <c r="D61">
        <v>7</v>
      </c>
      <c r="I61" s="18" t="s">
        <v>61</v>
      </c>
      <c r="J61" s="18"/>
      <c r="AI61">
        <f t="shared" si="2"/>
        <v>-0.23000000000000043</v>
      </c>
      <c r="AJ61">
        <f t="shared" si="3"/>
        <v>5.2900000000000197E-2</v>
      </c>
      <c r="AK61">
        <f t="shared" si="4"/>
        <v>0.23000000000000043</v>
      </c>
      <c r="AL61">
        <f t="shared" si="5"/>
        <v>-1.2167000000000068E-2</v>
      </c>
      <c r="AM61">
        <f t="shared" si="6"/>
        <v>2.7984100000000207E-3</v>
      </c>
    </row>
    <row r="62" spans="1:39" x14ac:dyDescent="0.35">
      <c r="A62" s="3">
        <v>45603</v>
      </c>
      <c r="B62">
        <v>9</v>
      </c>
      <c r="D62">
        <v>7</v>
      </c>
      <c r="AI62">
        <f t="shared" si="2"/>
        <v>-0.23000000000000043</v>
      </c>
      <c r="AJ62">
        <f t="shared" si="3"/>
        <v>5.2900000000000197E-2</v>
      </c>
      <c r="AK62">
        <f t="shared" si="4"/>
        <v>0.23000000000000043</v>
      </c>
      <c r="AL62">
        <f t="shared" si="5"/>
        <v>-1.2167000000000068E-2</v>
      </c>
      <c r="AM62">
        <f t="shared" si="6"/>
        <v>2.7984100000000207E-3</v>
      </c>
    </row>
    <row r="63" spans="1:39" x14ac:dyDescent="0.35">
      <c r="A63" s="3">
        <v>45604</v>
      </c>
      <c r="B63">
        <v>7</v>
      </c>
      <c r="D63">
        <v>7</v>
      </c>
      <c r="AI63">
        <f t="shared" si="2"/>
        <v>-0.23000000000000043</v>
      </c>
      <c r="AJ63">
        <f t="shared" si="3"/>
        <v>5.2900000000000197E-2</v>
      </c>
      <c r="AK63">
        <f t="shared" si="4"/>
        <v>0.23000000000000043</v>
      </c>
      <c r="AL63">
        <f t="shared" si="5"/>
        <v>-1.2167000000000068E-2</v>
      </c>
      <c r="AM63">
        <f t="shared" si="6"/>
        <v>2.7984100000000207E-3</v>
      </c>
    </row>
    <row r="64" spans="1:39" x14ac:dyDescent="0.35">
      <c r="A64" s="3">
        <v>45605</v>
      </c>
      <c r="B64">
        <v>10</v>
      </c>
      <c r="D64">
        <v>7</v>
      </c>
      <c r="AI64">
        <f t="shared" si="2"/>
        <v>-0.23000000000000043</v>
      </c>
      <c r="AJ64">
        <f t="shared" si="3"/>
        <v>5.2900000000000197E-2</v>
      </c>
      <c r="AK64">
        <f t="shared" si="4"/>
        <v>0.23000000000000043</v>
      </c>
      <c r="AL64">
        <f t="shared" si="5"/>
        <v>-1.2167000000000068E-2</v>
      </c>
      <c r="AM64">
        <f t="shared" si="6"/>
        <v>2.7984100000000207E-3</v>
      </c>
    </row>
    <row r="65" spans="1:39" x14ac:dyDescent="0.35">
      <c r="A65" s="3">
        <v>45606</v>
      </c>
      <c r="B65">
        <v>9</v>
      </c>
      <c r="D65">
        <v>7</v>
      </c>
      <c r="I65" s="18" t="s">
        <v>59</v>
      </c>
      <c r="J65" s="18"/>
      <c r="AI65">
        <f t="shared" si="2"/>
        <v>-0.23000000000000043</v>
      </c>
      <c r="AJ65">
        <f t="shared" si="3"/>
        <v>5.2900000000000197E-2</v>
      </c>
      <c r="AK65">
        <f t="shared" si="4"/>
        <v>0.23000000000000043</v>
      </c>
      <c r="AL65">
        <f t="shared" si="5"/>
        <v>-1.2167000000000068E-2</v>
      </c>
      <c r="AM65">
        <f t="shared" si="6"/>
        <v>2.7984100000000207E-3</v>
      </c>
    </row>
    <row r="66" spans="1:39" x14ac:dyDescent="0.35">
      <c r="A66" s="3">
        <v>45607</v>
      </c>
      <c r="B66">
        <v>9</v>
      </c>
      <c r="D66">
        <v>7</v>
      </c>
      <c r="AI66">
        <f t="shared" si="2"/>
        <v>-0.23000000000000043</v>
      </c>
      <c r="AJ66">
        <f t="shared" si="3"/>
        <v>5.2900000000000197E-2</v>
      </c>
      <c r="AK66">
        <f t="shared" si="4"/>
        <v>0.23000000000000043</v>
      </c>
      <c r="AL66">
        <f t="shared" si="5"/>
        <v>-1.2167000000000068E-2</v>
      </c>
      <c r="AM66">
        <f t="shared" si="6"/>
        <v>2.7984100000000207E-3</v>
      </c>
    </row>
    <row r="67" spans="1:39" x14ac:dyDescent="0.35">
      <c r="A67" s="3">
        <v>45608</v>
      </c>
      <c r="B67">
        <v>6</v>
      </c>
      <c r="D67">
        <v>7</v>
      </c>
      <c r="I67" s="18" t="s">
        <v>56</v>
      </c>
      <c r="J67" s="7">
        <f>ABS(J41-K31)/SQRT(2*5+2.4)</f>
        <v>11.773356821587299</v>
      </c>
      <c r="K67" s="37" t="s">
        <v>58</v>
      </c>
      <c r="L67" s="38">
        <v>3</v>
      </c>
      <c r="AI67">
        <f t="shared" si="2"/>
        <v>-0.23000000000000043</v>
      </c>
      <c r="AJ67">
        <f t="shared" si="3"/>
        <v>5.2900000000000197E-2</v>
      </c>
      <c r="AK67">
        <f t="shared" si="4"/>
        <v>0.23000000000000043</v>
      </c>
      <c r="AL67">
        <f t="shared" si="5"/>
        <v>-1.2167000000000068E-2</v>
      </c>
      <c r="AM67">
        <f t="shared" si="6"/>
        <v>2.7984100000000207E-3</v>
      </c>
    </row>
    <row r="68" spans="1:39" x14ac:dyDescent="0.35">
      <c r="A68" s="3">
        <v>45609</v>
      </c>
      <c r="B68">
        <v>6</v>
      </c>
      <c r="D68">
        <v>7</v>
      </c>
      <c r="AI68">
        <f t="shared" si="2"/>
        <v>-0.23000000000000043</v>
      </c>
      <c r="AJ68">
        <f t="shared" si="3"/>
        <v>5.2900000000000197E-2</v>
      </c>
      <c r="AK68">
        <f t="shared" si="4"/>
        <v>0.23000000000000043</v>
      </c>
      <c r="AL68">
        <f t="shared" si="5"/>
        <v>-1.2167000000000068E-2</v>
      </c>
      <c r="AM68">
        <f t="shared" si="6"/>
        <v>2.7984100000000207E-3</v>
      </c>
    </row>
    <row r="69" spans="1:39" x14ac:dyDescent="0.35">
      <c r="A69" s="3">
        <v>45610</v>
      </c>
      <c r="B69">
        <v>7</v>
      </c>
      <c r="D69">
        <v>7</v>
      </c>
      <c r="I69" s="18" t="s">
        <v>61</v>
      </c>
      <c r="J69" s="18"/>
      <c r="AI69">
        <f t="shared" si="2"/>
        <v>-0.23000000000000043</v>
      </c>
      <c r="AJ69">
        <f t="shared" si="3"/>
        <v>5.2900000000000197E-2</v>
      </c>
      <c r="AK69">
        <f t="shared" si="4"/>
        <v>0.23000000000000043</v>
      </c>
      <c r="AL69">
        <f t="shared" si="5"/>
        <v>-1.2167000000000068E-2</v>
      </c>
      <c r="AM69">
        <f t="shared" si="6"/>
        <v>2.7984100000000207E-3</v>
      </c>
    </row>
    <row r="70" spans="1:39" x14ac:dyDescent="0.35">
      <c r="A70" s="3">
        <v>45611</v>
      </c>
      <c r="B70">
        <v>5</v>
      </c>
      <c r="D70">
        <v>7</v>
      </c>
      <c r="AI70">
        <f t="shared" si="2"/>
        <v>-0.23000000000000043</v>
      </c>
      <c r="AJ70">
        <f t="shared" si="3"/>
        <v>5.2900000000000197E-2</v>
      </c>
      <c r="AK70">
        <f t="shared" si="4"/>
        <v>0.23000000000000043</v>
      </c>
      <c r="AL70">
        <f t="shared" si="5"/>
        <v>-1.2167000000000068E-2</v>
      </c>
      <c r="AM70">
        <f t="shared" si="6"/>
        <v>2.7984100000000207E-3</v>
      </c>
    </row>
    <row r="71" spans="1:39" x14ac:dyDescent="0.35">
      <c r="A71" s="3">
        <v>45612</v>
      </c>
      <c r="B71">
        <v>9</v>
      </c>
      <c r="D71">
        <v>7</v>
      </c>
      <c r="AI71">
        <f t="shared" si="2"/>
        <v>-0.23000000000000043</v>
      </c>
      <c r="AJ71">
        <f t="shared" si="3"/>
        <v>5.2900000000000197E-2</v>
      </c>
      <c r="AK71">
        <f t="shared" si="4"/>
        <v>0.23000000000000043</v>
      </c>
      <c r="AL71">
        <f t="shared" si="5"/>
        <v>-1.2167000000000068E-2</v>
      </c>
      <c r="AM71">
        <f t="shared" si="6"/>
        <v>2.7984100000000207E-3</v>
      </c>
    </row>
    <row r="72" spans="1:39" x14ac:dyDescent="0.35">
      <c r="A72" s="3">
        <v>45613</v>
      </c>
      <c r="B72">
        <v>7</v>
      </c>
      <c r="D72">
        <v>8</v>
      </c>
      <c r="AI72">
        <f t="shared" si="2"/>
        <v>0.76999999999999957</v>
      </c>
      <c r="AJ72">
        <f t="shared" si="3"/>
        <v>0.59289999999999932</v>
      </c>
      <c r="AK72">
        <f t="shared" si="4"/>
        <v>0.76999999999999957</v>
      </c>
      <c r="AL72">
        <f t="shared" si="5"/>
        <v>0.45653299999999924</v>
      </c>
      <c r="AM72">
        <f t="shared" si="6"/>
        <v>0.35153040999999918</v>
      </c>
    </row>
    <row r="73" spans="1:39" x14ac:dyDescent="0.35">
      <c r="A73" s="3">
        <v>45614</v>
      </c>
      <c r="B73">
        <v>9</v>
      </c>
      <c r="D73">
        <v>8</v>
      </c>
      <c r="AI73">
        <f t="shared" si="2"/>
        <v>0.76999999999999957</v>
      </c>
      <c r="AJ73">
        <f t="shared" si="3"/>
        <v>0.59289999999999932</v>
      </c>
      <c r="AK73">
        <f t="shared" si="4"/>
        <v>0.76999999999999957</v>
      </c>
      <c r="AL73">
        <f t="shared" si="5"/>
        <v>0.45653299999999924</v>
      </c>
      <c r="AM73">
        <f t="shared" si="6"/>
        <v>0.35153040999999918</v>
      </c>
    </row>
    <row r="74" spans="1:39" x14ac:dyDescent="0.35">
      <c r="A74" s="3">
        <v>45615</v>
      </c>
      <c r="B74">
        <v>7</v>
      </c>
      <c r="D74">
        <v>8</v>
      </c>
      <c r="AI74">
        <f t="shared" si="2"/>
        <v>0.76999999999999957</v>
      </c>
      <c r="AJ74">
        <f t="shared" si="3"/>
        <v>0.59289999999999932</v>
      </c>
      <c r="AK74">
        <f t="shared" si="4"/>
        <v>0.76999999999999957</v>
      </c>
      <c r="AL74">
        <f t="shared" si="5"/>
        <v>0.45653299999999924</v>
      </c>
      <c r="AM74">
        <f t="shared" si="6"/>
        <v>0.35153040999999918</v>
      </c>
    </row>
    <row r="75" spans="1:39" x14ac:dyDescent="0.35">
      <c r="A75" s="3">
        <v>45616</v>
      </c>
      <c r="B75">
        <v>8</v>
      </c>
      <c r="D75">
        <v>8</v>
      </c>
      <c r="AI75">
        <f t="shared" ref="AI75:AI103" si="9">D75-$AF$18</f>
        <v>0.76999999999999957</v>
      </c>
      <c r="AJ75">
        <f t="shared" ref="AJ75:AJ104" si="10">POWER(AI75,2)</f>
        <v>0.59289999999999932</v>
      </c>
      <c r="AK75">
        <f t="shared" ref="AK75:AK104" si="11">ABS(AI75)</f>
        <v>0.76999999999999957</v>
      </c>
      <c r="AL75">
        <f t="shared" ref="AL75:AL104" si="12">POWER(AI75,3)</f>
        <v>0.45653299999999924</v>
      </c>
      <c r="AM75">
        <f t="shared" ref="AM75:AM103" si="13">POWER(AI75,4)</f>
        <v>0.35153040999999918</v>
      </c>
    </row>
    <row r="76" spans="1:39" x14ac:dyDescent="0.35">
      <c r="A76" s="3">
        <v>45617</v>
      </c>
      <c r="B76">
        <v>7</v>
      </c>
      <c r="D76">
        <v>8</v>
      </c>
      <c r="AI76">
        <f t="shared" si="9"/>
        <v>0.76999999999999957</v>
      </c>
      <c r="AJ76">
        <f t="shared" si="10"/>
        <v>0.59289999999999932</v>
      </c>
      <c r="AK76">
        <f t="shared" si="11"/>
        <v>0.76999999999999957</v>
      </c>
      <c r="AL76">
        <f t="shared" si="12"/>
        <v>0.45653299999999924</v>
      </c>
      <c r="AM76">
        <f t="shared" si="13"/>
        <v>0.35153040999999918</v>
      </c>
    </row>
    <row r="77" spans="1:39" x14ac:dyDescent="0.35">
      <c r="A77" s="3">
        <v>45618</v>
      </c>
      <c r="B77">
        <v>6</v>
      </c>
      <c r="D77">
        <v>8</v>
      </c>
      <c r="AI77">
        <f t="shared" si="9"/>
        <v>0.76999999999999957</v>
      </c>
      <c r="AJ77">
        <f t="shared" si="10"/>
        <v>0.59289999999999932</v>
      </c>
      <c r="AK77">
        <f t="shared" si="11"/>
        <v>0.76999999999999957</v>
      </c>
      <c r="AL77">
        <f t="shared" si="12"/>
        <v>0.45653299999999924</v>
      </c>
      <c r="AM77">
        <f t="shared" si="13"/>
        <v>0.35153040999999918</v>
      </c>
    </row>
    <row r="78" spans="1:39" x14ac:dyDescent="0.35">
      <c r="A78" s="3">
        <v>45619</v>
      </c>
      <c r="B78">
        <v>10</v>
      </c>
      <c r="D78">
        <v>8</v>
      </c>
      <c r="AI78">
        <f t="shared" si="9"/>
        <v>0.76999999999999957</v>
      </c>
      <c r="AJ78">
        <f t="shared" si="10"/>
        <v>0.59289999999999932</v>
      </c>
      <c r="AK78">
        <f t="shared" si="11"/>
        <v>0.76999999999999957</v>
      </c>
      <c r="AL78">
        <f t="shared" si="12"/>
        <v>0.45653299999999924</v>
      </c>
      <c r="AM78">
        <f t="shared" si="13"/>
        <v>0.35153040999999918</v>
      </c>
    </row>
    <row r="79" spans="1:39" x14ac:dyDescent="0.35">
      <c r="A79" s="3">
        <v>45620</v>
      </c>
      <c r="B79">
        <v>9</v>
      </c>
      <c r="D79">
        <v>8</v>
      </c>
      <c r="AI79">
        <f t="shared" si="9"/>
        <v>0.76999999999999957</v>
      </c>
      <c r="AJ79">
        <f t="shared" si="10"/>
        <v>0.59289999999999932</v>
      </c>
      <c r="AK79">
        <f t="shared" si="11"/>
        <v>0.76999999999999957</v>
      </c>
      <c r="AL79">
        <f t="shared" si="12"/>
        <v>0.45653299999999924</v>
      </c>
      <c r="AM79">
        <f t="shared" si="13"/>
        <v>0.35153040999999918</v>
      </c>
    </row>
    <row r="80" spans="1:39" x14ac:dyDescent="0.35">
      <c r="A80" s="3">
        <v>45621</v>
      </c>
      <c r="B80">
        <v>9</v>
      </c>
      <c r="D80">
        <v>8</v>
      </c>
      <c r="AI80">
        <f t="shared" si="9"/>
        <v>0.76999999999999957</v>
      </c>
      <c r="AJ80">
        <f t="shared" si="10"/>
        <v>0.59289999999999932</v>
      </c>
      <c r="AK80">
        <f t="shared" si="11"/>
        <v>0.76999999999999957</v>
      </c>
      <c r="AL80">
        <f t="shared" si="12"/>
        <v>0.45653299999999924</v>
      </c>
      <c r="AM80">
        <f t="shared" si="13"/>
        <v>0.35153040999999918</v>
      </c>
    </row>
    <row r="81" spans="1:39" x14ac:dyDescent="0.35">
      <c r="A81" s="3">
        <v>45622</v>
      </c>
      <c r="B81">
        <v>8</v>
      </c>
      <c r="D81">
        <v>8</v>
      </c>
      <c r="AI81">
        <f t="shared" si="9"/>
        <v>0.76999999999999957</v>
      </c>
      <c r="AJ81">
        <f t="shared" si="10"/>
        <v>0.59289999999999932</v>
      </c>
      <c r="AK81">
        <f t="shared" si="11"/>
        <v>0.76999999999999957</v>
      </c>
      <c r="AL81">
        <f t="shared" si="12"/>
        <v>0.45653299999999924</v>
      </c>
      <c r="AM81">
        <f t="shared" si="13"/>
        <v>0.35153040999999918</v>
      </c>
    </row>
    <row r="82" spans="1:39" x14ac:dyDescent="0.35">
      <c r="A82" s="3">
        <v>45623</v>
      </c>
      <c r="B82">
        <v>6</v>
      </c>
      <c r="D82">
        <v>8</v>
      </c>
      <c r="AI82">
        <f t="shared" si="9"/>
        <v>0.76999999999999957</v>
      </c>
      <c r="AJ82">
        <f t="shared" si="10"/>
        <v>0.59289999999999932</v>
      </c>
      <c r="AK82">
        <f t="shared" si="11"/>
        <v>0.76999999999999957</v>
      </c>
      <c r="AL82">
        <f t="shared" si="12"/>
        <v>0.45653299999999924</v>
      </c>
      <c r="AM82">
        <f t="shared" si="13"/>
        <v>0.35153040999999918</v>
      </c>
    </row>
    <row r="83" spans="1:39" x14ac:dyDescent="0.35">
      <c r="A83" s="3">
        <v>45624</v>
      </c>
      <c r="B83">
        <v>7</v>
      </c>
      <c r="D83">
        <v>8</v>
      </c>
      <c r="AI83">
        <f t="shared" si="9"/>
        <v>0.76999999999999957</v>
      </c>
      <c r="AJ83">
        <f t="shared" si="10"/>
        <v>0.59289999999999932</v>
      </c>
      <c r="AK83">
        <f t="shared" si="11"/>
        <v>0.76999999999999957</v>
      </c>
      <c r="AL83">
        <f t="shared" si="12"/>
        <v>0.45653299999999924</v>
      </c>
      <c r="AM83">
        <f t="shared" si="13"/>
        <v>0.35153040999999918</v>
      </c>
    </row>
    <row r="84" spans="1:39" x14ac:dyDescent="0.35">
      <c r="A84" s="3">
        <v>45625</v>
      </c>
      <c r="B84">
        <v>8</v>
      </c>
      <c r="D84">
        <v>8</v>
      </c>
      <c r="AI84">
        <f t="shared" si="9"/>
        <v>0.76999999999999957</v>
      </c>
      <c r="AJ84">
        <f t="shared" si="10"/>
        <v>0.59289999999999932</v>
      </c>
      <c r="AK84">
        <f t="shared" si="11"/>
        <v>0.76999999999999957</v>
      </c>
      <c r="AL84">
        <f t="shared" si="12"/>
        <v>0.45653299999999924</v>
      </c>
      <c r="AM84">
        <f t="shared" si="13"/>
        <v>0.35153040999999918</v>
      </c>
    </row>
    <row r="85" spans="1:39" x14ac:dyDescent="0.35">
      <c r="A85" s="3">
        <v>45626</v>
      </c>
      <c r="B85">
        <v>9</v>
      </c>
      <c r="D85">
        <v>8</v>
      </c>
      <c r="AI85">
        <f t="shared" si="9"/>
        <v>0.76999999999999957</v>
      </c>
      <c r="AJ85">
        <f t="shared" si="10"/>
        <v>0.59289999999999932</v>
      </c>
      <c r="AK85">
        <f t="shared" si="11"/>
        <v>0.76999999999999957</v>
      </c>
      <c r="AL85">
        <f t="shared" si="12"/>
        <v>0.45653299999999924</v>
      </c>
      <c r="AM85">
        <f t="shared" si="13"/>
        <v>0.35153040999999918</v>
      </c>
    </row>
    <row r="86" spans="1:39" x14ac:dyDescent="0.35">
      <c r="A86" s="3">
        <v>45627</v>
      </c>
      <c r="B86">
        <v>9</v>
      </c>
      <c r="D86">
        <v>8</v>
      </c>
      <c r="AI86">
        <f t="shared" si="9"/>
        <v>0.76999999999999957</v>
      </c>
      <c r="AJ86">
        <f t="shared" si="10"/>
        <v>0.59289999999999932</v>
      </c>
      <c r="AK86">
        <f t="shared" si="11"/>
        <v>0.76999999999999957</v>
      </c>
      <c r="AL86">
        <f t="shared" si="12"/>
        <v>0.45653299999999924</v>
      </c>
      <c r="AM86">
        <f t="shared" si="13"/>
        <v>0.35153040999999918</v>
      </c>
    </row>
    <row r="87" spans="1:39" x14ac:dyDescent="0.35">
      <c r="A87" s="3">
        <v>45628</v>
      </c>
      <c r="B87">
        <v>6</v>
      </c>
      <c r="D87">
        <v>8</v>
      </c>
      <c r="AI87">
        <f t="shared" si="9"/>
        <v>0.76999999999999957</v>
      </c>
      <c r="AJ87">
        <f t="shared" si="10"/>
        <v>0.59289999999999932</v>
      </c>
      <c r="AK87">
        <f t="shared" si="11"/>
        <v>0.76999999999999957</v>
      </c>
      <c r="AL87">
        <f t="shared" si="12"/>
        <v>0.45653299999999924</v>
      </c>
      <c r="AM87">
        <f t="shared" si="13"/>
        <v>0.35153040999999918</v>
      </c>
    </row>
    <row r="88" spans="1:39" x14ac:dyDescent="0.35">
      <c r="A88" s="3">
        <v>45629</v>
      </c>
      <c r="B88">
        <v>6</v>
      </c>
      <c r="D88">
        <v>9</v>
      </c>
      <c r="AI88">
        <f t="shared" si="9"/>
        <v>1.7699999999999996</v>
      </c>
      <c r="AJ88">
        <f t="shared" si="10"/>
        <v>3.1328999999999985</v>
      </c>
      <c r="AK88">
        <f t="shared" si="11"/>
        <v>1.7699999999999996</v>
      </c>
      <c r="AL88">
        <f t="shared" si="12"/>
        <v>5.5452329999999961</v>
      </c>
      <c r="AM88">
        <f t="shared" si="13"/>
        <v>9.8150624099999906</v>
      </c>
    </row>
    <row r="89" spans="1:39" x14ac:dyDescent="0.35">
      <c r="A89" s="3">
        <v>45630</v>
      </c>
      <c r="B89">
        <v>5</v>
      </c>
      <c r="D89">
        <v>9</v>
      </c>
      <c r="AI89">
        <f t="shared" si="9"/>
        <v>1.7699999999999996</v>
      </c>
      <c r="AJ89">
        <f t="shared" si="10"/>
        <v>3.1328999999999985</v>
      </c>
      <c r="AK89">
        <f t="shared" si="11"/>
        <v>1.7699999999999996</v>
      </c>
      <c r="AL89">
        <f t="shared" si="12"/>
        <v>5.5452329999999961</v>
      </c>
      <c r="AM89">
        <f t="shared" si="13"/>
        <v>9.8150624099999906</v>
      </c>
    </row>
    <row r="90" spans="1:39" x14ac:dyDescent="0.35">
      <c r="A90" s="3">
        <v>45631</v>
      </c>
      <c r="B90">
        <v>7</v>
      </c>
      <c r="D90">
        <v>9</v>
      </c>
      <c r="AI90">
        <f t="shared" si="9"/>
        <v>1.7699999999999996</v>
      </c>
      <c r="AJ90">
        <f t="shared" si="10"/>
        <v>3.1328999999999985</v>
      </c>
      <c r="AK90">
        <f t="shared" si="11"/>
        <v>1.7699999999999996</v>
      </c>
      <c r="AL90">
        <f t="shared" si="12"/>
        <v>5.5452329999999961</v>
      </c>
      <c r="AM90">
        <f t="shared" si="13"/>
        <v>9.8150624099999906</v>
      </c>
    </row>
    <row r="91" spans="1:39" x14ac:dyDescent="0.35">
      <c r="A91" s="3">
        <v>45632</v>
      </c>
      <c r="B91">
        <v>8</v>
      </c>
      <c r="D91">
        <v>9</v>
      </c>
      <c r="AI91">
        <f t="shared" si="9"/>
        <v>1.7699999999999996</v>
      </c>
      <c r="AJ91">
        <f t="shared" si="10"/>
        <v>3.1328999999999985</v>
      </c>
      <c r="AK91">
        <f t="shared" si="11"/>
        <v>1.7699999999999996</v>
      </c>
      <c r="AL91">
        <f t="shared" si="12"/>
        <v>5.5452329999999961</v>
      </c>
      <c r="AM91">
        <f t="shared" si="13"/>
        <v>9.8150624099999906</v>
      </c>
    </row>
    <row r="92" spans="1:39" x14ac:dyDescent="0.35">
      <c r="A92" s="3">
        <v>45633</v>
      </c>
      <c r="B92">
        <v>8</v>
      </c>
      <c r="D92">
        <v>9</v>
      </c>
      <c r="AI92">
        <f t="shared" si="9"/>
        <v>1.7699999999999996</v>
      </c>
      <c r="AJ92">
        <f t="shared" si="10"/>
        <v>3.1328999999999985</v>
      </c>
      <c r="AK92">
        <f t="shared" si="11"/>
        <v>1.7699999999999996</v>
      </c>
      <c r="AL92">
        <f t="shared" si="12"/>
        <v>5.5452329999999961</v>
      </c>
      <c r="AM92">
        <f t="shared" si="13"/>
        <v>9.8150624099999906</v>
      </c>
    </row>
    <row r="93" spans="1:39" x14ac:dyDescent="0.35">
      <c r="A93" s="3">
        <v>45634</v>
      </c>
      <c r="B93">
        <v>8</v>
      </c>
      <c r="D93">
        <v>9</v>
      </c>
      <c r="AI93">
        <f t="shared" si="9"/>
        <v>1.7699999999999996</v>
      </c>
      <c r="AJ93">
        <f t="shared" si="10"/>
        <v>3.1328999999999985</v>
      </c>
      <c r="AK93">
        <f t="shared" si="11"/>
        <v>1.7699999999999996</v>
      </c>
      <c r="AL93">
        <f t="shared" si="12"/>
        <v>5.5452329999999961</v>
      </c>
      <c r="AM93">
        <f t="shared" si="13"/>
        <v>9.8150624099999906</v>
      </c>
    </row>
    <row r="94" spans="1:39" x14ac:dyDescent="0.35">
      <c r="A94" s="3">
        <v>45635</v>
      </c>
      <c r="B94">
        <v>5</v>
      </c>
      <c r="D94">
        <v>9</v>
      </c>
      <c r="AI94">
        <f t="shared" si="9"/>
        <v>1.7699999999999996</v>
      </c>
      <c r="AJ94">
        <f t="shared" si="10"/>
        <v>3.1328999999999985</v>
      </c>
      <c r="AK94">
        <f t="shared" si="11"/>
        <v>1.7699999999999996</v>
      </c>
      <c r="AL94">
        <f t="shared" si="12"/>
        <v>5.5452329999999961</v>
      </c>
      <c r="AM94">
        <f t="shared" si="13"/>
        <v>9.8150624099999906</v>
      </c>
    </row>
    <row r="95" spans="1:39" x14ac:dyDescent="0.35">
      <c r="A95" s="3">
        <v>45636</v>
      </c>
      <c r="B95">
        <v>6</v>
      </c>
      <c r="D95">
        <v>9</v>
      </c>
      <c r="AI95">
        <f t="shared" si="9"/>
        <v>1.7699999999999996</v>
      </c>
      <c r="AJ95">
        <f t="shared" si="10"/>
        <v>3.1328999999999985</v>
      </c>
      <c r="AK95">
        <f t="shared" si="11"/>
        <v>1.7699999999999996</v>
      </c>
      <c r="AL95">
        <f t="shared" si="12"/>
        <v>5.5452329999999961</v>
      </c>
      <c r="AM95">
        <f t="shared" si="13"/>
        <v>9.8150624099999906</v>
      </c>
    </row>
    <row r="96" spans="1:39" x14ac:dyDescent="0.35">
      <c r="A96" s="3">
        <v>45637</v>
      </c>
      <c r="B96">
        <v>7</v>
      </c>
      <c r="D96">
        <v>9</v>
      </c>
      <c r="AI96">
        <f t="shared" si="9"/>
        <v>1.7699999999999996</v>
      </c>
      <c r="AJ96">
        <f t="shared" si="10"/>
        <v>3.1328999999999985</v>
      </c>
      <c r="AK96">
        <f t="shared" si="11"/>
        <v>1.7699999999999996</v>
      </c>
      <c r="AL96">
        <f t="shared" si="12"/>
        <v>5.5452329999999961</v>
      </c>
      <c r="AM96">
        <f t="shared" si="13"/>
        <v>9.8150624099999906</v>
      </c>
    </row>
    <row r="97" spans="1:39" x14ac:dyDescent="0.35">
      <c r="A97" s="3">
        <v>45638</v>
      </c>
      <c r="B97">
        <v>8</v>
      </c>
      <c r="D97">
        <v>9</v>
      </c>
      <c r="AI97">
        <f t="shared" si="9"/>
        <v>1.7699999999999996</v>
      </c>
      <c r="AJ97">
        <f t="shared" si="10"/>
        <v>3.1328999999999985</v>
      </c>
      <c r="AK97">
        <f t="shared" si="11"/>
        <v>1.7699999999999996</v>
      </c>
      <c r="AL97">
        <f t="shared" si="12"/>
        <v>5.5452329999999961</v>
      </c>
      <c r="AM97">
        <f t="shared" si="13"/>
        <v>9.8150624099999906</v>
      </c>
    </row>
    <row r="98" spans="1:39" x14ac:dyDescent="0.35">
      <c r="A98" s="3">
        <v>45639</v>
      </c>
      <c r="B98">
        <v>7</v>
      </c>
      <c r="D98">
        <v>9</v>
      </c>
      <c r="AI98">
        <f t="shared" si="9"/>
        <v>1.7699999999999996</v>
      </c>
      <c r="AJ98">
        <f t="shared" si="10"/>
        <v>3.1328999999999985</v>
      </c>
      <c r="AK98">
        <f t="shared" si="11"/>
        <v>1.7699999999999996</v>
      </c>
      <c r="AL98">
        <f t="shared" si="12"/>
        <v>5.5452329999999961</v>
      </c>
      <c r="AM98">
        <f t="shared" si="13"/>
        <v>9.8150624099999906</v>
      </c>
    </row>
    <row r="99" spans="1:39" x14ac:dyDescent="0.35">
      <c r="A99" s="3">
        <v>45640</v>
      </c>
      <c r="B99">
        <v>6</v>
      </c>
      <c r="D99">
        <v>9</v>
      </c>
      <c r="AI99">
        <f t="shared" si="9"/>
        <v>1.7699999999999996</v>
      </c>
      <c r="AJ99">
        <f t="shared" si="10"/>
        <v>3.1328999999999985</v>
      </c>
      <c r="AK99">
        <f t="shared" si="11"/>
        <v>1.7699999999999996</v>
      </c>
      <c r="AL99">
        <f t="shared" si="12"/>
        <v>5.5452329999999961</v>
      </c>
      <c r="AM99">
        <f t="shared" si="13"/>
        <v>9.8150624099999906</v>
      </c>
    </row>
    <row r="100" spans="1:39" x14ac:dyDescent="0.35">
      <c r="A100" s="3">
        <v>45641</v>
      </c>
      <c r="B100">
        <v>8</v>
      </c>
      <c r="D100">
        <v>10</v>
      </c>
      <c r="AI100">
        <f t="shared" si="9"/>
        <v>2.7699999999999996</v>
      </c>
      <c r="AJ100">
        <f t="shared" si="10"/>
        <v>7.6728999999999976</v>
      </c>
      <c r="AK100">
        <f t="shared" si="11"/>
        <v>2.7699999999999996</v>
      </c>
      <c r="AL100">
        <f t="shared" si="12"/>
        <v>21.253932999999989</v>
      </c>
      <c r="AM100">
        <f t="shared" si="13"/>
        <v>58.87339440999996</v>
      </c>
    </row>
    <row r="101" spans="1:39" x14ac:dyDescent="0.35">
      <c r="A101" s="3">
        <v>45642</v>
      </c>
      <c r="B101">
        <v>8</v>
      </c>
      <c r="D101">
        <v>10</v>
      </c>
      <c r="AI101">
        <f t="shared" si="9"/>
        <v>2.7699999999999996</v>
      </c>
      <c r="AJ101">
        <f t="shared" si="10"/>
        <v>7.6728999999999976</v>
      </c>
      <c r="AK101">
        <f t="shared" si="11"/>
        <v>2.7699999999999996</v>
      </c>
      <c r="AL101">
        <f t="shared" si="12"/>
        <v>21.253932999999989</v>
      </c>
      <c r="AM101">
        <f t="shared" si="13"/>
        <v>58.87339440999996</v>
      </c>
    </row>
    <row r="102" spans="1:39" x14ac:dyDescent="0.35">
      <c r="A102" s="3">
        <v>45643</v>
      </c>
      <c r="B102">
        <v>7</v>
      </c>
      <c r="D102">
        <v>10</v>
      </c>
      <c r="AI102">
        <f t="shared" si="9"/>
        <v>2.7699999999999996</v>
      </c>
      <c r="AJ102">
        <f t="shared" si="10"/>
        <v>7.6728999999999976</v>
      </c>
      <c r="AK102">
        <f t="shared" si="11"/>
        <v>2.7699999999999996</v>
      </c>
      <c r="AL102">
        <f t="shared" si="12"/>
        <v>21.253932999999989</v>
      </c>
      <c r="AM102">
        <f t="shared" si="13"/>
        <v>58.87339440999996</v>
      </c>
    </row>
    <row r="103" spans="1:39" x14ac:dyDescent="0.35">
      <c r="A103" s="3">
        <v>45644</v>
      </c>
      <c r="B103">
        <v>6</v>
      </c>
      <c r="D103">
        <v>10</v>
      </c>
      <c r="AI103">
        <f t="shared" si="9"/>
        <v>2.7699999999999996</v>
      </c>
      <c r="AJ103">
        <f t="shared" si="10"/>
        <v>7.6728999999999976</v>
      </c>
      <c r="AK103">
        <f t="shared" si="11"/>
        <v>2.7699999999999996</v>
      </c>
      <c r="AL103">
        <f t="shared" si="12"/>
        <v>21.253932999999989</v>
      </c>
      <c r="AM103">
        <f t="shared" si="13"/>
        <v>58.87339440999996</v>
      </c>
    </row>
    <row r="104" spans="1:39" x14ac:dyDescent="0.35">
      <c r="A104" s="3">
        <v>45645</v>
      </c>
      <c r="B104">
        <v>5</v>
      </c>
      <c r="D104">
        <v>10</v>
      </c>
      <c r="AI104">
        <f>D104-$AF$18</f>
        <v>2.7699999999999996</v>
      </c>
      <c r="AJ104">
        <f t="shared" si="10"/>
        <v>7.6728999999999976</v>
      </c>
      <c r="AK104">
        <f t="shared" si="11"/>
        <v>2.7699999999999996</v>
      </c>
      <c r="AL104">
        <f t="shared" si="12"/>
        <v>21.253932999999989</v>
      </c>
      <c r="AM104">
        <f>POWER(AI104,4)</f>
        <v>58.87339440999996</v>
      </c>
    </row>
    <row r="105" spans="1:39" x14ac:dyDescent="0.35">
      <c r="A105" s="3">
        <v>45646</v>
      </c>
      <c r="B105">
        <v>8</v>
      </c>
      <c r="D105">
        <v>10</v>
      </c>
    </row>
    <row r="106" spans="1:39" x14ac:dyDescent="0.35">
      <c r="A106" s="3">
        <v>45647</v>
      </c>
      <c r="B106">
        <v>5</v>
      </c>
      <c r="D106">
        <v>10</v>
      </c>
    </row>
    <row r="107" spans="1:39" x14ac:dyDescent="0.35">
      <c r="A107" s="3">
        <v>45648</v>
      </c>
      <c r="B107">
        <v>7</v>
      </c>
      <c r="D107">
        <v>10</v>
      </c>
    </row>
    <row r="108" spans="1:39" x14ac:dyDescent="0.35">
      <c r="A108" s="3">
        <v>45649</v>
      </c>
      <c r="B108">
        <v>8</v>
      </c>
      <c r="D108">
        <v>10</v>
      </c>
    </row>
    <row r="109" spans="1:39" x14ac:dyDescent="0.35">
      <c r="A109" s="3">
        <v>45650</v>
      </c>
      <c r="B109">
        <v>8</v>
      </c>
      <c r="D109">
        <v>10</v>
      </c>
    </row>
  </sheetData>
  <sortState xmlns:xlrd2="http://schemas.microsoft.com/office/spreadsheetml/2017/richdata2" ref="D10:D109">
    <sortCondition ref="D10:D109"/>
  </sortState>
  <phoneticPr fontId="6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V + U W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D V +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f l F k o i k e 4 D g A A A B E A A A A T A B w A R m 9 y b X V s Y X M v U 2 V j d G l v b j E u b S C i G A A o o B Q A A A A A A A A A A A A A A A A A A A A A A A A A A A A r T k 0 u y c z P U w i G 0 I b W A F B L A Q I t A B Q A A g A I A A 1 f l F n L M s S X p A A A A P U A A A A S A A A A A A A A A A A A A A A A A A A A A A B D b 2 5 m a W c v U G F j a 2 F n Z S 5 4 b W x Q S w E C L Q A U A A I A C A A N X 5 R Z D 8 r p q 6 Q A A A D p A A A A E w A A A A A A A A A A A A A A A A D w A A A A W 0 N v b n R l b n R f V H l w Z X N d L n h t b F B L A Q I t A B Q A A g A I A A 1 f l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0 m Q 0 B 1 h s S r I S g 9 F j a r 4 B A A A A A A I A A A A A A B B m A A A A A Q A A I A A A A N B e 7 D I + k A Y + P q 6 7 q M d D Q A i i / s J a D B 8 3 6 D 9 3 L X 3 V z K z k A A A A A A 6 A A A A A A g A A I A A A A I Y F G T S z c y R b G q E w Y A i M 2 z E B G e p 1 N / J L A W J D K y 9 Z u 8 / X U A A A A C p + h n R Q I b k Z o a u s C 2 Z K 6 X D y L R A H + k M z F a k U / q x q c u k a Y k 2 1 p o b L y L Z D A U w T A X M i S k f 6 h m k / l d k t z Z s y h T i 0 2 8 P d a W M 1 q + F m C e c n 0 B a Y l d c d Q A A A A B E b R O v X 8 D h h a 7 U r F o K a 0 r 8 h n q k s d R / a 6 W 0 k n U j O V A o 5 4 f 4 X 3 k Q v C r R w 5 o d k q f + f T Q q 3 3 0 / K h 7 s v 5 A t 7 e I U F i 0 o = < / D a t a M a s h u p > 
</file>

<file path=customXml/itemProps1.xml><?xml version="1.0" encoding="utf-8"?>
<ds:datastoreItem xmlns:ds="http://schemas.openxmlformats.org/officeDocument/2006/customXml" ds:itemID="{3F3E8F39-8454-4C1B-BA70-18FFBDF3D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Саша Бражалович</cp:lastModifiedBy>
  <dcterms:created xsi:type="dcterms:W3CDTF">2024-10-31T06:30:29Z</dcterms:created>
  <dcterms:modified xsi:type="dcterms:W3CDTF">2024-12-29T15:16:27Z</dcterms:modified>
</cp:coreProperties>
</file>