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che/Library/CloudStorage/GoogleDrive-chehai@ucr.edu/My Drive/@2Teaching/@@MGT 251/Cases/"/>
    </mc:Choice>
  </mc:AlternateContent>
  <xr:revisionPtr revIDLastSave="0" documentId="13_ncr:1_{ABD38068-0075-8643-AFAC-91A7F854FF06}" xr6:coauthVersionLast="47" xr6:coauthVersionMax="47" xr10:uidLastSave="{00000000-0000-0000-0000-000000000000}"/>
  <bookViews>
    <workbookView xWindow="11280" yWindow="4700" windowWidth="35460" windowHeight="22380" activeTab="2" xr2:uid="{00000000-000D-0000-FFFF-FFFF00000000}"/>
  </bookViews>
  <sheets>
    <sheet name="Copyright" sheetId="17" r:id="rId1"/>
    <sheet name="Instructions" sheetId="16" r:id="rId2"/>
    <sheet name="Strategy" sheetId="10" r:id="rId3"/>
    <sheet name="Baseline" sheetId="9" r:id="rId4"/>
    <sheet name="Impact" sheetId="8" r:id="rId5"/>
    <sheet name="Optimization" sheetId="12" r:id="rId6"/>
    <sheet name="Workings" sheetId="1" r:id="rId7"/>
    <sheet name="Flow-through" sheetId="3" r:id="rId8"/>
    <sheet name="Results" sheetId="11" r:id="rId9"/>
    <sheet name="Dropdowns" sheetId="6" state="hidden" r:id="rId10"/>
  </sheets>
  <definedNames>
    <definedName name="_xlnm._FilterDatabase" localSheetId="3" hidden="1">Baseline!$B$6:$L$6</definedName>
    <definedName name="_xlnm._FilterDatabase" localSheetId="9" hidden="1">Dropdowns!#REF!</definedName>
    <definedName name="_xlnm._FilterDatabase" localSheetId="7" hidden="1">'Flow-through'!$B$6:$C$6</definedName>
    <definedName name="_xlnm._FilterDatabase" localSheetId="4" hidden="1">Impact!#REF!</definedName>
    <definedName name="_xlnm._FilterDatabase" localSheetId="1" hidden="1">Instructions!#REF!</definedName>
    <definedName name="_xlnm._FilterDatabase" localSheetId="5" hidden="1">Optimization!#REF!</definedName>
    <definedName name="_xlnm._FilterDatabase" localSheetId="8" hidden="1">Results!#REF!</definedName>
    <definedName name="_xlnm._FilterDatabase" localSheetId="2" hidden="1">Strategy!#REF!</definedName>
    <definedName name="_xlnm._FilterDatabase" localSheetId="6" hidden="1">Workings!$B$6:$G$6</definedName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2" l="1"/>
  <c r="F13" i="12"/>
  <c r="F19" i="12"/>
  <c r="F21" i="12"/>
  <c r="F23" i="12"/>
  <c r="F25" i="12"/>
  <c r="F27" i="12"/>
  <c r="F29" i="12"/>
  <c r="F33" i="12"/>
  <c r="F35" i="12"/>
  <c r="F37" i="12"/>
  <c r="F39" i="12"/>
  <c r="F41" i="12"/>
  <c r="F43" i="12"/>
  <c r="F45" i="12"/>
  <c r="F47" i="12"/>
  <c r="F49" i="12"/>
  <c r="F51" i="12"/>
  <c r="F53" i="12"/>
  <c r="F55" i="12"/>
  <c r="F61" i="12"/>
  <c r="F63" i="12"/>
  <c r="F65" i="12"/>
  <c r="E30" i="10" l="1"/>
  <c r="I21" i="10"/>
  <c r="E15" i="6" s="1"/>
  <c r="E29" i="10"/>
  <c r="G21" i="10"/>
  <c r="D15" i="6" s="1"/>
  <c r="E21" i="10"/>
  <c r="C15" i="6" s="1"/>
  <c r="E20" i="10"/>
  <c r="C16" i="6" s="1"/>
  <c r="K54" i="10" s="1"/>
  <c r="E26" i="10"/>
  <c r="E25" i="10"/>
  <c r="K54" i="12"/>
  <c r="K56" i="12" s="1"/>
  <c r="K58" i="12" s="1"/>
  <c r="F59" i="12" s="1"/>
  <c r="J54" i="12"/>
  <c r="J56" i="12" s="1"/>
  <c r="F57" i="12" s="1"/>
  <c r="E8" i="10"/>
  <c r="E7" i="10"/>
  <c r="G10" i="10"/>
  <c r="E10" i="10"/>
  <c r="E9" i="10"/>
  <c r="J52" i="12"/>
  <c r="K52" i="12" s="1"/>
  <c r="L52" i="12" s="1"/>
  <c r="M52" i="12" s="1"/>
  <c r="N52" i="12" s="1"/>
  <c r="O52" i="12" s="1"/>
  <c r="P52" i="12" s="1"/>
  <c r="Q52" i="12" s="1"/>
  <c r="R52" i="12" s="1"/>
  <c r="S52" i="12" s="1"/>
  <c r="J50" i="12"/>
  <c r="K50" i="12"/>
  <c r="L50" i="12" s="1"/>
  <c r="M50" i="12" s="1"/>
  <c r="N50" i="12" s="1"/>
  <c r="O50" i="12" s="1"/>
  <c r="P50" i="12" s="1"/>
  <c r="Q50" i="12" s="1"/>
  <c r="R50" i="12" s="1"/>
  <c r="S50" i="12" s="1"/>
  <c r="J48" i="12"/>
  <c r="K48" i="12" s="1"/>
  <c r="L48" i="12" s="1"/>
  <c r="M48" i="12" s="1"/>
  <c r="N48" i="12" s="1"/>
  <c r="O48" i="12" s="1"/>
  <c r="P48" i="12" s="1"/>
  <c r="Q48" i="12" s="1"/>
  <c r="R48" i="12" s="1"/>
  <c r="S48" i="12" s="1"/>
  <c r="J46" i="12"/>
  <c r="K46" i="12" s="1"/>
  <c r="L46" i="12" s="1"/>
  <c r="M46" i="12" s="1"/>
  <c r="N46" i="12" s="1"/>
  <c r="O46" i="12" s="1"/>
  <c r="P46" i="12" s="1"/>
  <c r="Q46" i="12" s="1"/>
  <c r="R46" i="12" s="1"/>
  <c r="S46" i="12" s="1"/>
  <c r="J44" i="12"/>
  <c r="K44" i="12" s="1"/>
  <c r="L44" i="12" s="1"/>
  <c r="M44" i="12" s="1"/>
  <c r="N44" i="12" s="1"/>
  <c r="O44" i="12" s="1"/>
  <c r="P44" i="12" s="1"/>
  <c r="Q44" i="12" s="1"/>
  <c r="R44" i="12" s="1"/>
  <c r="S44" i="12" s="1"/>
  <c r="J42" i="12"/>
  <c r="K42" i="12" s="1"/>
  <c r="L42" i="12" s="1"/>
  <c r="M42" i="12" s="1"/>
  <c r="N42" i="12" s="1"/>
  <c r="O42" i="12" s="1"/>
  <c r="P42" i="12" s="1"/>
  <c r="Q42" i="12" s="1"/>
  <c r="R42" i="12" s="1"/>
  <c r="S42" i="12" s="1"/>
  <c r="J40" i="12"/>
  <c r="K40" i="12" s="1"/>
  <c r="L40" i="12" s="1"/>
  <c r="M40" i="12" s="1"/>
  <c r="N40" i="12" s="1"/>
  <c r="O40" i="12" s="1"/>
  <c r="P40" i="12" s="1"/>
  <c r="Q40" i="12" s="1"/>
  <c r="R40" i="12" s="1"/>
  <c r="S40" i="12" s="1"/>
  <c r="J38" i="12"/>
  <c r="K38" i="12"/>
  <c r="L38" i="12" s="1"/>
  <c r="M38" i="12" s="1"/>
  <c r="N38" i="12" s="1"/>
  <c r="O38" i="12" s="1"/>
  <c r="P38" i="12" s="1"/>
  <c r="Q38" i="12" s="1"/>
  <c r="R38" i="12" s="1"/>
  <c r="S38" i="12" s="1"/>
  <c r="J36" i="12"/>
  <c r="K36" i="12" s="1"/>
  <c r="L36" i="12" s="1"/>
  <c r="M36" i="12" s="1"/>
  <c r="N36" i="12" s="1"/>
  <c r="O36" i="12" s="1"/>
  <c r="P36" i="12" s="1"/>
  <c r="Q36" i="12" s="1"/>
  <c r="R36" i="12" s="1"/>
  <c r="S36" i="12" s="1"/>
  <c r="J34" i="12"/>
  <c r="K34" i="12" s="1"/>
  <c r="L34" i="12" s="1"/>
  <c r="M34" i="12" s="1"/>
  <c r="N34" i="12" s="1"/>
  <c r="O34" i="12" s="1"/>
  <c r="P34" i="12" s="1"/>
  <c r="Q34" i="12" s="1"/>
  <c r="R34" i="12" s="1"/>
  <c r="S34" i="12" s="1"/>
  <c r="J32" i="12"/>
  <c r="K32" i="12" s="1"/>
  <c r="L32" i="12" s="1"/>
  <c r="M32" i="12" s="1"/>
  <c r="N32" i="12" s="1"/>
  <c r="O32" i="12" s="1"/>
  <c r="P32" i="12" s="1"/>
  <c r="Q32" i="12" s="1"/>
  <c r="J30" i="12"/>
  <c r="K30" i="12" s="1"/>
  <c r="L30" i="12" s="1"/>
  <c r="M30" i="12" s="1"/>
  <c r="J28" i="12"/>
  <c r="K28" i="12" s="1"/>
  <c r="L28" i="12" s="1"/>
  <c r="M28" i="12" s="1"/>
  <c r="N28" i="12" s="1"/>
  <c r="O28" i="12" s="1"/>
  <c r="P28" i="12" s="1"/>
  <c r="Q28" i="12" s="1"/>
  <c r="R28" i="12" s="1"/>
  <c r="S28" i="12" s="1"/>
  <c r="J26" i="12"/>
  <c r="K26" i="12"/>
  <c r="L26" i="12" s="1"/>
  <c r="M26" i="12" s="1"/>
  <c r="N26" i="12" s="1"/>
  <c r="O26" i="12" s="1"/>
  <c r="P26" i="12" s="1"/>
  <c r="Q26" i="12" s="1"/>
  <c r="R26" i="12" s="1"/>
  <c r="S26" i="12" s="1"/>
  <c r="J24" i="12"/>
  <c r="K24" i="12" s="1"/>
  <c r="L24" i="12" s="1"/>
  <c r="M24" i="12" s="1"/>
  <c r="J22" i="12"/>
  <c r="K22" i="12" s="1"/>
  <c r="L22" i="12" s="1"/>
  <c r="M22" i="12" s="1"/>
  <c r="J20" i="12"/>
  <c r="K20" i="12" s="1"/>
  <c r="L20" i="12" s="1"/>
  <c r="M20" i="12" s="1"/>
  <c r="N20" i="12" s="1"/>
  <c r="O20" i="12" s="1"/>
  <c r="P20" i="12" s="1"/>
  <c r="Q20" i="12" s="1"/>
  <c r="R20" i="12" s="1"/>
  <c r="S20" i="12" s="1"/>
  <c r="J18" i="12"/>
  <c r="K18" i="12" s="1"/>
  <c r="L18" i="12" s="1"/>
  <c r="M18" i="12" s="1"/>
  <c r="N18" i="12" s="1"/>
  <c r="O18" i="12" s="1"/>
  <c r="P18" i="12" s="1"/>
  <c r="Q18" i="12" s="1"/>
  <c r="R18" i="12" s="1"/>
  <c r="S18" i="12" s="1"/>
  <c r="J16" i="12"/>
  <c r="K16" i="12" s="1"/>
  <c r="L16" i="12" s="1"/>
  <c r="M16" i="12" s="1"/>
  <c r="J14" i="12"/>
  <c r="F15" i="12" s="1"/>
  <c r="J12" i="12"/>
  <c r="K12" i="12" s="1"/>
  <c r="L12" i="12" s="1"/>
  <c r="M12" i="12" s="1"/>
  <c r="N12" i="12" s="1"/>
  <c r="O12" i="12" s="1"/>
  <c r="P12" i="12" s="1"/>
  <c r="Q12" i="12" s="1"/>
  <c r="R12" i="12" s="1"/>
  <c r="S12" i="12" s="1"/>
  <c r="J10" i="12"/>
  <c r="K10" i="12" s="1"/>
  <c r="L10" i="12" s="1"/>
  <c r="M10" i="12" s="1"/>
  <c r="N10" i="12" s="1"/>
  <c r="O10" i="12" s="1"/>
  <c r="P10" i="12" s="1"/>
  <c r="Q10" i="12" s="1"/>
  <c r="R10" i="12" s="1"/>
  <c r="S10" i="12" s="1"/>
  <c r="J8" i="12"/>
  <c r="K8" i="12" s="1"/>
  <c r="L8" i="12" s="1"/>
  <c r="M8" i="12" s="1"/>
  <c r="N8" i="12" s="1"/>
  <c r="O8" i="12" s="1"/>
  <c r="P8" i="12" s="1"/>
  <c r="F9" i="12" s="1"/>
  <c r="J6" i="12"/>
  <c r="K6" i="12"/>
  <c r="L6" i="12" s="1"/>
  <c r="M6" i="12" s="1"/>
  <c r="N6" i="12" s="1"/>
  <c r="F7" i="12" s="1"/>
  <c r="X11" i="3"/>
  <c r="O27" i="10" s="1"/>
  <c r="X13" i="3"/>
  <c r="I13" i="11" s="1"/>
  <c r="X14" i="3"/>
  <c r="I14" i="11" s="1"/>
  <c r="X7" i="3"/>
  <c r="O23" i="10" s="1"/>
  <c r="X8" i="3"/>
  <c r="I8" i="11" s="1"/>
  <c r="X9" i="3"/>
  <c r="I9" i="11"/>
  <c r="X10" i="3"/>
  <c r="I10" i="11" s="1"/>
  <c r="X12" i="3"/>
  <c r="I12" i="11" s="1"/>
  <c r="H19" i="9"/>
  <c r="H20" i="9"/>
  <c r="L14" i="9"/>
  <c r="L13" i="9"/>
  <c r="L12" i="9"/>
  <c r="L11" i="9"/>
  <c r="L10" i="9"/>
  <c r="L9" i="9"/>
  <c r="L8" i="9"/>
  <c r="L7" i="9"/>
  <c r="K5" i="9"/>
  <c r="J5" i="9"/>
  <c r="I5" i="9"/>
  <c r="AM14" i="3"/>
  <c r="AP14" i="3"/>
  <c r="AQ14" i="3" s="1"/>
  <c r="AM13" i="3"/>
  <c r="AP12" i="3" s="1"/>
  <c r="AQ12" i="3" s="1"/>
  <c r="AM12" i="3"/>
  <c r="AP11" i="3" s="1"/>
  <c r="AQ11" i="3" s="1"/>
  <c r="AN12" i="3"/>
  <c r="AC12" i="3"/>
  <c r="AM11" i="3"/>
  <c r="AN11" i="3"/>
  <c r="AC11" i="3"/>
  <c r="AM10" i="3"/>
  <c r="AP10" i="3" s="1"/>
  <c r="AQ10" i="3" s="1"/>
  <c r="AM9" i="3"/>
  <c r="AN9" i="3" s="1"/>
  <c r="AP8" i="3"/>
  <c r="AQ8" i="3" s="1"/>
  <c r="AM8" i="3"/>
  <c r="AN8" i="3" s="1"/>
  <c r="AM7" i="3"/>
  <c r="AN7" i="3" s="1"/>
  <c r="AP13" i="3"/>
  <c r="AQ13" i="3" s="1"/>
  <c r="AP7" i="3"/>
  <c r="AQ7" i="3"/>
  <c r="AN14" i="3"/>
  <c r="AH14" i="3"/>
  <c r="O30" i="10"/>
  <c r="AR12" i="3" l="1"/>
  <c r="AR14" i="3"/>
  <c r="AH12" i="3"/>
  <c r="AN13" i="3"/>
  <c r="AR13" i="3" s="1"/>
  <c r="O29" i="10"/>
  <c r="AR11" i="3"/>
  <c r="X5" i="3"/>
  <c r="K57" i="10" s="1"/>
  <c r="Q8" i="12"/>
  <c r="R8" i="12" s="1"/>
  <c r="S8" i="12" s="1"/>
  <c r="E24" i="10"/>
  <c r="E8" i="1" s="1"/>
  <c r="J8" i="3" s="1"/>
  <c r="K14" i="12"/>
  <c r="L14" i="12" s="1"/>
  <c r="M14" i="12" s="1"/>
  <c r="N14" i="12" s="1"/>
  <c r="O14" i="12" s="1"/>
  <c r="P14" i="12" s="1"/>
  <c r="Q14" i="12" s="1"/>
  <c r="R14" i="12" s="1"/>
  <c r="S14" i="12" s="1"/>
  <c r="E27" i="10"/>
  <c r="E11" i="1" s="1"/>
  <c r="J11" i="3" s="1"/>
  <c r="AP9" i="3"/>
  <c r="AQ9" i="3" s="1"/>
  <c r="AR9" i="3" s="1"/>
  <c r="R32" i="12"/>
  <c r="S32" i="12" s="1"/>
  <c r="AR7" i="3"/>
  <c r="O24" i="10"/>
  <c r="AC8" i="3"/>
  <c r="O25" i="10"/>
  <c r="AC9" i="3"/>
  <c r="L5" i="9"/>
  <c r="AN10" i="3"/>
  <c r="AH10" i="3" s="1"/>
  <c r="O6" i="12"/>
  <c r="P6" i="12" s="1"/>
  <c r="Q6" i="12" s="1"/>
  <c r="R6" i="12" s="1"/>
  <c r="S6" i="12" s="1"/>
  <c r="E23" i="10"/>
  <c r="G23" i="10" s="1"/>
  <c r="I23" i="10" s="1"/>
  <c r="G7" i="1" s="1"/>
  <c r="L7" i="3" s="1"/>
  <c r="AC7" i="3"/>
  <c r="I7" i="11"/>
  <c r="AH7" i="3"/>
  <c r="AC14" i="3"/>
  <c r="I20" i="10"/>
  <c r="E16" i="6" s="1"/>
  <c r="M54" i="10" s="1"/>
  <c r="G25" i="10"/>
  <c r="I25" i="10" s="1"/>
  <c r="G9" i="1" s="1"/>
  <c r="L9" i="3" s="1"/>
  <c r="N30" i="12"/>
  <c r="O30" i="12" s="1"/>
  <c r="P30" i="12" s="1"/>
  <c r="Q30" i="12" s="1"/>
  <c r="R30" i="12" s="1"/>
  <c r="F31" i="12" s="1"/>
  <c r="N16" i="12"/>
  <c r="N22" i="12"/>
  <c r="O22" i="12" s="1"/>
  <c r="P22" i="12" s="1"/>
  <c r="Q22" i="12" s="1"/>
  <c r="R22" i="12" s="1"/>
  <c r="S22" i="12" s="1"/>
  <c r="N24" i="12"/>
  <c r="O24" i="12" s="1"/>
  <c r="P24" i="12" s="1"/>
  <c r="Q24" i="12" s="1"/>
  <c r="R24" i="12" s="1"/>
  <c r="S24" i="12" s="1"/>
  <c r="G20" i="10"/>
  <c r="D16" i="6" s="1"/>
  <c r="L54" i="10" s="1"/>
  <c r="J58" i="12"/>
  <c r="AR8" i="3"/>
  <c r="AH8" i="3"/>
  <c r="AH13" i="3"/>
  <c r="AC10" i="3"/>
  <c r="G30" i="10"/>
  <c r="I30" i="10" s="1"/>
  <c r="G14" i="1" s="1"/>
  <c r="L14" i="3" s="1"/>
  <c r="AC13" i="3"/>
  <c r="AH11" i="3"/>
  <c r="O26" i="10"/>
  <c r="G26" i="10"/>
  <c r="I26" i="10" s="1"/>
  <c r="G10" i="1" s="1"/>
  <c r="L10" i="3" s="1"/>
  <c r="I11" i="11"/>
  <c r="AH9" i="3"/>
  <c r="O28" i="10"/>
  <c r="G29" i="10"/>
  <c r="I29" i="10" s="1"/>
  <c r="G13" i="1" s="1"/>
  <c r="L13" i="3" s="1"/>
  <c r="E9" i="1"/>
  <c r="J9" i="3" s="1"/>
  <c r="E14" i="1"/>
  <c r="J14" i="3" s="1"/>
  <c r="E13" i="1"/>
  <c r="J13" i="3" s="1"/>
  <c r="E10" i="1"/>
  <c r="J10" i="3" s="1"/>
  <c r="O32" i="10" l="1"/>
  <c r="O33" i="10" s="1"/>
  <c r="AC5" i="3"/>
  <c r="K63" i="10" s="1"/>
  <c r="K60" i="10" s="1"/>
  <c r="AH5" i="3"/>
  <c r="I5" i="11"/>
  <c r="G24" i="10"/>
  <c r="I24" i="10" s="1"/>
  <c r="G8" i="1" s="1"/>
  <c r="L8" i="3" s="1"/>
  <c r="AR10" i="3"/>
  <c r="S30" i="12"/>
  <c r="G27" i="10"/>
  <c r="I27" i="10" s="1"/>
  <c r="G11" i="1" s="1"/>
  <c r="L11" i="3" s="1"/>
  <c r="O16" i="12"/>
  <c r="P16" i="12" s="1"/>
  <c r="Q16" i="12" s="1"/>
  <c r="E7" i="1"/>
  <c r="J7" i="3" s="1"/>
  <c r="E54" i="10"/>
  <c r="I54" i="10" s="1"/>
  <c r="F9" i="1"/>
  <c r="K9" i="3" s="1"/>
  <c r="F14" i="1"/>
  <c r="K14" i="3" s="1"/>
  <c r="F13" i="1"/>
  <c r="K13" i="3" s="1"/>
  <c r="F7" i="1"/>
  <c r="K7" i="3" s="1"/>
  <c r="F10" i="1"/>
  <c r="K10" i="3" s="1"/>
  <c r="R16" i="12" l="1"/>
  <c r="S16" i="12" s="1"/>
  <c r="F17" i="12"/>
  <c r="E28" i="10" s="1"/>
  <c r="E12" i="1" s="1"/>
  <c r="J12" i="3" s="1"/>
  <c r="F8" i="1"/>
  <c r="K8" i="3" s="1"/>
  <c r="F11" i="1"/>
  <c r="K11" i="3" s="1"/>
  <c r="E5" i="1" l="1"/>
  <c r="E21" i="1" s="1"/>
  <c r="K39" i="10" s="1"/>
  <c r="G28" i="10"/>
  <c r="I28" i="10" s="1"/>
  <c r="G12" i="1" s="1"/>
  <c r="L12" i="3" s="1"/>
  <c r="F12" i="1" l="1"/>
  <c r="K12" i="3" s="1"/>
  <c r="J12" i="1"/>
  <c r="J7" i="1"/>
  <c r="J11" i="1"/>
  <c r="J9" i="1"/>
  <c r="J10" i="1"/>
  <c r="J13" i="1"/>
  <c r="E22" i="1"/>
  <c r="E23" i="1" s="1"/>
  <c r="K41" i="10" s="1"/>
  <c r="K40" i="10" s="1"/>
  <c r="J14" i="1"/>
  <c r="J8" i="1"/>
  <c r="O11" i="1" l="1"/>
  <c r="N11" i="3" s="1"/>
  <c r="O9" i="1"/>
  <c r="Y9" i="3" s="1"/>
  <c r="AI9" i="3" s="1"/>
  <c r="O13" i="1"/>
  <c r="E13" i="3" s="1"/>
  <c r="O12" i="1"/>
  <c r="E12" i="3" s="1"/>
  <c r="O14" i="1"/>
  <c r="Y14" i="3" s="1"/>
  <c r="AI14" i="3" s="1"/>
  <c r="O7" i="1"/>
  <c r="N7" i="3" s="1"/>
  <c r="O8" i="1"/>
  <c r="N8" i="3" s="1"/>
  <c r="O10" i="1"/>
  <c r="S10" i="3" s="1"/>
  <c r="J5" i="1"/>
  <c r="S11" i="3" l="1"/>
  <c r="E11" i="3"/>
  <c r="Y11" i="3"/>
  <c r="AI11" i="3" s="1"/>
  <c r="N9" i="3"/>
  <c r="S12" i="3"/>
  <c r="N12" i="3"/>
  <c r="N13" i="3"/>
  <c r="S7" i="3"/>
  <c r="N14" i="3"/>
  <c r="E9" i="3"/>
  <c r="AD9" i="3"/>
  <c r="S9" i="3"/>
  <c r="Y13" i="3"/>
  <c r="AD13" i="3" s="1"/>
  <c r="E14" i="3"/>
  <c r="S13" i="3"/>
  <c r="Y12" i="3"/>
  <c r="AD12" i="3" s="1"/>
  <c r="S14" i="3"/>
  <c r="Y10" i="3"/>
  <c r="AI10" i="3" s="1"/>
  <c r="E8" i="3"/>
  <c r="O5" i="1"/>
  <c r="K43" i="10" s="1"/>
  <c r="K42" i="10" s="1"/>
  <c r="N10" i="3"/>
  <c r="E10" i="3"/>
  <c r="Y8" i="3"/>
  <c r="AI8" i="3" s="1"/>
  <c r="AD14" i="3"/>
  <c r="E7" i="3"/>
  <c r="S8" i="3"/>
  <c r="Y7" i="3"/>
  <c r="AD7" i="3" s="1"/>
  <c r="AD11" i="3"/>
  <c r="S5" i="3" l="1"/>
  <c r="K53" i="10" s="1"/>
  <c r="K55" i="10" s="1"/>
  <c r="AI7" i="3"/>
  <c r="AD10" i="3"/>
  <c r="N5" i="3"/>
  <c r="K51" i="10" s="1"/>
  <c r="AI13" i="3"/>
  <c r="AI12" i="3"/>
  <c r="E5" i="3"/>
  <c r="K46" i="10" s="1"/>
  <c r="K45" i="10" s="1"/>
  <c r="AD8" i="3"/>
  <c r="Y5" i="3"/>
  <c r="K58" i="10" s="1"/>
  <c r="K52" i="10" l="1"/>
  <c r="K49" i="10"/>
  <c r="K48" i="10" s="1"/>
  <c r="K47" i="10"/>
  <c r="AD5" i="3"/>
  <c r="K64" i="10" s="1"/>
  <c r="AI5" i="3"/>
  <c r="K65" i="10" s="1"/>
  <c r="K61" i="10" s="1"/>
  <c r="L57" i="10"/>
  <c r="L63" i="10" l="1"/>
  <c r="K67" i="10"/>
  <c r="K66" i="10" s="1"/>
  <c r="F5" i="1"/>
  <c r="F22" i="1" s="1"/>
  <c r="L60" i="10"/>
  <c r="K12" i="1" l="1"/>
  <c r="K14" i="1"/>
  <c r="K13" i="1"/>
  <c r="K8" i="1"/>
  <c r="K7" i="1"/>
  <c r="K11" i="1"/>
  <c r="K9" i="1"/>
  <c r="K10" i="1"/>
  <c r="F21" i="1"/>
  <c r="L39" i="10" s="1"/>
  <c r="F23" i="1" l="1"/>
  <c r="L41" i="10" s="1"/>
  <c r="L40" i="10" s="1"/>
  <c r="K5" i="1"/>
  <c r="P10" i="1" l="1"/>
  <c r="O10" i="3" s="1"/>
  <c r="P7" i="1"/>
  <c r="Z7" i="3" s="1"/>
  <c r="AE7" i="3" s="1"/>
  <c r="P14" i="1"/>
  <c r="Z14" i="3" s="1"/>
  <c r="AJ14" i="3" s="1"/>
  <c r="P9" i="1"/>
  <c r="Z9" i="3" s="1"/>
  <c r="AJ9" i="3" s="1"/>
  <c r="P11" i="1"/>
  <c r="F11" i="3" s="1"/>
  <c r="P12" i="1"/>
  <c r="F12" i="3" s="1"/>
  <c r="P13" i="1"/>
  <c r="F13" i="3" s="1"/>
  <c r="P8" i="1"/>
  <c r="F8" i="3" s="1"/>
  <c r="F10" i="3"/>
  <c r="T10" i="3"/>
  <c r="Z10" i="3"/>
  <c r="AJ10" i="3" s="1"/>
  <c r="O9" i="3" l="1"/>
  <c r="T9" i="3"/>
  <c r="O14" i="3"/>
  <c r="T14" i="3"/>
  <c r="F9" i="3"/>
  <c r="AE9" i="3"/>
  <c r="F7" i="3"/>
  <c r="AE14" i="3"/>
  <c r="AJ7" i="3"/>
  <c r="O7" i="3"/>
  <c r="F14" i="3"/>
  <c r="T7" i="3"/>
  <c r="T13" i="3"/>
  <c r="O12" i="3"/>
  <c r="Z13" i="3"/>
  <c r="AE13" i="3" s="1"/>
  <c r="T8" i="3"/>
  <c r="Z12" i="3"/>
  <c r="AJ12" i="3" s="1"/>
  <c r="T12" i="3"/>
  <c r="O11" i="3"/>
  <c r="T11" i="3"/>
  <c r="Z11" i="3"/>
  <c r="AE11" i="3" s="1"/>
  <c r="P5" i="1"/>
  <c r="L43" i="10" s="1"/>
  <c r="L42" i="10" s="1"/>
  <c r="O8" i="3"/>
  <c r="Z8" i="3"/>
  <c r="AJ8" i="3" s="1"/>
  <c r="O13" i="3"/>
  <c r="AE10" i="3"/>
  <c r="F5" i="3" l="1"/>
  <c r="L46" i="10" s="1"/>
  <c r="L45" i="10" s="1"/>
  <c r="AJ13" i="3"/>
  <c r="AE12" i="3"/>
  <c r="AE8" i="3"/>
  <c r="T5" i="3"/>
  <c r="L53" i="10" s="1"/>
  <c r="L55" i="10" s="1"/>
  <c r="O5" i="3"/>
  <c r="L51" i="10" s="1"/>
  <c r="L49" i="10" s="1"/>
  <c r="AJ11" i="3"/>
  <c r="Z5" i="3"/>
  <c r="M57" i="10" s="1"/>
  <c r="E57" i="10" s="1"/>
  <c r="I57" i="10" s="1"/>
  <c r="AE5" i="3" l="1"/>
  <c r="M63" i="10" s="1"/>
  <c r="AJ5" i="3"/>
  <c r="L65" i="10" s="1"/>
  <c r="M60" i="10"/>
  <c r="E60" i="10" s="1"/>
  <c r="I60" i="10" s="1"/>
  <c r="L48" i="10"/>
  <c r="L47" i="10"/>
  <c r="L58" i="10"/>
  <c r="L52" i="10"/>
  <c r="G5" i="1"/>
  <c r="L13" i="1" s="1"/>
  <c r="M13" i="1" s="1"/>
  <c r="E63" i="10"/>
  <c r="I63" i="10" s="1"/>
  <c r="L64" i="10"/>
  <c r="L61" i="10" l="1"/>
  <c r="L67" i="10"/>
  <c r="L66" i="10" s="1"/>
  <c r="G21" i="1"/>
  <c r="H21" i="1" s="1"/>
  <c r="L7" i="1"/>
  <c r="M7" i="1" s="1"/>
  <c r="L8" i="1"/>
  <c r="M8" i="1" s="1"/>
  <c r="G22" i="1"/>
  <c r="L12" i="1"/>
  <c r="M12" i="1" s="1"/>
  <c r="L11" i="1"/>
  <c r="M11" i="1" s="1"/>
  <c r="L14" i="1"/>
  <c r="M14" i="1" s="1"/>
  <c r="L9" i="1"/>
  <c r="M9" i="1" s="1"/>
  <c r="L10" i="1"/>
  <c r="M10" i="1" s="1"/>
  <c r="M39" i="10" l="1"/>
  <c r="E39" i="10" s="1"/>
  <c r="I39" i="10" s="1"/>
  <c r="G23" i="1"/>
  <c r="Q13" i="1" s="1"/>
  <c r="P13" i="3" s="1"/>
  <c r="Q13" i="3" s="1"/>
  <c r="F13" i="11" s="1"/>
  <c r="L5" i="1"/>
  <c r="M5" i="1" s="1"/>
  <c r="AA13" i="3" l="1"/>
  <c r="P29" i="10" s="1"/>
  <c r="Q29" i="10" s="1"/>
  <c r="Q14" i="1"/>
  <c r="U14" i="3" s="1"/>
  <c r="V14" i="3" s="1"/>
  <c r="G14" i="11" s="1"/>
  <c r="H23" i="1"/>
  <c r="H22" i="1" s="1"/>
  <c r="Q12" i="1"/>
  <c r="P12" i="3" s="1"/>
  <c r="Q12" i="3" s="1"/>
  <c r="F12" i="11" s="1"/>
  <c r="Q10" i="1"/>
  <c r="P10" i="3" s="1"/>
  <c r="Q10" i="3" s="1"/>
  <c r="F10" i="11" s="1"/>
  <c r="Q7" i="1"/>
  <c r="AA7" i="3" s="1"/>
  <c r="AK7" i="3" s="1"/>
  <c r="K7" i="11" s="1"/>
  <c r="G13" i="3"/>
  <c r="H13" i="3" s="1"/>
  <c r="Q9" i="1"/>
  <c r="G9" i="3" s="1"/>
  <c r="H9" i="3" s="1"/>
  <c r="U13" i="3"/>
  <c r="V13" i="3" s="1"/>
  <c r="G13" i="11" s="1"/>
  <c r="R13" i="1"/>
  <c r="E13" i="11" s="1"/>
  <c r="M41" i="10"/>
  <c r="E41" i="10" s="1"/>
  <c r="E40" i="10" s="1"/>
  <c r="I40" i="10" s="1"/>
  <c r="Q8" i="1"/>
  <c r="G8" i="3" s="1"/>
  <c r="H8" i="3" s="1"/>
  <c r="Q11" i="1"/>
  <c r="G11" i="3" s="1"/>
  <c r="H11" i="3" s="1"/>
  <c r="AA12" i="3" l="1"/>
  <c r="J12" i="11" s="1"/>
  <c r="R12" i="1"/>
  <c r="E12" i="11" s="1"/>
  <c r="AK13" i="3"/>
  <c r="AO13" i="3" s="1"/>
  <c r="U12" i="3"/>
  <c r="V12" i="3" s="1"/>
  <c r="G12" i="11" s="1"/>
  <c r="R10" i="1"/>
  <c r="E10" i="11" s="1"/>
  <c r="U9" i="3"/>
  <c r="V9" i="3" s="1"/>
  <c r="G9" i="11" s="1"/>
  <c r="AS7" i="3"/>
  <c r="L7" i="11" s="1"/>
  <c r="G7" i="3"/>
  <c r="H7" i="3" s="1"/>
  <c r="U10" i="3"/>
  <c r="V10" i="3" s="1"/>
  <c r="G10" i="11" s="1"/>
  <c r="AA10" i="3"/>
  <c r="P26" i="10" s="1"/>
  <c r="Q26" i="10" s="1"/>
  <c r="R9" i="1"/>
  <c r="E9" i="11" s="1"/>
  <c r="G12" i="3"/>
  <c r="H12" i="3" s="1"/>
  <c r="J13" i="11"/>
  <c r="AF13" i="3"/>
  <c r="AS13" i="3"/>
  <c r="L13" i="11" s="1"/>
  <c r="R14" i="1"/>
  <c r="E14" i="11" s="1"/>
  <c r="G14" i="3"/>
  <c r="H14" i="3" s="1"/>
  <c r="P14" i="3"/>
  <c r="Q14" i="3" s="1"/>
  <c r="F14" i="11" s="1"/>
  <c r="AA11" i="3"/>
  <c r="AF11" i="3" s="1"/>
  <c r="AA14" i="3"/>
  <c r="P30" i="10" s="1"/>
  <c r="Q30" i="10" s="1"/>
  <c r="R7" i="1"/>
  <c r="E7" i="11" s="1"/>
  <c r="R11" i="1"/>
  <c r="E11" i="11" s="1"/>
  <c r="U8" i="3"/>
  <c r="V8" i="3" s="1"/>
  <c r="G8" i="11" s="1"/>
  <c r="P9" i="3"/>
  <c r="Q9" i="3" s="1"/>
  <c r="F9" i="11" s="1"/>
  <c r="AA9" i="3"/>
  <c r="J9" i="11" s="1"/>
  <c r="I41" i="10"/>
  <c r="R8" i="1"/>
  <c r="E8" i="11" s="1"/>
  <c r="P8" i="3"/>
  <c r="Q8" i="3" s="1"/>
  <c r="F8" i="11" s="1"/>
  <c r="U11" i="3"/>
  <c r="V11" i="3" s="1"/>
  <c r="G11" i="11" s="1"/>
  <c r="M40" i="10"/>
  <c r="U7" i="3"/>
  <c r="V7" i="3" s="1"/>
  <c r="G7" i="11" s="1"/>
  <c r="J7" i="11"/>
  <c r="P7" i="3"/>
  <c r="Q7" i="3" s="1"/>
  <c r="F7" i="11" s="1"/>
  <c r="G10" i="3"/>
  <c r="H10" i="3" s="1"/>
  <c r="Q5" i="1"/>
  <c r="M43" i="10" s="1"/>
  <c r="M42" i="10" s="1"/>
  <c r="AF7" i="3"/>
  <c r="P11" i="3"/>
  <c r="Q11" i="3" s="1"/>
  <c r="F11" i="11" s="1"/>
  <c r="AO7" i="3"/>
  <c r="AA8" i="3"/>
  <c r="AK8" i="3" s="1"/>
  <c r="K8" i="11" s="1"/>
  <c r="P23" i="10"/>
  <c r="Q23" i="10" s="1"/>
  <c r="P28" i="10" l="1"/>
  <c r="Q28" i="10" s="1"/>
  <c r="AF12" i="3"/>
  <c r="AS12" i="3"/>
  <c r="L12" i="11" s="1"/>
  <c r="AK12" i="3"/>
  <c r="K12" i="11" s="1"/>
  <c r="K13" i="11"/>
  <c r="AT7" i="3"/>
  <c r="M7" i="11" s="1"/>
  <c r="AS8" i="3"/>
  <c r="L8" i="11" s="1"/>
  <c r="AF8" i="3"/>
  <c r="P24" i="10"/>
  <c r="Q24" i="10" s="1"/>
  <c r="AF10" i="3"/>
  <c r="AS10" i="3"/>
  <c r="L10" i="11" s="1"/>
  <c r="AT13" i="3"/>
  <c r="M13" i="11" s="1"/>
  <c r="AK14" i="3"/>
  <c r="AO14" i="3" s="1"/>
  <c r="AK10" i="3"/>
  <c r="K10" i="11" s="1"/>
  <c r="G5" i="3"/>
  <c r="M46" i="10" s="1"/>
  <c r="E46" i="10" s="1"/>
  <c r="I46" i="10" s="1"/>
  <c r="J10" i="11"/>
  <c r="J14" i="11"/>
  <c r="H5" i="3"/>
  <c r="AF9" i="3"/>
  <c r="J8" i="11"/>
  <c r="AS9" i="3"/>
  <c r="L9" i="11" s="1"/>
  <c r="G5" i="11"/>
  <c r="F5" i="11"/>
  <c r="E43" i="10"/>
  <c r="I43" i="10" s="1"/>
  <c r="AS11" i="3"/>
  <c r="L11" i="11" s="1"/>
  <c r="AK11" i="3"/>
  <c r="AO11" i="3" s="1"/>
  <c r="P27" i="10"/>
  <c r="Q27" i="10" s="1"/>
  <c r="J11" i="11"/>
  <c r="E5" i="11"/>
  <c r="AS14" i="3"/>
  <c r="L14" i="11" s="1"/>
  <c r="AF14" i="3"/>
  <c r="AK9" i="3"/>
  <c r="K9" i="11" s="1"/>
  <c r="R5" i="1"/>
  <c r="P25" i="10"/>
  <c r="Q25" i="10" s="1"/>
  <c r="U5" i="3"/>
  <c r="M53" i="10" s="1"/>
  <c r="E53" i="10" s="1"/>
  <c r="I53" i="10" s="1"/>
  <c r="V5" i="3"/>
  <c r="Q5" i="3"/>
  <c r="AA5" i="3"/>
  <c r="M58" i="10" s="1"/>
  <c r="E58" i="10" s="1"/>
  <c r="I58" i="10" s="1"/>
  <c r="P5" i="3"/>
  <c r="M51" i="10" s="1"/>
  <c r="M49" i="10" s="1"/>
  <c r="AO8" i="3"/>
  <c r="AO12" i="3" l="1"/>
  <c r="AT12" i="3" s="1"/>
  <c r="M12" i="11" s="1"/>
  <c r="M45" i="10"/>
  <c r="M48" i="10" s="1"/>
  <c r="AT8" i="3"/>
  <c r="M8" i="11" s="1"/>
  <c r="P32" i="10"/>
  <c r="Q32" i="10" s="1"/>
  <c r="K11" i="11"/>
  <c r="K14" i="11"/>
  <c r="E51" i="10"/>
  <c r="I51" i="10" s="1"/>
  <c r="AO10" i="3"/>
  <c r="AT10" i="3" s="1"/>
  <c r="M10" i="11" s="1"/>
  <c r="AF5" i="3"/>
  <c r="M64" i="10" s="1"/>
  <c r="E64" i="10" s="1"/>
  <c r="I64" i="10" s="1"/>
  <c r="J5" i="11"/>
  <c r="E42" i="10"/>
  <c r="I42" i="10" s="1"/>
  <c r="L5" i="11"/>
  <c r="AK5" i="3"/>
  <c r="M65" i="10" s="1"/>
  <c r="E65" i="10" s="1"/>
  <c r="I65" i="10" s="1"/>
  <c r="AS5" i="3"/>
  <c r="E66" i="10" s="1"/>
  <c r="I66" i="10" s="1"/>
  <c r="AT11" i="3"/>
  <c r="M11" i="11" s="1"/>
  <c r="E45" i="10"/>
  <c r="I45" i="10" s="1"/>
  <c r="AT14" i="3"/>
  <c r="M14" i="11" s="1"/>
  <c r="AO9" i="3"/>
  <c r="AT9" i="3" s="1"/>
  <c r="M9" i="11" s="1"/>
  <c r="M47" i="10"/>
  <c r="E47" i="10" s="1"/>
  <c r="I47" i="10" s="1"/>
  <c r="M55" i="10"/>
  <c r="E55" i="10" s="1"/>
  <c r="I55" i="10" s="1"/>
  <c r="M52" i="10"/>
  <c r="E52" i="10" l="1"/>
  <c r="I52" i="10" s="1"/>
  <c r="P33" i="10"/>
  <c r="K5" i="11"/>
  <c r="E49" i="10"/>
  <c r="I49" i="10" s="1"/>
  <c r="M67" i="10"/>
  <c r="M66" i="10" s="1"/>
  <c r="M5" i="11"/>
  <c r="E67" i="10" s="1"/>
  <c r="E12" i="10" s="1"/>
  <c r="H42" i="12" s="1"/>
  <c r="M61" i="10"/>
  <c r="E61" i="10" s="1"/>
  <c r="I61" i="10" s="1"/>
  <c r="AO5" i="3"/>
  <c r="AT5" i="3"/>
  <c r="E48" i="10" l="1"/>
  <c r="I48" i="10" s="1"/>
  <c r="H10" i="12"/>
  <c r="I67" i="10"/>
  <c r="H6" i="12"/>
  <c r="H14" i="12"/>
  <c r="H32" i="12"/>
  <c r="H18" i="12"/>
  <c r="H36" i="12"/>
  <c r="H60" i="12"/>
  <c r="H34" i="12"/>
  <c r="H20" i="12"/>
  <c r="H26" i="12"/>
  <c r="H64" i="12"/>
  <c r="H62" i="12"/>
  <c r="H22" i="12"/>
  <c r="H12" i="12"/>
  <c r="H56" i="12"/>
  <c r="H24" i="12"/>
  <c r="H38" i="12"/>
  <c r="H54" i="12"/>
  <c r="H8" i="12"/>
  <c r="H46" i="12"/>
  <c r="H52" i="12"/>
  <c r="H40" i="12"/>
  <c r="H58" i="12"/>
  <c r="H28" i="12"/>
  <c r="H16" i="12"/>
  <c r="H50" i="12"/>
  <c r="H30" i="12"/>
  <c r="H44" i="12"/>
  <c r="H48" i="12"/>
  <c r="E68" i="10"/>
</calcChain>
</file>

<file path=xl/sharedStrings.xml><?xml version="1.0" encoding="utf-8"?>
<sst xmlns="http://schemas.openxmlformats.org/spreadsheetml/2006/main" count="594" uniqueCount="219">
  <si>
    <t>Total</t>
  </si>
  <si>
    <t>June</t>
  </si>
  <si>
    <t>July</t>
  </si>
  <si>
    <t>August</t>
  </si>
  <si>
    <t>Sports</t>
  </si>
  <si>
    <t>Products</t>
  </si>
  <si>
    <t>Baseline</t>
  </si>
  <si>
    <t>Vintage</t>
  </si>
  <si>
    <t>New</t>
  </si>
  <si>
    <t>3+</t>
  </si>
  <si>
    <t>Casual</t>
  </si>
  <si>
    <t>Full price</t>
  </si>
  <si>
    <t>Volume</t>
  </si>
  <si>
    <t>Revenues</t>
  </si>
  <si>
    <t>Average discount</t>
  </si>
  <si>
    <t>Paid price</t>
  </si>
  <si>
    <t>Margin</t>
  </si>
  <si>
    <t>Inventory level at beginning of period</t>
  </si>
  <si>
    <t>September</t>
  </si>
  <si>
    <t>Unit cost paid</t>
  </si>
  <si>
    <t>Inventory value at beginning of period, full cost</t>
  </si>
  <si>
    <t>Inventory value at beginning of period, at write-off cost</t>
  </si>
  <si>
    <t>Next season</t>
  </si>
  <si>
    <t>Old write-off</t>
  </si>
  <si>
    <t>New write-off</t>
  </si>
  <si>
    <t>Old cost value</t>
  </si>
  <si>
    <t>New cost value</t>
  </si>
  <si>
    <t>Unit write-off</t>
  </si>
  <si>
    <t>Old value</t>
  </si>
  <si>
    <t>Total write-off</t>
  </si>
  <si>
    <t>Post write-off value</t>
  </si>
  <si>
    <t>Financial results</t>
  </si>
  <si>
    <t>Initial inventory</t>
  </si>
  <si>
    <t>Initial pieces</t>
  </si>
  <si>
    <t>Final pieces</t>
  </si>
  <si>
    <t>Leftover value</t>
  </si>
  <si>
    <t>Write-off if unsold</t>
  </si>
  <si>
    <t>Workings</t>
  </si>
  <si>
    <t>Inventory results</t>
  </si>
  <si>
    <t>Unit values</t>
  </si>
  <si>
    <t>Conversion rate</t>
  </si>
  <si>
    <t>Number of receipts</t>
  </si>
  <si>
    <t>Units per receipt</t>
  </si>
  <si>
    <t>KPI</t>
  </si>
  <si>
    <t>Special promotion</t>
  </si>
  <si>
    <t>Channel spend</t>
  </si>
  <si>
    <t>Values allowed</t>
  </si>
  <si>
    <t>Markdown</t>
  </si>
  <si>
    <t>Special promo</t>
  </si>
  <si>
    <t>None</t>
  </si>
  <si>
    <t>3x2 sports</t>
  </si>
  <si>
    <t>3x2 casual</t>
  </si>
  <si>
    <t>3x2 all</t>
  </si>
  <si>
    <t>Activity</t>
  </si>
  <si>
    <t>Number of visits / traffic</t>
  </si>
  <si>
    <t>Visits</t>
  </si>
  <si>
    <t>KPI 1</t>
  </si>
  <si>
    <t>KPI 2</t>
  </si>
  <si>
    <t>Impact</t>
  </si>
  <si>
    <t>Level</t>
  </si>
  <si>
    <t>Conversion rate impact</t>
  </si>
  <si>
    <t>Average discount impact</t>
  </si>
  <si>
    <t>Investment cash outlay</t>
  </si>
  <si>
    <t>Discounts</t>
  </si>
  <si>
    <t>Translation for the CHOOSE function</t>
  </si>
  <si>
    <t>Lever</t>
  </si>
  <si>
    <t>Overall average discount, per % point</t>
  </si>
  <si>
    <t>Vists impact</t>
  </si>
  <si>
    <t>Flow-through</t>
  </si>
  <si>
    <t>Memo: KPI impacted</t>
  </si>
  <si>
    <t>Low</t>
  </si>
  <si>
    <t>High</t>
  </si>
  <si>
    <t>Month</t>
  </si>
  <si>
    <t>Objective function</t>
  </si>
  <si>
    <t>Revenues net of unsold</t>
  </si>
  <si>
    <t>Margin net of unsold</t>
  </si>
  <si>
    <t>Write-off cost</t>
  </si>
  <si>
    <t>Results</t>
  </si>
  <si>
    <t>Choice</t>
  </si>
  <si>
    <t>Value</t>
  </si>
  <si>
    <t>Value of objective function with different simulated levels</t>
  </si>
  <si>
    <t>Objective</t>
  </si>
  <si>
    <t>Average total discount</t>
  </si>
  <si>
    <t>Strategy</t>
  </si>
  <si>
    <t>Optimization</t>
  </si>
  <si>
    <t>(all)</t>
  </si>
  <si>
    <t>Automated optimization iterating across all the acceptable values for the marketing levers</t>
  </si>
  <si>
    <t>Calculation of business KPI impact specifically from each marketing lever</t>
  </si>
  <si>
    <t>to avoid circular reference</t>
  </si>
  <si>
    <t>Detailed step by step impact on financial and inventory performance</t>
  </si>
  <si>
    <t>Summary of the main business results by product vintage</t>
  </si>
  <si>
    <t>Dimension</t>
  </si>
  <si>
    <t>Context data, can also be edited manually - 'do nothing' scenario</t>
  </si>
  <si>
    <t>Expected impact of marketing levers on business KPI performance based on past analysis, can also be edited manually</t>
  </si>
  <si>
    <t>NOTE: totals weigthed by inventory</t>
  </si>
  <si>
    <t>Final inventory write-off</t>
  </si>
  <si>
    <t>Price sensitivity net of UPR</t>
  </si>
  <si>
    <t>Units per receipt (UPR) impact</t>
  </si>
  <si>
    <t>Receipts</t>
  </si>
  <si>
    <t>Revenue per unit</t>
  </si>
  <si>
    <t>Margin %</t>
  </si>
  <si>
    <t>Volume objective %</t>
  </si>
  <si>
    <t>Margin objective %</t>
  </si>
  <si>
    <t>Revenues objective %</t>
  </si>
  <si>
    <t>Write-off penalty %</t>
  </si>
  <si>
    <t>Value of objective function</t>
  </si>
  <si>
    <t>Value used</t>
  </si>
  <si>
    <t>Dropdowns</t>
  </si>
  <si>
    <t>Overall discount %</t>
  </si>
  <si>
    <t>Average full price</t>
  </si>
  <si>
    <t>Markdown on products</t>
  </si>
  <si>
    <t>Revenues at full price</t>
  </si>
  <si>
    <t>Margin net of channel spend</t>
  </si>
  <si>
    <t>Markdown: Sports-New</t>
  </si>
  <si>
    <t>Markdown: Sports-1</t>
  </si>
  <si>
    <t>Markdown: Sports-2</t>
  </si>
  <si>
    <t>Markdown: Sports-3+</t>
  </si>
  <si>
    <t>Markdown: Casual-New</t>
  </si>
  <si>
    <t>Markdown: Casual-1</t>
  </si>
  <si>
    <t>Markdown: Casual-2</t>
  </si>
  <si>
    <t>Markdown: Casual-3+</t>
  </si>
  <si>
    <t>Inventory units at start</t>
  </si>
  <si>
    <t>Inventory units at end</t>
  </si>
  <si>
    <t>Inventory net market value at end</t>
  </si>
  <si>
    <t>Inventory full book value at start</t>
  </si>
  <si>
    <t>Full book value per inventory unit</t>
  </si>
  <si>
    <t>Current net market value per unit</t>
  </si>
  <si>
    <t>Revenues at paid price</t>
  </si>
  <si>
    <t>Inventory full book value at end</t>
  </si>
  <si>
    <t>Economic write-off</t>
  </si>
  <si>
    <t>Season end additional write-off</t>
  </si>
  <si>
    <t>Write-off value penalty %</t>
  </si>
  <si>
    <t>Use volume instead of value?</t>
  </si>
  <si>
    <t>Default</t>
  </si>
  <si>
    <t>Manual %</t>
  </si>
  <si>
    <t>Manual choice of marketing levers (optional)</t>
  </si>
  <si>
    <t>Choice of objective function and automated setting of optimal marketing levers, which can also optionally be edited manually</t>
  </si>
  <si>
    <t>1. Set the objective function, translating the business strategy in mathematical terms</t>
  </si>
  <si>
    <t>2. Set any desired manual constraints to the automated system decisions</t>
  </si>
  <si>
    <t>note: markdowns can only increase, not decrease; the "MAX" formula prevents downward changes</t>
  </si>
  <si>
    <t>3. Examine the end-to-end business results based on your decisions</t>
  </si>
  <si>
    <t>Previous year</t>
  </si>
  <si>
    <t>Change %</t>
  </si>
  <si>
    <t>Pre</t>
  </si>
  <si>
    <t>Post</t>
  </si>
  <si>
    <t>Inventory level</t>
  </si>
  <si>
    <t>% sold</t>
  </si>
  <si>
    <t>Instructions</t>
  </si>
  <si>
    <t>This tool</t>
  </si>
  <si>
    <t>and how they affect the firm's multiple objectives.</t>
  </si>
  <si>
    <t>First point of entry into the model: start here.</t>
  </si>
  <si>
    <r>
      <rPr>
        <i/>
        <sz val="10"/>
        <rFont val="Lato"/>
        <family val="2"/>
        <charset val="1"/>
      </rPr>
      <t>Input:</t>
    </r>
    <r>
      <rPr>
        <sz val="10"/>
        <rFont val="Lato"/>
        <family val="2"/>
        <charset val="1"/>
      </rPr>
      <t xml:space="preserve"> blue tabs; edit any light-gray background cell.</t>
    </r>
  </si>
  <si>
    <r>
      <rPr>
        <i/>
        <sz val="10"/>
        <rFont val="Lato"/>
        <family val="2"/>
        <charset val="1"/>
      </rPr>
      <t>Output:</t>
    </r>
    <r>
      <rPr>
        <sz val="10"/>
        <rFont val="Lato"/>
        <family val="2"/>
        <charset val="1"/>
      </rPr>
      <t xml:space="preserve"> green tabs, read-only.</t>
    </r>
  </si>
  <si>
    <t>This template can be used to simulate different marketing decisions,</t>
  </si>
  <si>
    <t>Specifically, the company must plan its summer season and choose:</t>
  </si>
  <si>
    <t>- What products to markdown and by how much?</t>
  </si>
  <si>
    <t>Advanced usage</t>
  </si>
  <si>
    <t>The Excel contains simple optimization logic that will re-calculate its choices dynamically</t>
  </si>
  <si>
    <t>based on the user's choice of objectives, constraints and other parameters.</t>
  </si>
  <si>
    <t>Optimization tab</t>
  </si>
  <si>
    <t>Different values for each input variable are tested using sensitivity tables.</t>
  </si>
  <si>
    <t>The best value, corresponding to the highest result for the objective function, is automatically selected.</t>
  </si>
  <si>
    <t>Each choice is made sequentially, assuming to be independent from the others.</t>
  </si>
  <si>
    <t>This system requires some seconds to run each time, and may yield slightly different results even with the same input.</t>
  </si>
  <si>
    <t>Workings tab</t>
  </si>
  <si>
    <t>Impact of each marketing decision on its key target KPIs.</t>
  </si>
  <si>
    <t>Flow-through tab</t>
  </si>
  <si>
    <t>Model of each KPI, from left to right.</t>
  </si>
  <si>
    <t>Results tab</t>
  </si>
  <si>
    <t>Summary of impact by product category and vintage.</t>
  </si>
  <si>
    <t>Baseline tab</t>
  </si>
  <si>
    <t>Starting values at the beginning of the summer.</t>
  </si>
  <si>
    <t>Impact tab</t>
  </si>
  <si>
    <t>Key links of marketing levers to output KPIs, based on historical analysis.</t>
  </si>
  <si>
    <t>Harvard Business School Case # 522-046</t>
  </si>
  <si>
    <t>Courseware # 522-710</t>
  </si>
  <si>
    <t>- What additional broad promotions, like 3x2 (3 for the price of 2), to apply and when?</t>
  </si>
  <si>
    <t>- If and how much to spend in online marketing, e.g. e-mail and text messages?</t>
  </si>
  <si>
    <t xml:space="preserve">Excel's randomization may lead to different outcomes for the same inputs, which often happens in prediction </t>
  </si>
  <si>
    <t>machines. Users can run the system multiple times and take the average.</t>
  </si>
  <si>
    <t>-The desired objective function</t>
  </si>
  <si>
    <t>How to use this tool?</t>
  </si>
  <si>
    <r>
      <rPr>
        <i/>
        <sz val="10"/>
        <color indexed="8"/>
        <rFont val="Lato"/>
        <family val="2"/>
        <charset val="1"/>
      </rPr>
      <t>Output:</t>
    </r>
    <r>
      <rPr>
        <sz val="10"/>
        <color theme="1"/>
        <rFont val="Lato"/>
        <family val="2"/>
        <charset val="1"/>
      </rPr>
      <t xml:space="preserve"> Section 3 of the tab - system selection of marketing levers, and expected impact on the main KPIs.</t>
    </r>
  </si>
  <si>
    <r>
      <rPr>
        <i/>
        <sz val="10"/>
        <color indexed="8"/>
        <rFont val="Lato"/>
        <family val="2"/>
        <charset val="1"/>
      </rPr>
      <t xml:space="preserve">Input: </t>
    </r>
    <r>
      <rPr>
        <sz val="10"/>
        <color theme="1"/>
        <rFont val="Lato"/>
        <family val="2"/>
        <charset val="1"/>
      </rPr>
      <t>choice of objective function and basic constraints, entering values only in the empty gray cells.</t>
    </r>
  </si>
  <si>
    <t xml:space="preserve">         In Section 1 of the tab, the user can manipulate the objective function: using revenue, margin, and</t>
  </si>
  <si>
    <t xml:space="preserve">         In Section 2, the white cells display the system's current recommendations, and the impact on inventory. </t>
  </si>
  <si>
    <t xml:space="preserve">           the user can manipulate additional constraints, and examine the impact of each decision on the objective</t>
  </si>
  <si>
    <t xml:space="preserve">           function. This way one can examine what would happen if they override the system and make their own </t>
  </si>
  <si>
    <t xml:space="preserve">           decisions.</t>
  </si>
  <si>
    <t>Online marketing spend</t>
  </si>
  <si>
    <t xml:space="preserve">           Possible values:</t>
  </si>
  <si>
    <t xml:space="preserve">           Online marketing spend - can take one of 3 levels: none, low, or high.</t>
  </si>
  <si>
    <t xml:space="preserve">             or only casual shoes</t>
  </si>
  <si>
    <t xml:space="preserve">           Markdown values: markdown values are permenant discount for the initial price of each shoe. </t>
  </si>
  <si>
    <t xml:space="preserve">             for simplicity, the tools only considers 4 different vintages of shoes, for both casual and sports brands.</t>
  </si>
  <si>
    <t xml:space="preserve">             in reality, this can be done individually for each SKU or for a sub group of products.</t>
  </si>
  <si>
    <t xml:space="preserve">             the system imposes a rule whereby a product cannot be marked-up, but only marked down over time.</t>
  </si>
  <si>
    <t>These inputs can be edited to generate different starting points and trajectory assumptions.</t>
  </si>
  <si>
    <r>
      <rPr>
        <i/>
        <sz val="10"/>
        <rFont val="Lato"/>
        <family val="2"/>
        <charset val="1"/>
      </rPr>
      <t>Input (optional):</t>
    </r>
    <r>
      <rPr>
        <sz val="10"/>
        <rFont val="Lato"/>
        <family val="2"/>
        <charset val="1"/>
      </rPr>
      <t xml:space="preserve"> red tabs; edit any light-gray background cell.</t>
    </r>
  </si>
  <si>
    <t>General guidelines</t>
  </si>
  <si>
    <t>Other input (red tabs)</t>
  </si>
  <si>
    <t>Strategy tab (blue tab)</t>
  </si>
  <si>
    <t>Model output details (green tabs)</t>
  </si>
  <si>
    <t>These tabs can be used to better understand how the model works.</t>
  </si>
  <si>
    <t>Introductory overview for users of this supplement</t>
  </si>
  <si>
    <t>PittaRosso: Artificial Intelligence-Driven Pricing and Promotion</t>
  </si>
  <si>
    <t xml:space="preserve">           Special promotion - can be none, or can have a promotion for the entire store, or only sports shoes, </t>
  </si>
  <si>
    <t xml:space="preserve">           the writeoff penalty for older inventory. The user can also use volume sold instead of monetary value. </t>
  </si>
  <si>
    <t xml:space="preserve">           In that case, the objctive function would be maximum volume, regardless of other parameters.</t>
  </si>
  <si>
    <t xml:space="preserve">           Note: </t>
  </si>
  <si>
    <t xml:space="preserve"> learning experience, therefore accepting certain approximations.</t>
  </si>
  <si>
    <t>This is a simplified model, limited by the capabilities of Excel and designed for specific</t>
  </si>
  <si>
    <t>Note, that the selection of the objective function is often times the most important</t>
  </si>
  <si>
    <t>decision, as it impacts the enire strategy.</t>
  </si>
  <si>
    <t xml:space="preserve">           The units of the "value of objective function" in E12 are only meaningful if either margin or revenue</t>
  </si>
  <si>
    <t xml:space="preserve">           are set to 100%. Otherwise, it is not interpertable, as it forms a mixed objective function.</t>
  </si>
  <si>
    <t xml:space="preserve">           Whereas the number itself is irrelevant, this cell provides a value for the model to optimize.</t>
  </si>
  <si>
    <t>REV: March 1, 2022</t>
  </si>
  <si>
    <t>This courseware  was prepared solely as the basis for class discussion. Copyright © 2021, 2022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</si>
</sst>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\+#,##0\ &quot;pp&quot;;\-#,##0\ &quot;pp&quot;"/>
    <numFmt numFmtId="167" formatCode="[&gt;=1000000]#,##0,,&quot;m&quot;;[&lt;=-1000000]\-#,##0,,&quot;m&quot;;#,##0"/>
  </numFmts>
  <fonts count="26" x14ac:knownFonts="1">
    <font>
      <sz val="10"/>
      <color theme="1"/>
      <name val="Lato"/>
      <family val="2"/>
      <charset val="1"/>
    </font>
    <font>
      <sz val="10"/>
      <name val="Lato"/>
      <family val="2"/>
      <charset val="1"/>
    </font>
    <font>
      <i/>
      <sz val="10"/>
      <color indexed="8"/>
      <name val="Lato"/>
      <family val="2"/>
      <charset val="1"/>
    </font>
    <font>
      <i/>
      <u/>
      <sz val="10"/>
      <name val="Lato"/>
      <family val="2"/>
      <charset val="1"/>
    </font>
    <font>
      <i/>
      <sz val="10"/>
      <name val="Lato"/>
      <family val="2"/>
      <charset val="1"/>
    </font>
    <font>
      <sz val="10"/>
      <name val="Helvetica"/>
      <family val="2"/>
    </font>
    <font>
      <b/>
      <sz val="10"/>
      <name val="Helvetica"/>
      <family val="2"/>
    </font>
    <font>
      <sz val="10"/>
      <color theme="1"/>
      <name val="Lato"/>
      <family val="2"/>
      <charset val="1"/>
    </font>
    <font>
      <sz val="10"/>
      <color rgb="FF9C0006"/>
      <name val="Lato"/>
      <family val="2"/>
      <charset val="1"/>
    </font>
    <font>
      <sz val="10"/>
      <color rgb="FF006100"/>
      <name val="Lato"/>
      <family val="2"/>
      <charset val="1"/>
    </font>
    <font>
      <sz val="10"/>
      <color theme="0"/>
      <name val="Lato"/>
      <family val="2"/>
      <charset val="1"/>
    </font>
    <font>
      <b/>
      <sz val="19"/>
      <color rgb="FFEAEAEA"/>
      <name val="Lato Black"/>
      <family val="2"/>
      <charset val="1"/>
    </font>
    <font>
      <i/>
      <sz val="10"/>
      <color theme="1"/>
      <name val="Lato"/>
      <family val="2"/>
      <charset val="1"/>
    </font>
    <font>
      <b/>
      <sz val="10"/>
      <color theme="0"/>
      <name val="Lato"/>
      <family val="2"/>
      <charset val="1"/>
    </font>
    <font>
      <b/>
      <sz val="10"/>
      <color theme="1"/>
      <name val="Lato"/>
      <family val="2"/>
      <charset val="1"/>
    </font>
    <font>
      <b/>
      <sz val="10"/>
      <color theme="0"/>
      <name val="Lato"/>
      <family val="2"/>
      <charset val="1"/>
      <scheme val="major"/>
    </font>
    <font>
      <sz val="10"/>
      <color theme="1"/>
      <name val="Lato"/>
      <family val="2"/>
      <charset val="1"/>
      <scheme val="major"/>
    </font>
    <font>
      <sz val="19"/>
      <color rgb="FF454545"/>
      <name val="Lato Black"/>
      <family val="2"/>
      <charset val="1"/>
    </font>
    <font>
      <b/>
      <sz val="10"/>
      <color rgb="FFFFFFFF"/>
      <name val="Lato"/>
      <family val="2"/>
      <charset val="1"/>
    </font>
    <font>
      <b/>
      <i/>
      <sz val="10"/>
      <color theme="1"/>
      <name val="Lato"/>
      <family val="2"/>
      <charset val="1"/>
    </font>
    <font>
      <i/>
      <sz val="10"/>
      <color theme="0"/>
      <name val="Lato"/>
      <family val="2"/>
      <charset val="1"/>
    </font>
    <font>
      <b/>
      <i/>
      <sz val="10"/>
      <color theme="0"/>
      <name val="Lato"/>
      <family val="2"/>
      <charset val="1"/>
    </font>
    <font>
      <i/>
      <u/>
      <sz val="10"/>
      <color theme="1"/>
      <name val="Lato"/>
      <family val="2"/>
      <charset val="1"/>
    </font>
    <font>
      <b/>
      <sz val="10"/>
      <color theme="1"/>
      <name val="Lato"/>
      <charset val="1"/>
    </font>
    <font>
      <sz val="10"/>
      <color rgb="FF000000"/>
      <name val="Lato"/>
      <family val="2"/>
      <charset val="1"/>
    </font>
    <font>
      <sz val="10"/>
      <color theme="1"/>
      <name val="Lato"/>
      <charset val="1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rgb="FF4C68A2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01"/>
        <bgColor indexed="64"/>
      </patternFill>
    </fill>
    <fill>
      <patternFill patternType="solid">
        <fgColor theme="4"/>
        <bgColor rgb="FF9EB6E4"/>
      </patternFill>
    </fill>
    <fill>
      <patternFill patternType="solid">
        <fgColor theme="3"/>
        <bgColor rgb="FF9EB6E4"/>
      </patternFill>
    </fill>
    <fill>
      <patternFill patternType="solid">
        <fgColor rgb="FF75A9D9"/>
        <bgColor rgb="FF9EB6E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/>
      <right style="thin">
        <color rgb="FF454545"/>
      </right>
      <top style="thin">
        <color rgb="FF454545"/>
      </top>
      <bottom style="thin">
        <color rgb="FF45454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54545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/>
      <diagonal/>
    </border>
    <border>
      <left style="thin">
        <color indexed="64"/>
      </left>
      <right style="thin">
        <color indexed="64"/>
      </right>
      <top style="thin">
        <color rgb="FF454545"/>
      </top>
      <bottom style="thin">
        <color rgb="FF454545"/>
      </bottom>
      <diagonal/>
    </border>
    <border>
      <left style="thin">
        <color indexed="64"/>
      </left>
      <right style="thin">
        <color indexed="64"/>
      </right>
      <top style="thin">
        <color rgb="FF454545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454545"/>
      </left>
      <right/>
      <top style="thin">
        <color rgb="FF454545"/>
      </top>
      <bottom style="thin">
        <color rgb="FF454545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37">
    <xf numFmtId="0" fontId="0" fillId="0" borderId="0">
      <alignment vertical="top"/>
      <protection hidden="1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2" borderId="1">
      <alignment vertical="top"/>
      <protection hidden="1"/>
    </xf>
    <xf numFmtId="3" fontId="7" fillId="3" borderId="1">
      <alignment vertical="top"/>
      <protection hidden="1"/>
    </xf>
    <xf numFmtId="3" fontId="8" fillId="4" borderId="1">
      <alignment vertical="top"/>
      <protection hidden="1"/>
    </xf>
    <xf numFmtId="3" fontId="9" fillId="5" borderId="1">
      <alignment vertical="top"/>
      <protection hidden="1"/>
    </xf>
    <xf numFmtId="0" fontId="10" fillId="6" borderId="0">
      <alignment vertical="top"/>
      <protection hidden="1"/>
    </xf>
    <xf numFmtId="0" fontId="11" fillId="6" borderId="0">
      <alignment vertical="top"/>
      <protection hidden="1"/>
    </xf>
    <xf numFmtId="14" fontId="12" fillId="7" borderId="1">
      <alignment vertical="top"/>
      <protection hidden="1"/>
    </xf>
    <xf numFmtId="3" fontId="12" fillId="7" borderId="1">
      <alignment vertical="top"/>
      <protection hidden="1"/>
    </xf>
    <xf numFmtId="165" fontId="12" fillId="7" borderId="1">
      <alignment vertical="top"/>
      <protection hidden="1"/>
    </xf>
    <xf numFmtId="49" fontId="12" fillId="7" borderId="1">
      <alignment vertical="top"/>
      <protection hidden="1"/>
    </xf>
    <xf numFmtId="0" fontId="3" fillId="0" borderId="0" applyNumberFormat="0" applyFill="0" applyBorder="0" applyAlignment="0" applyProtection="0">
      <alignment vertical="top"/>
      <protection hidden="1"/>
    </xf>
    <xf numFmtId="0" fontId="10" fillId="8" borderId="8">
      <alignment horizontal="left" vertical="top" wrapText="1" readingOrder="1"/>
      <protection hidden="1"/>
    </xf>
    <xf numFmtId="0" fontId="13" fillId="8" borderId="0">
      <alignment horizontal="left" vertical="top" readingOrder="1"/>
      <protection hidden="1"/>
    </xf>
    <xf numFmtId="0" fontId="3" fillId="0" borderId="0" applyNumberFormat="0" applyFill="0" applyBorder="0" applyAlignment="0" applyProtection="0"/>
    <xf numFmtId="165" fontId="7" fillId="9" borderId="1">
      <alignment vertical="top"/>
      <protection locked="0" hidden="1"/>
    </xf>
    <xf numFmtId="14" fontId="7" fillId="9" borderId="1">
      <alignment vertical="top"/>
      <protection locked="0" hidden="1"/>
    </xf>
    <xf numFmtId="3" fontId="7" fillId="9" borderId="1">
      <alignment vertical="top"/>
      <protection locked="0" hidden="1"/>
    </xf>
    <xf numFmtId="0" fontId="7" fillId="9" borderId="1">
      <alignment vertical="top"/>
      <protection locked="0" hidden="1"/>
    </xf>
    <xf numFmtId="0" fontId="5" fillId="0" borderId="0"/>
    <xf numFmtId="0" fontId="7" fillId="0" borderId="0">
      <alignment vertical="top"/>
      <protection hidden="1"/>
    </xf>
    <xf numFmtId="0" fontId="14" fillId="0" borderId="0">
      <alignment vertical="top"/>
      <protection hidden="1"/>
    </xf>
    <xf numFmtId="9" fontId="7" fillId="0" borderId="0" applyFont="0" applyFill="0" applyBorder="0" applyAlignment="0" applyProtection="0"/>
    <xf numFmtId="0" fontId="15" fillId="10" borderId="8">
      <alignment horizontal="left" vertical="top"/>
      <protection hidden="1"/>
    </xf>
    <xf numFmtId="0" fontId="16" fillId="11" borderId="1">
      <alignment horizontal="left" vertical="top"/>
      <protection hidden="1"/>
    </xf>
    <xf numFmtId="0" fontId="12" fillId="0" borderId="0">
      <alignment vertical="top"/>
      <protection hidden="1"/>
    </xf>
    <xf numFmtId="0" fontId="17" fillId="0" borderId="0">
      <alignment vertical="top"/>
      <protection hidden="1"/>
    </xf>
    <xf numFmtId="0" fontId="7" fillId="12" borderId="1">
      <alignment horizontal="left" vertical="top" wrapText="1" readingOrder="1"/>
      <protection hidden="1"/>
    </xf>
    <xf numFmtId="0" fontId="7" fillId="13" borderId="1">
      <alignment horizontal="left" vertical="top" wrapText="1" readingOrder="1"/>
      <protection hidden="1"/>
    </xf>
    <xf numFmtId="9" fontId="7" fillId="0" borderId="9">
      <alignment vertical="top" wrapText="1"/>
      <protection hidden="1"/>
    </xf>
    <xf numFmtId="167" fontId="7" fillId="0" borderId="9">
      <alignment vertical="top" wrapText="1"/>
      <protection hidden="1"/>
    </xf>
    <xf numFmtId="14" fontId="7" fillId="0" borderId="9">
      <alignment vertical="top" wrapText="1"/>
      <protection hidden="1"/>
    </xf>
    <xf numFmtId="3" fontId="7" fillId="0" borderId="9">
      <alignment vertical="top" wrapText="1"/>
      <protection hidden="1"/>
    </xf>
    <xf numFmtId="166" fontId="16" fillId="0" borderId="2">
      <alignment horizontal="right" vertical="top" wrapText="1" readingOrder="1"/>
      <protection hidden="1"/>
    </xf>
    <xf numFmtId="0" fontId="7" fillId="0" borderId="9">
      <alignment vertical="top" wrapText="1"/>
      <protection hidden="1"/>
    </xf>
  </cellStyleXfs>
  <cellXfs count="179">
    <xf numFmtId="0" fontId="0" fillId="0" borderId="0" xfId="0">
      <alignment vertical="top"/>
      <protection hidden="1"/>
    </xf>
    <xf numFmtId="0" fontId="0" fillId="0" borderId="0" xfId="0" applyAlignment="1" applyProtection="1">
      <alignment vertical="top"/>
      <protection hidden="1"/>
    </xf>
    <xf numFmtId="0" fontId="18" fillId="8" borderId="0" xfId="0" applyFont="1" applyFill="1" applyAlignment="1" applyProtection="1">
      <alignment horizontal="left" vertical="top" readingOrder="1"/>
      <protection hidden="1"/>
    </xf>
    <xf numFmtId="0" fontId="13" fillId="8" borderId="0" xfId="15">
      <alignment horizontal="left" vertical="top" readingOrder="1"/>
      <protection hidden="1"/>
    </xf>
    <xf numFmtId="0" fontId="10" fillId="8" borderId="8" xfId="14">
      <alignment horizontal="left" vertical="top" wrapText="1" readingOrder="1"/>
      <protection hidden="1"/>
    </xf>
    <xf numFmtId="164" fontId="14" fillId="0" borderId="9" xfId="34" applyNumberFormat="1" applyFont="1">
      <alignment vertical="top" wrapText="1"/>
      <protection hidden="1"/>
    </xf>
    <xf numFmtId="0" fontId="17" fillId="0" borderId="0" xfId="28">
      <alignment vertical="top"/>
      <protection hidden="1"/>
    </xf>
    <xf numFmtId="0" fontId="12" fillId="0" borderId="0" xfId="27">
      <alignment vertical="top"/>
      <protection hidden="1"/>
    </xf>
    <xf numFmtId="0" fontId="3" fillId="0" borderId="0" xfId="16" applyAlignment="1" applyProtection="1">
      <alignment vertical="top"/>
      <protection hidden="1"/>
    </xf>
    <xf numFmtId="164" fontId="14" fillId="0" borderId="10" xfId="34" applyNumberFormat="1" applyFont="1" applyBorder="1">
      <alignment vertical="top" wrapText="1"/>
      <protection hidden="1"/>
    </xf>
    <xf numFmtId="0" fontId="10" fillId="8" borderId="11" xfId="14" applyBorder="1">
      <alignment horizontal="left" vertical="top" wrapText="1" readingOrder="1"/>
      <protection hidden="1"/>
    </xf>
    <xf numFmtId="0" fontId="7" fillId="13" borderId="1" xfId="30" applyFont="1">
      <alignment horizontal="left" vertical="top" wrapText="1" readingOrder="1"/>
      <protection hidden="1"/>
    </xf>
    <xf numFmtId="0" fontId="7" fillId="12" borderId="1" xfId="29" applyFont="1">
      <alignment horizontal="left" vertical="top" wrapText="1" readingOrder="1"/>
      <protection hidden="1"/>
    </xf>
    <xf numFmtId="3" fontId="14" fillId="0" borderId="9" xfId="34" applyNumberFormat="1" applyFont="1">
      <alignment vertical="top" wrapText="1"/>
      <protection hidden="1"/>
    </xf>
    <xf numFmtId="0" fontId="20" fillId="8" borderId="8" xfId="14" applyFont="1">
      <alignment horizontal="left" vertical="top" wrapText="1" readingOrder="1"/>
      <protection hidden="1"/>
    </xf>
    <xf numFmtId="3" fontId="12" fillId="0" borderId="9" xfId="34" applyNumberFormat="1" applyFont="1">
      <alignment vertical="top" wrapText="1"/>
      <protection hidden="1"/>
    </xf>
    <xf numFmtId="4" fontId="14" fillId="0" borderId="9" xfId="34" applyNumberFormat="1" applyFont="1">
      <alignment vertical="top" wrapText="1"/>
      <protection hidden="1"/>
    </xf>
    <xf numFmtId="9" fontId="12" fillId="0" borderId="9" xfId="24" applyFont="1" applyBorder="1" applyAlignment="1" applyProtection="1">
      <alignment vertical="top" wrapText="1"/>
      <protection hidden="1"/>
    </xf>
    <xf numFmtId="4" fontId="19" fillId="0" borderId="9" xfId="34" applyNumberFormat="1" applyFont="1">
      <alignment vertical="top" wrapText="1"/>
      <protection hidden="1"/>
    </xf>
    <xf numFmtId="4" fontId="12" fillId="0" borderId="9" xfId="1" applyNumberFormat="1" applyFont="1" applyBorder="1" applyAlignment="1" applyProtection="1">
      <alignment vertical="top" wrapText="1"/>
      <protection hidden="1"/>
    </xf>
    <xf numFmtId="4" fontId="19" fillId="0" borderId="9" xfId="1" applyNumberFormat="1" applyFont="1" applyBorder="1" applyAlignment="1" applyProtection="1">
      <alignment vertical="top" wrapText="1"/>
      <protection hidden="1"/>
    </xf>
    <xf numFmtId="0" fontId="10" fillId="8" borderId="0" xfId="15" applyFont="1">
      <alignment horizontal="left" vertical="top" readingOrder="1"/>
      <protection hidden="1"/>
    </xf>
    <xf numFmtId="0" fontId="7" fillId="12" borderId="3" xfId="29" applyFont="1" applyBorder="1" applyAlignment="1">
      <alignment horizontal="left" vertical="top" readingOrder="1"/>
      <protection hidden="1"/>
    </xf>
    <xf numFmtId="0" fontId="7" fillId="12" borderId="4" xfId="29" applyFont="1" applyBorder="1">
      <alignment horizontal="left" vertical="top" wrapText="1" readingOrder="1"/>
      <protection hidden="1"/>
    </xf>
    <xf numFmtId="4" fontId="7" fillId="9" borderId="9" xfId="1" applyNumberFormat="1" applyFill="1" applyBorder="1" applyAlignment="1" applyProtection="1">
      <alignment vertical="top" wrapText="1"/>
      <protection hidden="1"/>
    </xf>
    <xf numFmtId="4" fontId="7" fillId="9" borderId="9" xfId="34" applyNumberFormat="1" applyFill="1">
      <alignment vertical="top" wrapText="1"/>
      <protection hidden="1"/>
    </xf>
    <xf numFmtId="9" fontId="7" fillId="9" borderId="9" xfId="24" applyFill="1" applyBorder="1" applyAlignment="1" applyProtection="1">
      <alignment vertical="top" wrapText="1"/>
      <protection hidden="1"/>
    </xf>
    <xf numFmtId="3" fontId="7" fillId="9" borderId="9" xfId="34" applyNumberFormat="1" applyFont="1" applyFill="1">
      <alignment vertical="top" wrapText="1"/>
      <protection hidden="1"/>
    </xf>
    <xf numFmtId="9" fontId="7" fillId="0" borderId="9" xfId="24" applyFont="1" applyBorder="1" applyAlignment="1" applyProtection="1">
      <alignment vertical="top" wrapText="1"/>
      <protection hidden="1"/>
    </xf>
    <xf numFmtId="0" fontId="0" fillId="0" borderId="0" xfId="0" applyFill="1" applyAlignment="1" applyProtection="1">
      <alignment vertical="top"/>
      <protection hidden="1"/>
    </xf>
    <xf numFmtId="0" fontId="14" fillId="0" borderId="3" xfId="0" applyFont="1" applyBorder="1" applyAlignment="1" applyProtection="1">
      <alignment horizontal="left" vertical="top" wrapText="1"/>
      <protection hidden="1"/>
    </xf>
    <xf numFmtId="0" fontId="0" fillId="0" borderId="4" xfId="0" applyBorder="1" applyAlignment="1" applyProtection="1">
      <alignment vertical="top"/>
      <protection hidden="1"/>
    </xf>
    <xf numFmtId="3" fontId="7" fillId="0" borderId="9" xfId="1" applyFont="1" applyBorder="1" applyAlignment="1" applyProtection="1">
      <alignment vertical="top" wrapText="1"/>
      <protection hidden="1"/>
    </xf>
    <xf numFmtId="0" fontId="12" fillId="0" borderId="0" xfId="0" applyFont="1" applyAlignment="1" applyProtection="1">
      <alignment vertical="top"/>
      <protection hidden="1"/>
    </xf>
    <xf numFmtId="0" fontId="19" fillId="0" borderId="0" xfId="0" applyFont="1" applyAlignment="1" applyProtection="1">
      <alignment vertical="top"/>
      <protection hidden="1"/>
    </xf>
    <xf numFmtId="0" fontId="19" fillId="0" borderId="0" xfId="27" applyFont="1">
      <alignment vertical="top"/>
      <protection hidden="1"/>
    </xf>
    <xf numFmtId="9" fontId="7" fillId="0" borderId="0" xfId="24" applyFont="1" applyBorder="1" applyAlignment="1" applyProtection="1">
      <alignment vertical="top" wrapText="1"/>
      <protection hidden="1"/>
    </xf>
    <xf numFmtId="0" fontId="7" fillId="13" borderId="3" xfId="29" applyFont="1" applyFill="1" applyBorder="1" applyAlignment="1">
      <alignment horizontal="left" vertical="top" readingOrder="1"/>
      <protection hidden="1"/>
    </xf>
    <xf numFmtId="0" fontId="7" fillId="13" borderId="4" xfId="29" applyFont="1" applyFill="1" applyBorder="1">
      <alignment horizontal="left" vertical="top" wrapText="1" readingOrder="1"/>
      <protection hidden="1"/>
    </xf>
    <xf numFmtId="10" fontId="7" fillId="9" borderId="9" xfId="24" applyNumberFormat="1" applyFont="1" applyFill="1" applyBorder="1" applyAlignment="1" applyProtection="1">
      <alignment vertical="top" wrapText="1"/>
      <protection hidden="1"/>
    </xf>
    <xf numFmtId="10" fontId="7" fillId="0" borderId="0" xfId="24" applyNumberFormat="1" applyFont="1" applyAlignment="1" applyProtection="1">
      <alignment vertical="top"/>
      <protection hidden="1"/>
    </xf>
    <xf numFmtId="0" fontId="21" fillId="8" borderId="0" xfId="15" applyFont="1">
      <alignment horizontal="left" vertical="top" readingOrder="1"/>
      <protection hidden="1"/>
    </xf>
    <xf numFmtId="0" fontId="12" fillId="0" borderId="9" xfId="36" applyFont="1">
      <alignment vertical="top" wrapText="1"/>
      <protection hidden="1"/>
    </xf>
    <xf numFmtId="3" fontId="0" fillId="0" borderId="0" xfId="0" applyNumberFormat="1" applyAlignment="1" applyProtection="1">
      <alignment vertical="top"/>
      <protection hidden="1"/>
    </xf>
    <xf numFmtId="3" fontId="7" fillId="9" borderId="9" xfId="1" applyNumberFormat="1" applyFill="1" applyBorder="1" applyAlignment="1" applyProtection="1">
      <alignment vertical="top" wrapText="1"/>
      <protection hidden="1"/>
    </xf>
    <xf numFmtId="3" fontId="7" fillId="0" borderId="0" xfId="1" applyFont="1" applyAlignment="1" applyProtection="1">
      <alignment vertical="top"/>
      <protection hidden="1"/>
    </xf>
    <xf numFmtId="0" fontId="12" fillId="0" borderId="0" xfId="27" applyBorder="1">
      <alignment vertical="top"/>
      <protection hidden="1"/>
    </xf>
    <xf numFmtId="10" fontId="7" fillId="9" borderId="9" xfId="24" applyNumberFormat="1" applyFill="1" applyBorder="1" applyAlignment="1" applyProtection="1">
      <alignment vertical="top" wrapText="1"/>
      <protection hidden="1"/>
    </xf>
    <xf numFmtId="3" fontId="7" fillId="9" borderId="9" xfId="1" applyFill="1" applyBorder="1" applyAlignment="1" applyProtection="1">
      <alignment vertical="top" wrapText="1"/>
      <protection hidden="1"/>
    </xf>
    <xf numFmtId="9" fontId="0" fillId="0" borderId="0" xfId="0" applyNumberFormat="1" applyAlignment="1" applyProtection="1">
      <alignment vertical="top"/>
      <protection hidden="1"/>
    </xf>
    <xf numFmtId="9" fontId="7" fillId="0" borderId="9" xfId="31">
      <alignment vertical="top" wrapText="1"/>
      <protection hidden="1"/>
    </xf>
    <xf numFmtId="0" fontId="7" fillId="12" borderId="1" xfId="29">
      <alignment horizontal="left" vertical="top" wrapText="1" readingOrder="1"/>
      <protection hidden="1"/>
    </xf>
    <xf numFmtId="0" fontId="12" fillId="0" borderId="0" xfId="0" applyFont="1" applyAlignment="1" applyProtection="1">
      <alignment horizontal="right" vertical="top"/>
      <protection hidden="1"/>
    </xf>
    <xf numFmtId="0" fontId="0" fillId="0" borderId="7" xfId="0" applyBorder="1" applyAlignment="1" applyProtection="1">
      <alignment vertical="top"/>
      <protection hidden="1"/>
    </xf>
    <xf numFmtId="0" fontId="0" fillId="0" borderId="0" xfId="0" quotePrefix="1" applyAlignment="1" applyProtection="1">
      <alignment vertical="top"/>
      <protection hidden="1"/>
    </xf>
    <xf numFmtId="0" fontId="12" fillId="0" borderId="0" xfId="27" applyFont="1">
      <alignment vertical="top"/>
      <protection hidden="1"/>
    </xf>
    <xf numFmtId="0" fontId="14" fillId="0" borderId="0" xfId="0" applyFont="1" applyAlignment="1" applyProtection="1">
      <alignment vertical="top"/>
      <protection hidden="1"/>
    </xf>
    <xf numFmtId="0" fontId="1" fillId="0" borderId="0" xfId="0" applyFont="1" applyAlignment="1" applyProtection="1">
      <alignment vertical="top"/>
      <protection hidden="1"/>
    </xf>
    <xf numFmtId="0" fontId="22" fillId="0" borderId="0" xfId="0" applyFont="1" applyAlignment="1" applyProtection="1">
      <alignment vertical="top"/>
      <protection hidden="1"/>
    </xf>
    <xf numFmtId="0" fontId="5" fillId="0" borderId="0" xfId="21"/>
    <xf numFmtId="0" fontId="20" fillId="0" borderId="0" xfId="0" applyFont="1" applyAlignment="1" applyProtection="1">
      <alignment horizontal="right" vertical="top"/>
      <protection hidden="1"/>
    </xf>
    <xf numFmtId="0" fontId="23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vertical="top"/>
      <protection hidden="1"/>
    </xf>
    <xf numFmtId="0" fontId="13" fillId="8" borderId="0" xfId="15" applyProtection="1">
      <alignment horizontal="left" vertical="top" readingOrder="1"/>
    </xf>
    <xf numFmtId="0" fontId="18" fillId="8" borderId="0" xfId="0" applyFont="1" applyFill="1" applyAlignment="1" applyProtection="1">
      <alignment horizontal="left" vertical="top" readingOrder="1"/>
    </xf>
    <xf numFmtId="0" fontId="0" fillId="0" borderId="0" xfId="0" applyAlignment="1" applyProtection="1">
      <alignment vertical="top"/>
    </xf>
    <xf numFmtId="3" fontId="14" fillId="0" borderId="9" xfId="34" applyNumberFormat="1" applyFont="1" applyProtection="1">
      <alignment vertical="top" wrapText="1"/>
    </xf>
    <xf numFmtId="3" fontId="19" fillId="0" borderId="9" xfId="34" applyNumberFormat="1" applyFont="1" applyProtection="1">
      <alignment vertical="top" wrapText="1"/>
    </xf>
    <xf numFmtId="164" fontId="14" fillId="0" borderId="9" xfId="34" applyNumberFormat="1" applyFont="1" applyProtection="1">
      <alignment vertical="top" wrapText="1"/>
    </xf>
    <xf numFmtId="0" fontId="10" fillId="8" borderId="8" xfId="14" applyProtection="1">
      <alignment horizontal="left" vertical="top" wrapText="1" readingOrder="1"/>
    </xf>
    <xf numFmtId="0" fontId="20" fillId="8" borderId="8" xfId="14" applyFont="1" applyProtection="1">
      <alignment horizontal="left" vertical="top" wrapText="1" readingOrder="1"/>
    </xf>
    <xf numFmtId="3" fontId="7" fillId="0" borderId="9" xfId="34" applyNumberFormat="1" applyProtection="1">
      <alignment vertical="top" wrapText="1"/>
    </xf>
    <xf numFmtId="3" fontId="12" fillId="0" borderId="9" xfId="34" applyNumberFormat="1" applyFont="1" applyProtection="1">
      <alignment vertical="top" wrapText="1"/>
    </xf>
    <xf numFmtId="4" fontId="7" fillId="0" borderId="9" xfId="1" applyNumberFormat="1" applyBorder="1" applyAlignment="1" applyProtection="1">
      <alignment vertical="top" wrapText="1"/>
    </xf>
    <xf numFmtId="3" fontId="7" fillId="0" borderId="9" xfId="1" applyBorder="1" applyAlignment="1" applyProtection="1">
      <alignment vertical="top" wrapText="1"/>
    </xf>
    <xf numFmtId="9" fontId="7" fillId="0" borderId="9" xfId="24" applyBorder="1" applyAlignment="1" applyProtection="1">
      <alignment vertical="top" wrapText="1"/>
    </xf>
    <xf numFmtId="3" fontId="7" fillId="0" borderId="9" xfId="1" applyNumberFormat="1" applyBorder="1" applyAlignment="1" applyProtection="1">
      <alignment vertical="top" wrapText="1"/>
    </xf>
    <xf numFmtId="0" fontId="12" fillId="0" borderId="0" xfId="0" applyFont="1" applyAlignment="1" applyProtection="1">
      <alignment vertical="top"/>
    </xf>
    <xf numFmtId="10" fontId="14" fillId="0" borderId="9" xfId="24" applyNumberFormat="1" applyFont="1" applyBorder="1" applyAlignment="1" applyProtection="1">
      <alignment vertical="top" wrapText="1"/>
    </xf>
    <xf numFmtId="4" fontId="14" fillId="0" borderId="9" xfId="34" applyNumberFormat="1" applyFont="1" applyProtection="1">
      <alignment vertical="top" wrapText="1"/>
    </xf>
    <xf numFmtId="4" fontId="19" fillId="0" borderId="9" xfId="1" applyNumberFormat="1" applyFont="1" applyBorder="1" applyAlignment="1" applyProtection="1">
      <alignment vertical="top" wrapText="1"/>
    </xf>
    <xf numFmtId="10" fontId="7" fillId="0" borderId="9" xfId="24" applyNumberFormat="1" applyFill="1" applyBorder="1" applyAlignment="1" applyProtection="1">
      <alignment vertical="top" wrapText="1"/>
    </xf>
    <xf numFmtId="4" fontId="7" fillId="0" borderId="9" xfId="1" applyNumberFormat="1" applyFill="1" applyBorder="1" applyAlignment="1" applyProtection="1">
      <alignment vertical="top" wrapText="1"/>
    </xf>
    <xf numFmtId="4" fontId="12" fillId="0" borderId="9" xfId="1" applyNumberFormat="1" applyFont="1" applyFill="1" applyBorder="1" applyAlignment="1" applyProtection="1">
      <alignment vertical="top" wrapText="1"/>
    </xf>
    <xf numFmtId="3" fontId="7" fillId="0" borderId="9" xfId="34" applyNumberFormat="1" applyFont="1" applyFill="1" applyProtection="1">
      <alignment vertical="top" wrapText="1"/>
    </xf>
    <xf numFmtId="10" fontId="7" fillId="0" borderId="9" xfId="24" applyNumberFormat="1" applyFont="1" applyFill="1" applyBorder="1" applyAlignment="1" applyProtection="1">
      <alignment vertical="top" wrapText="1"/>
    </xf>
    <xf numFmtId="10" fontId="12" fillId="0" borderId="9" xfId="24" applyNumberFormat="1" applyFont="1" applyBorder="1" applyAlignment="1" applyProtection="1">
      <alignment vertical="top" wrapText="1"/>
    </xf>
    <xf numFmtId="3" fontId="7" fillId="0" borderId="9" xfId="34" applyNumberFormat="1" applyFont="1" applyProtection="1">
      <alignment vertical="top" wrapText="1"/>
    </xf>
    <xf numFmtId="0" fontId="10" fillId="8" borderId="11" xfId="14" applyBorder="1" applyProtection="1">
      <alignment horizontal="left" vertical="top" wrapText="1" readingOrder="1"/>
    </xf>
    <xf numFmtId="3" fontId="7" fillId="0" borderId="9" xfId="34" applyProtection="1">
      <alignment vertical="top" wrapText="1"/>
    </xf>
    <xf numFmtId="9" fontId="10" fillId="8" borderId="8" xfId="24" applyFont="1" applyFill="1" applyBorder="1" applyAlignment="1" applyProtection="1">
      <alignment horizontal="right" vertical="top" wrapText="1" readingOrder="1"/>
    </xf>
    <xf numFmtId="0" fontId="7" fillId="13" borderId="1" xfId="30" applyFont="1" applyProtection="1">
      <alignment horizontal="left" vertical="top" wrapText="1" readingOrder="1"/>
    </xf>
    <xf numFmtId="0" fontId="7" fillId="12" borderId="1" xfId="29" applyFont="1" applyProtection="1">
      <alignment horizontal="left" vertical="top" wrapText="1" readingOrder="1"/>
    </xf>
    <xf numFmtId="9" fontId="7" fillId="0" borderId="9" xfId="24" applyFill="1" applyBorder="1" applyAlignment="1" applyProtection="1">
      <alignment vertical="top" wrapText="1"/>
    </xf>
    <xf numFmtId="3" fontId="7" fillId="0" borderId="9" xfId="1" applyFill="1" applyBorder="1" applyAlignment="1" applyProtection="1">
      <alignment vertical="top" wrapText="1"/>
    </xf>
    <xf numFmtId="0" fontId="24" fillId="14" borderId="1" xfId="0" applyFont="1" applyFill="1" applyBorder="1" applyAlignment="1" applyProtection="1">
      <alignment horizontal="left" vertical="top" wrapText="1" readingOrder="1"/>
    </xf>
    <xf numFmtId="0" fontId="7" fillId="13" borderId="3" xfId="29" applyFont="1" applyFill="1" applyBorder="1" applyAlignment="1" applyProtection="1">
      <alignment horizontal="left" vertical="top" readingOrder="1"/>
    </xf>
    <xf numFmtId="0" fontId="10" fillId="8" borderId="8" xfId="14" applyAlignment="1" applyProtection="1">
      <alignment horizontal="center" vertical="top" wrapText="1" readingOrder="1"/>
    </xf>
    <xf numFmtId="0" fontId="0" fillId="0" borderId="0" xfId="0" applyAlignment="1" applyProtection="1">
      <alignment horizontal="center" vertical="top"/>
    </xf>
    <xf numFmtId="0" fontId="7" fillId="12" borderId="1" xfId="29" applyFont="1" applyBorder="1" applyAlignment="1" applyProtection="1">
      <alignment horizontal="left" vertical="top" readingOrder="1"/>
    </xf>
    <xf numFmtId="9" fontId="14" fillId="0" borderId="13" xfId="24" applyFont="1" applyFill="1" applyBorder="1" applyAlignment="1" applyProtection="1">
      <alignment vertical="top" wrapText="1"/>
    </xf>
    <xf numFmtId="9" fontId="14" fillId="0" borderId="0" xfId="24" applyFont="1" applyFill="1" applyBorder="1" applyAlignment="1" applyProtection="1">
      <alignment vertical="top" wrapText="1"/>
    </xf>
    <xf numFmtId="9" fontId="7" fillId="0" borderId="13" xfId="24" applyFont="1" applyFill="1" applyBorder="1" applyAlignment="1" applyProtection="1">
      <alignment vertical="top" wrapText="1"/>
    </xf>
    <xf numFmtId="9" fontId="7" fillId="9" borderId="13" xfId="24" applyFont="1" applyFill="1" applyBorder="1" applyAlignment="1" applyProtection="1">
      <alignment vertical="top" wrapText="1"/>
      <protection locked="0"/>
    </xf>
    <xf numFmtId="9" fontId="14" fillId="0" borderId="1" xfId="24" applyFont="1" applyFill="1" applyBorder="1" applyAlignment="1" applyProtection="1">
      <alignment vertical="top" wrapText="1"/>
    </xf>
    <xf numFmtId="9" fontId="7" fillId="0" borderId="1" xfId="24" applyFont="1" applyFill="1" applyBorder="1" applyAlignment="1" applyProtection="1">
      <alignment vertical="top" wrapText="1"/>
    </xf>
    <xf numFmtId="9" fontId="7" fillId="9" borderId="1" xfId="24" applyFont="1" applyFill="1" applyBorder="1" applyAlignment="1" applyProtection="1">
      <alignment vertical="top" wrapText="1"/>
      <protection locked="0"/>
    </xf>
    <xf numFmtId="165" fontId="7" fillId="0" borderId="0" xfId="24" applyNumberFormat="1" applyFont="1" applyAlignment="1" applyProtection="1">
      <alignment vertical="top"/>
    </xf>
    <xf numFmtId="3" fontId="14" fillId="0" borderId="5" xfId="34" applyFont="1" applyFill="1" applyBorder="1" applyProtection="1">
      <alignment vertical="top" wrapText="1"/>
    </xf>
    <xf numFmtId="3" fontId="14" fillId="0" borderId="0" xfId="34" applyFont="1" applyFill="1" applyBorder="1" applyProtection="1">
      <alignment vertical="top" wrapText="1"/>
    </xf>
    <xf numFmtId="0" fontId="0" fillId="0" borderId="0" xfId="0" quotePrefix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10" fillId="8" borderId="17" xfId="14" applyBorder="1" applyAlignment="1" applyProtection="1">
      <alignment horizontal="center" vertical="top" wrapText="1"/>
    </xf>
    <xf numFmtId="0" fontId="10" fillId="8" borderId="18" xfId="14" applyBorder="1" applyAlignment="1" applyProtection="1">
      <alignment horizontal="center" vertical="top" wrapText="1"/>
    </xf>
    <xf numFmtId="0" fontId="10" fillId="8" borderId="16" xfId="14" applyBorder="1" applyAlignment="1" applyProtection="1">
      <alignment horizontal="center" vertical="top" wrapText="1"/>
    </xf>
    <xf numFmtId="0" fontId="20" fillId="8" borderId="16" xfId="14" applyFont="1" applyBorder="1" applyAlignment="1" applyProtection="1">
      <alignment horizontal="center" vertical="top" wrapText="1"/>
    </xf>
    <xf numFmtId="0" fontId="0" fillId="0" borderId="0" xfId="0" applyFont="1" applyAlignment="1" applyProtection="1">
      <alignment vertical="top"/>
    </xf>
    <xf numFmtId="3" fontId="7" fillId="0" borderId="9" xfId="34" applyNumberFormat="1" applyFont="1" applyFill="1" applyAlignment="1" applyProtection="1">
      <alignment horizontal="center" vertical="top" wrapText="1"/>
    </xf>
    <xf numFmtId="3" fontId="7" fillId="9" borderId="9" xfId="34" applyNumberFormat="1" applyFont="1" applyFill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/>
      <protection locked="0"/>
    </xf>
    <xf numFmtId="165" fontId="7" fillId="0" borderId="9" xfId="24" applyNumberFormat="1" applyFill="1" applyBorder="1" applyAlignment="1" applyProtection="1">
      <alignment horizontal="center" vertical="top" wrapText="1"/>
    </xf>
    <xf numFmtId="165" fontId="7" fillId="9" borderId="9" xfId="24" applyNumberFormat="1" applyFill="1" applyBorder="1" applyAlignment="1" applyProtection="1">
      <alignment horizontal="center" vertical="top" wrapText="1"/>
      <protection locked="0"/>
    </xf>
    <xf numFmtId="3" fontId="7" fillId="0" borderId="1" xfId="34" applyNumberFormat="1" applyFont="1" applyBorder="1" applyProtection="1">
      <alignment vertical="top" wrapText="1"/>
    </xf>
    <xf numFmtId="9" fontId="12" fillId="0" borderId="1" xfId="24" applyNumberFormat="1" applyFont="1" applyBorder="1" applyAlignment="1" applyProtection="1">
      <alignment horizontal="center" vertical="top" wrapText="1"/>
    </xf>
    <xf numFmtId="0" fontId="14" fillId="12" borderId="1" xfId="29" applyFont="1" applyBorder="1" applyAlignment="1" applyProtection="1">
      <alignment horizontal="left" vertical="top" readingOrder="1"/>
    </xf>
    <xf numFmtId="3" fontId="14" fillId="0" borderId="1" xfId="34" applyNumberFormat="1" applyFont="1" applyBorder="1" applyProtection="1">
      <alignment vertical="top" wrapText="1"/>
    </xf>
    <xf numFmtId="9" fontId="19" fillId="0" borderId="1" xfId="24" applyNumberFormat="1" applyFont="1" applyBorder="1" applyAlignment="1" applyProtection="1">
      <alignment horizontal="center" vertical="top" wrapText="1"/>
    </xf>
    <xf numFmtId="0" fontId="10" fillId="0" borderId="0" xfId="0" applyFont="1" applyFill="1" applyAlignment="1" applyProtection="1">
      <alignment vertical="top"/>
    </xf>
    <xf numFmtId="0" fontId="10" fillId="8" borderId="16" xfId="14" applyBorder="1" applyAlignment="1" applyProtection="1">
      <alignment horizontal="center" vertical="top" wrapText="1" readingOrder="1"/>
    </xf>
    <xf numFmtId="0" fontId="20" fillId="8" borderId="16" xfId="14" applyFont="1" applyBorder="1" applyAlignment="1" applyProtection="1">
      <alignment horizontal="center" vertical="top" wrapText="1" readingOrder="1"/>
    </xf>
    <xf numFmtId="0" fontId="14" fillId="12" borderId="1" xfId="29" applyFont="1" applyBorder="1" applyProtection="1">
      <alignment horizontal="left" vertical="top" wrapText="1" readingOrder="1"/>
    </xf>
    <xf numFmtId="3" fontId="14" fillId="0" borderId="12" xfId="34" applyNumberFormat="1" applyFont="1" applyBorder="1" applyProtection="1">
      <alignment vertical="top" wrapText="1"/>
    </xf>
    <xf numFmtId="3" fontId="14" fillId="0" borderId="0" xfId="34" applyNumberFormat="1" applyFont="1" applyBorder="1" applyProtection="1">
      <alignment vertical="top" wrapText="1"/>
    </xf>
    <xf numFmtId="0" fontId="12" fillId="12" borderId="1" xfId="29" applyFont="1" applyBorder="1" applyProtection="1">
      <alignment horizontal="left" vertical="top" wrapText="1" readingOrder="1"/>
    </xf>
    <xf numFmtId="165" fontId="12" fillId="0" borderId="14" xfId="24" applyNumberFormat="1" applyFont="1" applyBorder="1" applyAlignment="1" applyProtection="1">
      <alignment vertical="top" wrapText="1"/>
    </xf>
    <xf numFmtId="165" fontId="12" fillId="0" borderId="0" xfId="24" applyNumberFormat="1" applyFont="1" applyBorder="1" applyAlignment="1" applyProtection="1">
      <alignment vertical="top" wrapText="1"/>
    </xf>
    <xf numFmtId="165" fontId="12" fillId="0" borderId="1" xfId="24" applyNumberFormat="1" applyFont="1" applyBorder="1" applyAlignment="1" applyProtection="1">
      <alignment vertical="top" wrapText="1"/>
    </xf>
    <xf numFmtId="164" fontId="12" fillId="0" borderId="14" xfId="34" applyNumberFormat="1" applyFont="1" applyBorder="1" applyProtection="1">
      <alignment vertical="top" wrapText="1"/>
    </xf>
    <xf numFmtId="164" fontId="12" fillId="0" borderId="0" xfId="34" applyNumberFormat="1" applyFont="1" applyBorder="1" applyProtection="1">
      <alignment vertical="top" wrapText="1"/>
    </xf>
    <xf numFmtId="164" fontId="12" fillId="0" borderId="1" xfId="34" applyNumberFormat="1" applyFont="1" applyBorder="1" applyProtection="1">
      <alignment vertical="top" wrapText="1"/>
    </xf>
    <xf numFmtId="9" fontId="12" fillId="0" borderId="0" xfId="0" applyNumberFormat="1" applyFont="1" applyAlignment="1" applyProtection="1">
      <alignment horizontal="center" vertical="top"/>
    </xf>
    <xf numFmtId="4" fontId="12" fillId="0" borderId="14" xfId="34" applyNumberFormat="1" applyFont="1" applyBorder="1" applyProtection="1">
      <alignment vertical="top" wrapText="1"/>
    </xf>
    <xf numFmtId="4" fontId="12" fillId="0" borderId="0" xfId="34" applyNumberFormat="1" applyFont="1" applyBorder="1" applyProtection="1">
      <alignment vertical="top" wrapText="1"/>
    </xf>
    <xf numFmtId="4" fontId="12" fillId="0" borderId="1" xfId="34" applyNumberFormat="1" applyFont="1" applyBorder="1" applyProtection="1">
      <alignment vertical="top" wrapText="1"/>
    </xf>
    <xf numFmtId="0" fontId="7" fillId="12" borderId="1" xfId="29" applyFont="1" applyBorder="1" applyProtection="1">
      <alignment horizontal="left" vertical="top" wrapText="1" readingOrder="1"/>
    </xf>
    <xf numFmtId="3" fontId="7" fillId="0" borderId="12" xfId="34" applyNumberFormat="1" applyFont="1" applyBorder="1" applyProtection="1">
      <alignment vertical="top" wrapText="1"/>
    </xf>
    <xf numFmtId="3" fontId="7" fillId="0" borderId="0" xfId="34" applyNumberFormat="1" applyFont="1" applyBorder="1" applyProtection="1">
      <alignment vertical="top" wrapText="1"/>
    </xf>
    <xf numFmtId="3" fontId="7" fillId="0" borderId="1" xfId="34" applyNumberFormat="1" applyBorder="1" applyProtection="1">
      <alignment vertical="top" wrapText="1"/>
    </xf>
    <xf numFmtId="165" fontId="12" fillId="0" borderId="15" xfId="24" applyNumberFormat="1" applyFont="1" applyBorder="1" applyAlignment="1" applyProtection="1">
      <alignment vertical="top" wrapText="1"/>
    </xf>
    <xf numFmtId="165" fontId="12" fillId="0" borderId="9" xfId="24" applyNumberFormat="1" applyFont="1" applyFill="1" applyBorder="1" applyAlignment="1" applyProtection="1">
      <alignment vertical="top" wrapText="1"/>
    </xf>
    <xf numFmtId="165" fontId="14" fillId="0" borderId="14" xfId="24" applyNumberFormat="1" applyFont="1" applyBorder="1" applyAlignment="1" applyProtection="1">
      <alignment vertical="top" wrapText="1"/>
    </xf>
    <xf numFmtId="165" fontId="14" fillId="0" borderId="0" xfId="24" applyNumberFormat="1" applyFont="1" applyBorder="1" applyAlignment="1" applyProtection="1">
      <alignment vertical="top" wrapText="1"/>
    </xf>
    <xf numFmtId="165" fontId="19" fillId="0" borderId="9" xfId="24" applyNumberFormat="1" applyFont="1" applyBorder="1" applyAlignment="1" applyProtection="1">
      <alignment vertical="top" wrapText="1"/>
    </xf>
    <xf numFmtId="0" fontId="0" fillId="0" borderId="0" xfId="0" applyBorder="1" applyAlignment="1" applyProtection="1">
      <alignment vertical="top"/>
    </xf>
    <xf numFmtId="3" fontId="7" fillId="0" borderId="0" xfId="34" applyNumberFormat="1" applyBorder="1" applyProtection="1">
      <alignment vertical="top" wrapText="1"/>
    </xf>
    <xf numFmtId="4" fontId="0" fillId="0" borderId="0" xfId="0" applyNumberFormat="1" applyAlignment="1" applyProtection="1">
      <alignment vertical="top"/>
    </xf>
    <xf numFmtId="3" fontId="0" fillId="0" borderId="1" xfId="0" applyNumberFormat="1" applyBorder="1" applyAlignment="1" applyProtection="1">
      <alignment vertical="top"/>
    </xf>
    <xf numFmtId="3" fontId="14" fillId="0" borderId="6" xfId="34" applyNumberFormat="1" applyFont="1" applyBorder="1" applyProtection="1">
      <alignment vertical="top" wrapText="1"/>
    </xf>
    <xf numFmtId="3" fontId="14" fillId="0" borderId="1" xfId="0" applyNumberFormat="1" applyFont="1" applyBorder="1" applyAlignment="1" applyProtection="1">
      <alignment vertical="top"/>
    </xf>
    <xf numFmtId="165" fontId="7" fillId="0" borderId="0" xfId="24" applyNumberFormat="1" applyFont="1" applyAlignment="1" applyProtection="1">
      <alignment vertical="top"/>
      <protection locked="0"/>
    </xf>
    <xf numFmtId="9" fontId="0" fillId="0" borderId="0" xfId="0" applyNumberFormat="1" applyAlignment="1" applyProtection="1">
      <alignment vertical="top"/>
      <protection locked="0"/>
    </xf>
    <xf numFmtId="0" fontId="5" fillId="0" borderId="0" xfId="21" applyAlignment="1">
      <alignment horizontal="left"/>
    </xf>
    <xf numFmtId="0" fontId="6" fillId="0" borderId="0" xfId="21" applyFont="1" applyAlignment="1">
      <alignment horizontal="left"/>
    </xf>
    <xf numFmtId="0" fontId="5" fillId="0" borderId="0" xfId="21" applyAlignment="1">
      <alignment horizontal="left"/>
    </xf>
    <xf numFmtId="0" fontId="5" fillId="0" borderId="0" xfId="21" applyAlignment="1">
      <alignment horizontal="justify" vertical="top" wrapText="1"/>
    </xf>
    <xf numFmtId="0" fontId="10" fillId="8" borderId="20" xfId="14" applyBorder="1" applyAlignment="1" applyProtection="1">
      <alignment horizontal="center" vertical="top" wrapText="1" readingOrder="1"/>
    </xf>
    <xf numFmtId="0" fontId="10" fillId="8" borderId="21" xfId="14" applyBorder="1" applyAlignment="1" applyProtection="1">
      <alignment horizontal="center" vertical="top" wrapText="1" readingOrder="1"/>
    </xf>
    <xf numFmtId="165" fontId="7" fillId="0" borderId="19" xfId="24" applyNumberFormat="1" applyFill="1" applyBorder="1" applyAlignment="1" applyProtection="1">
      <alignment horizontal="center" vertical="top" wrapText="1"/>
    </xf>
    <xf numFmtId="165" fontId="7" fillId="0" borderId="10" xfId="24" applyNumberFormat="1" applyFill="1" applyBorder="1" applyAlignment="1" applyProtection="1">
      <alignment horizontal="center" vertical="top" wrapText="1"/>
    </xf>
    <xf numFmtId="4" fontId="12" fillId="0" borderId="1" xfId="34" applyNumberFormat="1" applyFont="1" applyBorder="1" applyAlignment="1" applyProtection="1">
      <alignment vertical="top"/>
    </xf>
    <xf numFmtId="165" fontId="12" fillId="0" borderId="1" xfId="24" applyNumberFormat="1" applyFont="1" applyBorder="1" applyAlignment="1" applyProtection="1">
      <alignment vertical="top"/>
    </xf>
    <xf numFmtId="3" fontId="7" fillId="0" borderId="1" xfId="34" applyNumberFormat="1" applyFont="1" applyBorder="1" applyAlignment="1" applyProtection="1">
      <alignment vertical="top"/>
    </xf>
    <xf numFmtId="3" fontId="14" fillId="0" borderId="1" xfId="34" applyNumberFormat="1" applyFont="1" applyBorder="1" applyAlignment="1" applyProtection="1">
      <alignment vertical="top"/>
    </xf>
    <xf numFmtId="165" fontId="14" fillId="0" borderId="1" xfId="24" applyNumberFormat="1" applyFont="1" applyBorder="1" applyAlignment="1" applyProtection="1">
      <alignment vertical="top"/>
    </xf>
    <xf numFmtId="3" fontId="14" fillId="0" borderId="3" xfId="34" applyNumberFormat="1" applyFont="1" applyBorder="1" applyAlignment="1" applyProtection="1">
      <alignment vertical="top"/>
    </xf>
    <xf numFmtId="3" fontId="14" fillId="0" borderId="4" xfId="34" applyNumberFormat="1" applyFont="1" applyBorder="1" applyAlignment="1" applyProtection="1">
      <alignment vertical="top"/>
    </xf>
    <xf numFmtId="164" fontId="12" fillId="0" borderId="1" xfId="34" applyNumberFormat="1" applyFont="1" applyBorder="1" applyAlignment="1" applyProtection="1">
      <alignment vertical="top"/>
    </xf>
    <xf numFmtId="3" fontId="7" fillId="0" borderId="19" xfId="34" applyNumberFormat="1" applyFont="1" applyFill="1" applyBorder="1" applyAlignment="1" applyProtection="1">
      <alignment horizontal="center" vertical="top" wrapText="1"/>
    </xf>
    <xf numFmtId="3" fontId="7" fillId="0" borderId="10" xfId="34" applyNumberFormat="1" applyFont="1" applyFill="1" applyBorder="1" applyAlignment="1" applyProtection="1">
      <alignment horizontal="center" vertical="top" wrapText="1"/>
    </xf>
  </cellXfs>
  <cellStyles count="37">
    <cellStyle name="Comma" xfId="1" builtinId="3" customBuiltin="1"/>
    <cellStyle name="Comma [0]" xfId="2" builtinId="6" customBuiltin="1"/>
    <cellStyle name="Conditional: High" xfId="3" xr:uid="{00000000-0005-0000-0000-000002000000}"/>
    <cellStyle name="Conditional: Low" xfId="4" xr:uid="{00000000-0005-0000-0000-000003000000}"/>
    <cellStyle name="Conditional: Negative" xfId="5" xr:uid="{00000000-0005-0000-0000-000004000000}"/>
    <cellStyle name="Conditional: Positive" xfId="6" xr:uid="{00000000-0005-0000-0000-000005000000}"/>
    <cellStyle name="Cover: Text" xfId="7" xr:uid="{00000000-0005-0000-0000-000006000000}"/>
    <cellStyle name="Cover: Title" xfId="8" xr:uid="{00000000-0005-0000-0000-000007000000}"/>
    <cellStyle name="Example: Date" xfId="9" xr:uid="{00000000-0005-0000-0000-000008000000}"/>
    <cellStyle name="Example: Number" xfId="10" xr:uid="{00000000-0005-0000-0000-000009000000}"/>
    <cellStyle name="Example: Percent" xfId="11" xr:uid="{00000000-0005-0000-0000-00000A000000}"/>
    <cellStyle name="Example: Text" xfId="12" xr:uid="{00000000-0005-0000-0000-00000B000000}"/>
    <cellStyle name="Followed Hyperlink" xfId="13" builtinId="9" customBuiltin="1"/>
    <cellStyle name="Header: Main" xfId="14" xr:uid="{00000000-0005-0000-0000-00000D000000}"/>
    <cellStyle name="Header: Super" xfId="15" xr:uid="{00000000-0005-0000-0000-00000E000000}"/>
    <cellStyle name="Hyperlink" xfId="16" builtinId="8" customBuiltin="1"/>
    <cellStyle name="Input: %" xfId="17" xr:uid="{00000000-0005-0000-0000-000010000000}"/>
    <cellStyle name="Input: Date" xfId="18" xr:uid="{00000000-0005-0000-0000-000011000000}"/>
    <cellStyle name="Input: Number" xfId="19" xr:uid="{00000000-0005-0000-0000-000012000000}"/>
    <cellStyle name="Input: Text" xfId="20" xr:uid="{00000000-0005-0000-0000-000013000000}"/>
    <cellStyle name="Normal" xfId="0" builtinId="0" customBuiltin="1"/>
    <cellStyle name="Normal 2" xfId="21" xr:uid="{00000000-0005-0000-0000-000015000000}"/>
    <cellStyle name="Other: Content" xfId="22" xr:uid="{00000000-0005-0000-0000-000016000000}"/>
    <cellStyle name="Other: Title" xfId="23" xr:uid="{00000000-0005-0000-0000-000017000000}"/>
    <cellStyle name="Percent" xfId="24" builtinId="5"/>
    <cellStyle name="Status: Error" xfId="25" xr:uid="{00000000-0005-0000-0000-000019000000}"/>
    <cellStyle name="Status: Warning" xfId="26" xr:uid="{00000000-0005-0000-0000-00001A000000}"/>
    <cellStyle name="Tab: Subtitle" xfId="27" xr:uid="{00000000-0005-0000-0000-00001B000000}"/>
    <cellStyle name="Tab: Title" xfId="28" xr:uid="{00000000-0005-0000-0000-00001C000000}"/>
    <cellStyle name="Tag: Main" xfId="29" xr:uid="{00000000-0005-0000-0000-00001D000000}"/>
    <cellStyle name="Tag: Super" xfId="30" xr:uid="{00000000-0005-0000-0000-00001E000000}"/>
    <cellStyle name="Value: %" xfId="31" xr:uid="{00000000-0005-0000-0000-00001F000000}"/>
    <cellStyle name="Value: Chart number" xfId="32" xr:uid="{00000000-0005-0000-0000-000020000000}"/>
    <cellStyle name="Value: Date" xfId="33" xr:uid="{00000000-0005-0000-0000-000021000000}"/>
    <cellStyle name="Value: Number" xfId="34" xr:uid="{00000000-0005-0000-0000-000022000000}"/>
    <cellStyle name="Value: p.p." xfId="35" xr:uid="{00000000-0005-0000-0000-000023000000}"/>
    <cellStyle name="Value: Tex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4</xdr:row>
      <xdr:rowOff>79375</xdr:rowOff>
    </xdr:from>
    <xdr:to>
      <xdr:col>9</xdr:col>
      <xdr:colOff>66675</xdr:colOff>
      <xdr:row>10</xdr:row>
      <xdr:rowOff>95280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740400" y="844550"/>
          <a:ext cx="1200150" cy="1066800"/>
        </a:xfrm>
        <a:prstGeom prst="roundRect">
          <a:avLst/>
        </a:prstGeom>
        <a:noFill/>
        <a:ln w="12700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53975</xdr:colOff>
      <xdr:row>16</xdr:row>
      <xdr:rowOff>79375</xdr:rowOff>
    </xdr:from>
    <xdr:to>
      <xdr:col>13</xdr:col>
      <xdr:colOff>73025</xdr:colOff>
      <xdr:row>31</xdr:row>
      <xdr:rowOff>92075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734050" y="2736850"/>
          <a:ext cx="3333750" cy="2076450"/>
        </a:xfrm>
        <a:prstGeom prst="roundRect">
          <a:avLst>
            <a:gd name="adj" fmla="val 7815"/>
          </a:avLst>
        </a:prstGeom>
        <a:noFill/>
        <a:ln w="12700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evo theme Excel">
  <a:themeElements>
    <a:clrScheme name="Evo palette Excel">
      <a:dk1>
        <a:sysClr val="windowText" lastClr="000000"/>
      </a:dk1>
      <a:lt1>
        <a:sysClr val="window" lastClr="FFFFFF"/>
      </a:lt1>
      <a:dk2>
        <a:srgbClr val="75A9D9"/>
      </a:dk2>
      <a:lt2>
        <a:srgbClr val="4C68A2"/>
      </a:lt2>
      <a:accent1>
        <a:srgbClr val="AECEE8"/>
      </a:accent1>
      <a:accent2>
        <a:srgbClr val="FF7182"/>
      </a:accent2>
      <a:accent3>
        <a:srgbClr val="84DC93"/>
      </a:accent3>
      <a:accent4>
        <a:srgbClr val="EAEAEA"/>
      </a:accent4>
      <a:accent5>
        <a:srgbClr val="FFF2CC"/>
      </a:accent5>
      <a:accent6>
        <a:srgbClr val="34B2A7"/>
      </a:accent6>
      <a:hlink>
        <a:srgbClr val="273A4B"/>
      </a:hlink>
      <a:folHlink>
        <a:srgbClr val="D9D9D9"/>
      </a:folHlink>
    </a:clrScheme>
    <a:fontScheme name="Evo font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zoomScale="160" zoomScaleNormal="160" workbookViewId="0">
      <selection sqref="A1:I1"/>
    </sheetView>
  </sheetViews>
  <sheetFormatPr baseColWidth="10" defaultColWidth="8.83203125" defaultRowHeight="13" x14ac:dyDescent="0.15"/>
  <cols>
    <col min="1" max="16384" width="8.83203125" style="59"/>
  </cols>
  <sheetData>
    <row r="1" spans="1:9" x14ac:dyDescent="0.15">
      <c r="A1" s="162" t="s">
        <v>205</v>
      </c>
      <c r="B1" s="162"/>
      <c r="C1" s="162"/>
      <c r="D1" s="162"/>
      <c r="E1" s="162"/>
      <c r="F1" s="162"/>
      <c r="G1" s="162"/>
      <c r="H1" s="162"/>
      <c r="I1" s="162"/>
    </row>
    <row r="2" spans="1:9" x14ac:dyDescent="0.15">
      <c r="A2" s="163" t="s">
        <v>174</v>
      </c>
      <c r="B2" s="163"/>
      <c r="C2" s="163"/>
      <c r="D2" s="163"/>
    </row>
    <row r="3" spans="1:9" x14ac:dyDescent="0.15">
      <c r="A3" s="163" t="s">
        <v>175</v>
      </c>
      <c r="B3" s="163"/>
      <c r="C3" s="163"/>
      <c r="D3" s="163"/>
    </row>
    <row r="4" spans="1:9" x14ac:dyDescent="0.15">
      <c r="A4" s="161" t="s">
        <v>217</v>
      </c>
      <c r="B4" s="161"/>
      <c r="C4" s="161"/>
      <c r="D4" s="161"/>
    </row>
    <row r="6" spans="1:9" ht="82.5" customHeight="1" x14ac:dyDescent="0.15">
      <c r="A6" s="164" t="s">
        <v>218</v>
      </c>
      <c r="B6" s="164"/>
      <c r="C6" s="164"/>
      <c r="D6" s="164"/>
      <c r="E6" s="164"/>
      <c r="F6" s="164"/>
      <c r="G6" s="164"/>
      <c r="H6" s="164"/>
      <c r="I6" s="164"/>
    </row>
  </sheetData>
  <mergeCells count="4">
    <mergeCell ref="A1:I1"/>
    <mergeCell ref="A2:D2"/>
    <mergeCell ref="A3:D3"/>
    <mergeCell ref="A6:I6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1:B85"/>
  <sheetViews>
    <sheetView showGridLines="0" zoomScale="160" zoomScaleNormal="160" workbookViewId="0">
      <pane ySplit="2" topLeftCell="A51" activePane="bottomLeft" state="frozen"/>
      <selection pane="bottomLeft"/>
    </sheetView>
  </sheetViews>
  <sheetFormatPr baseColWidth="10" defaultColWidth="8.6640625" defaultRowHeight="12" x14ac:dyDescent="0.15"/>
  <cols>
    <col min="1" max="1" width="0.83203125" style="1" customWidth="1"/>
    <col min="2" max="2" width="10.5" style="1" customWidth="1"/>
    <col min="3" max="16384" width="8.6640625" style="1"/>
  </cols>
  <sheetData>
    <row r="1" spans="1:2" ht="24" x14ac:dyDescent="0.15">
      <c r="A1" s="6" t="s">
        <v>147</v>
      </c>
    </row>
    <row r="2" spans="1:2" x14ac:dyDescent="0.15">
      <c r="A2" s="7" t="s">
        <v>204</v>
      </c>
    </row>
    <row r="3" spans="1:2" x14ac:dyDescent="0.15">
      <c r="A3" s="7"/>
    </row>
    <row r="4" spans="1:2" x14ac:dyDescent="0.15">
      <c r="B4" s="56" t="s">
        <v>148</v>
      </c>
    </row>
    <row r="6" spans="1:2" x14ac:dyDescent="0.15">
      <c r="B6" s="1" t="s">
        <v>153</v>
      </c>
    </row>
    <row r="7" spans="1:2" x14ac:dyDescent="0.15">
      <c r="B7" s="1" t="s">
        <v>149</v>
      </c>
    </row>
    <row r="9" spans="1:2" x14ac:dyDescent="0.15">
      <c r="B9" s="1" t="s">
        <v>154</v>
      </c>
    </row>
    <row r="10" spans="1:2" x14ac:dyDescent="0.15">
      <c r="B10" s="54" t="s">
        <v>180</v>
      </c>
    </row>
    <row r="11" spans="1:2" x14ac:dyDescent="0.15">
      <c r="B11" s="54" t="s">
        <v>155</v>
      </c>
    </row>
    <row r="12" spans="1:2" x14ac:dyDescent="0.15">
      <c r="B12" s="54" t="s">
        <v>176</v>
      </c>
    </row>
    <row r="13" spans="1:2" x14ac:dyDescent="0.15">
      <c r="B13" s="54" t="s">
        <v>177</v>
      </c>
    </row>
    <row r="14" spans="1:2" x14ac:dyDescent="0.15">
      <c r="B14" s="54"/>
    </row>
    <row r="15" spans="1:2" x14ac:dyDescent="0.15">
      <c r="B15" s="1" t="s">
        <v>212</v>
      </c>
    </row>
    <row r="16" spans="1:2" x14ac:dyDescent="0.15">
      <c r="B16" s="1" t="s">
        <v>213</v>
      </c>
    </row>
    <row r="17" spans="2:2" x14ac:dyDescent="0.15">
      <c r="B17" s="54"/>
    </row>
    <row r="18" spans="2:2" x14ac:dyDescent="0.15">
      <c r="B18" s="54" t="s">
        <v>157</v>
      </c>
    </row>
    <row r="19" spans="2:2" x14ac:dyDescent="0.15">
      <c r="B19" s="54" t="s">
        <v>158</v>
      </c>
    </row>
    <row r="20" spans="2:2" x14ac:dyDescent="0.15">
      <c r="B20" s="54" t="s">
        <v>211</v>
      </c>
    </row>
    <row r="21" spans="2:2" x14ac:dyDescent="0.15">
      <c r="B21" s="54" t="s">
        <v>210</v>
      </c>
    </row>
    <row r="22" spans="2:2" x14ac:dyDescent="0.15">
      <c r="B22" s="54" t="s">
        <v>178</v>
      </c>
    </row>
    <row r="23" spans="2:2" x14ac:dyDescent="0.15">
      <c r="B23" s="54" t="s">
        <v>179</v>
      </c>
    </row>
    <row r="25" spans="2:2" x14ac:dyDescent="0.15">
      <c r="B25" s="61" t="s">
        <v>181</v>
      </c>
    </row>
    <row r="26" spans="2:2" x14ac:dyDescent="0.15">
      <c r="B26" s="61"/>
    </row>
    <row r="27" spans="2:2" x14ac:dyDescent="0.15">
      <c r="B27" s="58" t="s">
        <v>199</v>
      </c>
    </row>
    <row r="28" spans="2:2" x14ac:dyDescent="0.15">
      <c r="B28" s="57" t="s">
        <v>151</v>
      </c>
    </row>
    <row r="29" spans="2:2" x14ac:dyDescent="0.15">
      <c r="B29" s="57" t="s">
        <v>152</v>
      </c>
    </row>
    <row r="30" spans="2:2" x14ac:dyDescent="0.15">
      <c r="B30" s="57" t="s">
        <v>198</v>
      </c>
    </row>
    <row r="32" spans="2:2" x14ac:dyDescent="0.15">
      <c r="B32" s="58" t="s">
        <v>201</v>
      </c>
    </row>
    <row r="33" spans="2:2" x14ac:dyDescent="0.15">
      <c r="B33" s="1" t="s">
        <v>150</v>
      </c>
    </row>
    <row r="35" spans="2:2" x14ac:dyDescent="0.15">
      <c r="B35" s="1" t="s">
        <v>183</v>
      </c>
    </row>
    <row r="36" spans="2:2" x14ac:dyDescent="0.15">
      <c r="B36" s="54" t="s">
        <v>184</v>
      </c>
    </row>
    <row r="37" spans="2:2" x14ac:dyDescent="0.15">
      <c r="B37" s="54" t="s">
        <v>207</v>
      </c>
    </row>
    <row r="38" spans="2:2" x14ac:dyDescent="0.15">
      <c r="B38" s="54" t="s">
        <v>208</v>
      </c>
    </row>
    <row r="39" spans="2:2" x14ac:dyDescent="0.15">
      <c r="B39" s="54" t="s">
        <v>209</v>
      </c>
    </row>
    <row r="40" spans="2:2" x14ac:dyDescent="0.15">
      <c r="B40" s="54" t="s">
        <v>214</v>
      </c>
    </row>
    <row r="41" spans="2:2" x14ac:dyDescent="0.15">
      <c r="B41" s="54" t="s">
        <v>215</v>
      </c>
    </row>
    <row r="42" spans="2:2" x14ac:dyDescent="0.15">
      <c r="B42" s="54" t="s">
        <v>216</v>
      </c>
    </row>
    <row r="43" spans="2:2" x14ac:dyDescent="0.15">
      <c r="B43" s="54" t="s">
        <v>185</v>
      </c>
    </row>
    <row r="44" spans="2:2" x14ac:dyDescent="0.15">
      <c r="B44" s="54" t="s">
        <v>186</v>
      </c>
    </row>
    <row r="45" spans="2:2" x14ac:dyDescent="0.15">
      <c r="B45" s="54" t="s">
        <v>187</v>
      </c>
    </row>
    <row r="46" spans="2:2" x14ac:dyDescent="0.15">
      <c r="B46" s="54" t="s">
        <v>188</v>
      </c>
    </row>
    <row r="47" spans="2:2" x14ac:dyDescent="0.15">
      <c r="B47" s="54" t="s">
        <v>190</v>
      </c>
    </row>
    <row r="48" spans="2:2" x14ac:dyDescent="0.15">
      <c r="B48" s="54" t="s">
        <v>191</v>
      </c>
    </row>
    <row r="49" spans="2:2" x14ac:dyDescent="0.15">
      <c r="B49" s="54" t="s">
        <v>206</v>
      </c>
    </row>
    <row r="50" spans="2:2" x14ac:dyDescent="0.15">
      <c r="B50" s="54" t="s">
        <v>192</v>
      </c>
    </row>
    <row r="51" spans="2:2" x14ac:dyDescent="0.15">
      <c r="B51" s="54" t="s">
        <v>193</v>
      </c>
    </row>
    <row r="52" spans="2:2" x14ac:dyDescent="0.15">
      <c r="B52" s="54" t="s">
        <v>194</v>
      </c>
    </row>
    <row r="53" spans="2:2" x14ac:dyDescent="0.15">
      <c r="B53" s="54" t="s">
        <v>195</v>
      </c>
    </row>
    <row r="54" spans="2:2" x14ac:dyDescent="0.15">
      <c r="B54" s="54" t="s">
        <v>196</v>
      </c>
    </row>
    <row r="55" spans="2:2" x14ac:dyDescent="0.15">
      <c r="B55" s="54"/>
    </row>
    <row r="56" spans="2:2" x14ac:dyDescent="0.15">
      <c r="B56" s="1" t="s">
        <v>182</v>
      </c>
    </row>
    <row r="58" spans="2:2" x14ac:dyDescent="0.15">
      <c r="B58" s="56" t="s">
        <v>156</v>
      </c>
    </row>
    <row r="60" spans="2:2" x14ac:dyDescent="0.15">
      <c r="B60" s="34" t="s">
        <v>200</v>
      </c>
    </row>
    <row r="61" spans="2:2" s="62" customFormat="1" x14ac:dyDescent="0.15">
      <c r="B61" s="62" t="s">
        <v>197</v>
      </c>
    </row>
    <row r="63" spans="2:2" x14ac:dyDescent="0.15">
      <c r="B63" s="58" t="s">
        <v>170</v>
      </c>
    </row>
    <row r="64" spans="2:2" x14ac:dyDescent="0.15">
      <c r="B64" s="1" t="s">
        <v>171</v>
      </c>
    </row>
    <row r="66" spans="2:2" x14ac:dyDescent="0.15">
      <c r="B66" s="58" t="s">
        <v>172</v>
      </c>
    </row>
    <row r="67" spans="2:2" x14ac:dyDescent="0.15">
      <c r="B67" s="1" t="s">
        <v>173</v>
      </c>
    </row>
    <row r="69" spans="2:2" x14ac:dyDescent="0.15">
      <c r="B69" s="34" t="s">
        <v>202</v>
      </c>
    </row>
    <row r="70" spans="2:2" x14ac:dyDescent="0.15">
      <c r="B70" s="62" t="s">
        <v>203</v>
      </c>
    </row>
    <row r="72" spans="2:2" x14ac:dyDescent="0.15">
      <c r="B72" s="58" t="s">
        <v>159</v>
      </c>
    </row>
    <row r="73" spans="2:2" x14ac:dyDescent="0.15">
      <c r="B73" s="1" t="s">
        <v>160</v>
      </c>
    </row>
    <row r="74" spans="2:2" x14ac:dyDescent="0.15">
      <c r="B74" s="1" t="s">
        <v>161</v>
      </c>
    </row>
    <row r="75" spans="2:2" x14ac:dyDescent="0.15">
      <c r="B75" s="1" t="s">
        <v>162</v>
      </c>
    </row>
    <row r="76" spans="2:2" x14ac:dyDescent="0.15">
      <c r="B76" s="1" t="s">
        <v>163</v>
      </c>
    </row>
    <row r="78" spans="2:2" x14ac:dyDescent="0.15">
      <c r="B78" s="58" t="s">
        <v>164</v>
      </c>
    </row>
    <row r="79" spans="2:2" x14ac:dyDescent="0.15">
      <c r="B79" s="1" t="s">
        <v>165</v>
      </c>
    </row>
    <row r="81" spans="2:2" x14ac:dyDescent="0.15">
      <c r="B81" s="58" t="s">
        <v>166</v>
      </c>
    </row>
    <row r="82" spans="2:2" x14ac:dyDescent="0.15">
      <c r="B82" s="1" t="s">
        <v>167</v>
      </c>
    </row>
    <row r="84" spans="2:2" x14ac:dyDescent="0.15">
      <c r="B84" s="58" t="s">
        <v>168</v>
      </c>
    </row>
    <row r="85" spans="2:2" x14ac:dyDescent="0.15">
      <c r="B85" s="1" t="s">
        <v>169</v>
      </c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portrait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AD435"/>
  <sheetViews>
    <sheetView showGridLines="0" tabSelected="1" zoomScale="160" zoomScaleNormal="160" workbookViewId="0"/>
  </sheetViews>
  <sheetFormatPr baseColWidth="10" defaultColWidth="8.6640625" defaultRowHeight="12" x14ac:dyDescent="0.15"/>
  <cols>
    <col min="1" max="1" width="0.83203125" style="1" customWidth="1"/>
    <col min="2" max="2" width="3.33203125" style="1" customWidth="1"/>
    <col min="3" max="3" width="26.6640625" style="1" customWidth="1"/>
    <col min="4" max="4" width="1.6640625" style="1" customWidth="1"/>
    <col min="5" max="5" width="12.33203125" style="1" customWidth="1"/>
    <col min="6" max="6" width="1.6640625" style="1" customWidth="1"/>
    <col min="7" max="7" width="12.33203125" style="1" customWidth="1"/>
    <col min="8" max="8" width="1.6640625" style="1" customWidth="1"/>
    <col min="9" max="9" width="12.33203125" style="1" customWidth="1"/>
    <col min="10" max="10" width="1.6640625" style="1" customWidth="1"/>
    <col min="11" max="13" width="13.83203125" style="1" customWidth="1"/>
    <col min="14" max="14" width="1.6640625" style="1" customWidth="1"/>
    <col min="15" max="18" width="8.6640625" style="1"/>
    <col min="19" max="19" width="10.5" style="1" customWidth="1"/>
    <col min="20" max="16384" width="8.6640625" style="1"/>
  </cols>
  <sheetData>
    <row r="1" spans="1:28" ht="24" x14ac:dyDescent="0.15">
      <c r="A1" s="6" t="s">
        <v>83</v>
      </c>
      <c r="B1" s="6"/>
      <c r="C1" s="65"/>
      <c r="D1" s="65"/>
      <c r="E1" s="65"/>
      <c r="F1" s="65"/>
      <c r="G1" s="65"/>
      <c r="H1" s="65"/>
      <c r="I1" s="65"/>
      <c r="J1" s="65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 spans="1:28" x14ac:dyDescent="0.15">
      <c r="A2" s="7" t="s">
        <v>136</v>
      </c>
      <c r="B2" s="7"/>
      <c r="C2" s="65"/>
      <c r="D2" s="65"/>
      <c r="E2" s="65"/>
      <c r="F2" s="65"/>
      <c r="G2" s="65"/>
      <c r="H2" s="65"/>
      <c r="I2" s="65"/>
      <c r="J2" s="65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</row>
    <row r="3" spans="1:28" x14ac:dyDescent="0.15">
      <c r="A3" s="7"/>
      <c r="B3" s="7"/>
      <c r="C3" s="65"/>
      <c r="D3" s="65"/>
      <c r="E3" s="65"/>
      <c r="F3" s="65"/>
      <c r="G3" s="65"/>
      <c r="H3" s="65"/>
      <c r="I3" s="65"/>
      <c r="J3" s="65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</row>
    <row r="4" spans="1:28" x14ac:dyDescent="0.15">
      <c r="A4" s="7"/>
      <c r="B4" s="35" t="s">
        <v>137</v>
      </c>
      <c r="C4" s="65"/>
      <c r="D4" s="65"/>
      <c r="E4" s="65"/>
      <c r="F4" s="65"/>
      <c r="G4" s="65"/>
      <c r="H4" s="65"/>
      <c r="I4" s="65"/>
      <c r="J4" s="65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 spans="1:28" x14ac:dyDescent="0.15">
      <c r="A5" s="7"/>
      <c r="B5" s="7"/>
      <c r="C5" s="65"/>
      <c r="D5" s="65"/>
      <c r="E5" s="65"/>
      <c r="F5" s="65"/>
      <c r="G5" s="65"/>
      <c r="H5" s="65"/>
      <c r="I5" s="65"/>
      <c r="J5" s="65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 spans="1:28" ht="13" x14ac:dyDescent="0.15">
      <c r="A6" s="7"/>
      <c r="B6" s="7"/>
      <c r="C6" s="69" t="s">
        <v>91</v>
      </c>
      <c r="D6" s="65"/>
      <c r="E6" s="97" t="s">
        <v>106</v>
      </c>
      <c r="F6" s="98"/>
      <c r="G6" s="97" t="s">
        <v>133</v>
      </c>
      <c r="H6" s="98"/>
      <c r="I6" s="97" t="s">
        <v>134</v>
      </c>
      <c r="J6" s="65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</row>
    <row r="7" spans="1:28" x14ac:dyDescent="0.15">
      <c r="A7" s="7"/>
      <c r="B7" s="7"/>
      <c r="C7" s="99" t="s">
        <v>103</v>
      </c>
      <c r="D7" s="65"/>
      <c r="E7" s="100">
        <f>IF(AND(I7&lt;&gt;"",I8&lt;&gt;""),I7,IF(I8&lt;&gt;"",1-I8,IF(I7&lt;&gt;"",I7,G7)))</f>
        <v>1</v>
      </c>
      <c r="F7" s="101"/>
      <c r="G7" s="102">
        <v>1</v>
      </c>
      <c r="H7" s="101"/>
      <c r="I7" s="103"/>
      <c r="J7" s="65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</row>
    <row r="8" spans="1:28" x14ac:dyDescent="0.15">
      <c r="A8" s="7"/>
      <c r="B8" s="7"/>
      <c r="C8" s="99" t="s">
        <v>102</v>
      </c>
      <c r="D8" s="65"/>
      <c r="E8" s="104">
        <f>IF(AND(I7&lt;&gt;"",I8&lt;&gt;""),1-I7,IF(I7&lt;&gt;"",1-I7,IF(I8&lt;&gt;"",I8,G8)))</f>
        <v>0</v>
      </c>
      <c r="F8" s="101"/>
      <c r="G8" s="105">
        <v>0</v>
      </c>
      <c r="H8" s="101"/>
      <c r="I8" s="106"/>
      <c r="J8" s="65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 spans="1:28" x14ac:dyDescent="0.15">
      <c r="A9" s="7"/>
      <c r="B9" s="7"/>
      <c r="C9" s="99" t="s">
        <v>131</v>
      </c>
      <c r="D9" s="65"/>
      <c r="E9" s="104">
        <f>IF(I9&lt;&gt;"",I9,G9)</f>
        <v>0</v>
      </c>
      <c r="F9" s="101"/>
      <c r="G9" s="105">
        <v>0</v>
      </c>
      <c r="H9" s="101"/>
      <c r="I9" s="106"/>
      <c r="J9" s="65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 spans="1:28" x14ac:dyDescent="0.15">
      <c r="A10" s="7"/>
      <c r="B10" s="7"/>
      <c r="C10" s="99" t="s">
        <v>132</v>
      </c>
      <c r="D10" s="65"/>
      <c r="E10" s="104" t="b">
        <f>IF(I10&lt;&gt;"",I10,G10)</f>
        <v>0</v>
      </c>
      <c r="F10" s="101"/>
      <c r="G10" s="105" t="b">
        <f>Dropdowns!D8</f>
        <v>0</v>
      </c>
      <c r="H10" s="101"/>
      <c r="I10" s="106" t="b">
        <v>0</v>
      </c>
      <c r="J10" s="65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</row>
    <row r="11" spans="1:28" ht="13" thickBot="1" x14ac:dyDescent="0.2">
      <c r="C11" s="65"/>
      <c r="D11" s="65"/>
      <c r="E11" s="107"/>
      <c r="F11" s="107"/>
      <c r="G11" s="107"/>
      <c r="H11" s="107"/>
      <c r="I11" s="107"/>
      <c r="J11" s="65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 spans="1:28" ht="13" thickBot="1" x14ac:dyDescent="0.2">
      <c r="A12" s="7"/>
      <c r="B12" s="7"/>
      <c r="C12" s="99" t="s">
        <v>105</v>
      </c>
      <c r="D12" s="65"/>
      <c r="E12" s="108">
        <f>IF(E10,E43,E51*E7+E55*E8-E67*E9)</f>
        <v>85967467.984933108</v>
      </c>
      <c r="F12" s="109"/>
      <c r="G12" s="110"/>
      <c r="H12" s="109"/>
      <c r="I12" s="65"/>
      <c r="J12" s="65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</row>
    <row r="13" spans="1:28" x14ac:dyDescent="0.15">
      <c r="A13" s="7"/>
      <c r="B13" s="7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</row>
    <row r="14" spans="1:28" ht="3.5" customHeight="1" thickBot="1" x14ac:dyDescent="0.2">
      <c r="A14" s="7"/>
      <c r="B14" s="53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</row>
    <row r="15" spans="1:28" x14ac:dyDescent="0.15">
      <c r="A15" s="7"/>
      <c r="B15" s="7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</row>
    <row r="16" spans="1:28" x14ac:dyDescent="0.15">
      <c r="A16" s="7"/>
      <c r="B16" s="35" t="s">
        <v>138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</row>
    <row r="17" spans="1:28" x14ac:dyDescent="0.15">
      <c r="A17" s="7"/>
      <c r="B17" s="55" t="s">
        <v>139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</row>
    <row r="18" spans="1:28" x14ac:dyDescent="0.15">
      <c r="A18" s="7"/>
      <c r="B18" s="7"/>
      <c r="C18" s="65"/>
      <c r="D18" s="65"/>
      <c r="E18" s="65"/>
      <c r="F18" s="65"/>
      <c r="G18" s="65"/>
      <c r="H18" s="65"/>
      <c r="I18" s="65"/>
      <c r="J18" s="65"/>
      <c r="K18" s="63" t="s">
        <v>135</v>
      </c>
      <c r="L18" s="63"/>
      <c r="M18" s="63"/>
      <c r="N18" s="65"/>
      <c r="O18" s="63" t="s">
        <v>145</v>
      </c>
      <c r="P18" s="63"/>
      <c r="Q18" s="63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</row>
    <row r="19" spans="1:28" ht="13" x14ac:dyDescent="0.15">
      <c r="A19" s="7"/>
      <c r="B19" s="7"/>
      <c r="C19" s="69" t="s">
        <v>91</v>
      </c>
      <c r="D19" s="65"/>
      <c r="E19" s="112" t="s">
        <v>1</v>
      </c>
      <c r="F19" s="113"/>
      <c r="G19" s="112" t="s">
        <v>2</v>
      </c>
      <c r="H19" s="113"/>
      <c r="I19" s="114" t="s">
        <v>3</v>
      </c>
      <c r="J19" s="65"/>
      <c r="K19" s="114" t="s">
        <v>1</v>
      </c>
      <c r="L19" s="114" t="s">
        <v>2</v>
      </c>
      <c r="M19" s="114" t="s">
        <v>3</v>
      </c>
      <c r="N19" s="65"/>
      <c r="O19" s="114" t="s">
        <v>143</v>
      </c>
      <c r="P19" s="114" t="s">
        <v>144</v>
      </c>
      <c r="Q19" s="115" t="s">
        <v>146</v>
      </c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</row>
    <row r="20" spans="1:28" ht="13" x14ac:dyDescent="0.15">
      <c r="A20" s="7"/>
      <c r="B20" s="7"/>
      <c r="C20" s="99" t="s">
        <v>189</v>
      </c>
      <c r="D20" s="116"/>
      <c r="E20" s="177" t="str">
        <f>IF(K20&lt;&gt;"",K20,Optimization!F55)</f>
        <v>None</v>
      </c>
      <c r="F20" s="178"/>
      <c r="G20" s="177" t="str">
        <f>IF(L20&lt;&gt;"",L20,Optimization!F57)</f>
        <v>Low</v>
      </c>
      <c r="H20" s="178"/>
      <c r="I20" s="117" t="str">
        <f>IF(M20&lt;&gt;"",M20,Optimization!F59)</f>
        <v>High</v>
      </c>
      <c r="J20" s="116"/>
      <c r="K20" s="118"/>
      <c r="L20" s="118"/>
      <c r="M20" s="118"/>
      <c r="N20" s="116"/>
      <c r="O20" s="65"/>
      <c r="P20" s="65"/>
      <c r="Q20" s="65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</row>
    <row r="21" spans="1:28" ht="13" x14ac:dyDescent="0.15">
      <c r="A21" s="7"/>
      <c r="B21" s="7"/>
      <c r="C21" s="99" t="s">
        <v>44</v>
      </c>
      <c r="D21" s="116"/>
      <c r="E21" s="177" t="str">
        <f>IF(K21&lt;&gt;"",K21,Optimization!F61)</f>
        <v>3x2 casual</v>
      </c>
      <c r="F21" s="178"/>
      <c r="G21" s="177" t="str">
        <f>IF(L21&lt;&gt;"",L21,Optimization!F63)</f>
        <v>None</v>
      </c>
      <c r="H21" s="178"/>
      <c r="I21" s="117" t="str">
        <f>IF(M21&lt;&gt;"",M21,Optimization!F65)</f>
        <v>None</v>
      </c>
      <c r="J21" s="116"/>
      <c r="K21" s="118"/>
      <c r="L21" s="118"/>
      <c r="M21" s="118"/>
      <c r="N21" s="116"/>
      <c r="O21" s="65"/>
      <c r="P21" s="65"/>
      <c r="Q21" s="65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</row>
    <row r="22" spans="1:28" ht="3.5" customHeight="1" x14ac:dyDescent="0.15">
      <c r="A22" s="7"/>
      <c r="B22" s="7"/>
      <c r="C22" s="65"/>
      <c r="D22" s="65"/>
      <c r="E22" s="65"/>
      <c r="F22" s="65"/>
      <c r="G22" s="65"/>
      <c r="H22" s="65"/>
      <c r="I22" s="65"/>
      <c r="J22" s="65"/>
      <c r="K22" s="119"/>
      <c r="L22" s="119"/>
      <c r="M22" s="119"/>
      <c r="N22" s="65"/>
      <c r="O22" s="65"/>
      <c r="P22" s="65"/>
      <c r="Q22" s="65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</row>
    <row r="23" spans="1:28" x14ac:dyDescent="0.15">
      <c r="A23" s="7"/>
      <c r="B23" s="7"/>
      <c r="C23" s="99" t="s">
        <v>113</v>
      </c>
      <c r="D23" s="65"/>
      <c r="E23" s="167">
        <f>MAX(IF(K23&lt;&gt;"",K23,Optimization!F7),Baseline!E7)</f>
        <v>0.25</v>
      </c>
      <c r="F23" s="168"/>
      <c r="G23" s="167">
        <f>MAX(IF(L23&lt;&gt;"",L23,Optimization!F23),E23,Baseline!F7)</f>
        <v>0.25</v>
      </c>
      <c r="H23" s="168"/>
      <c r="I23" s="120">
        <f>MAX(IF(M23&lt;&gt;"",M23,Optimization!G39),G23,Baseline!G7)</f>
        <v>0.25</v>
      </c>
      <c r="J23" s="65"/>
      <c r="K23" s="121"/>
      <c r="L23" s="121"/>
      <c r="M23" s="121"/>
      <c r="N23" s="65"/>
      <c r="O23" s="122">
        <f>'Flow-through'!X7</f>
        <v>2063218</v>
      </c>
      <c r="P23" s="122">
        <f>'Flow-through'!AA7</f>
        <v>52291.196123007219</v>
      </c>
      <c r="Q23" s="123">
        <f>1-P23/O23</f>
        <v>0.97465551574142562</v>
      </c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 spans="1:28" x14ac:dyDescent="0.15">
      <c r="A24" s="7"/>
      <c r="B24" s="7"/>
      <c r="C24" s="99" t="s">
        <v>114</v>
      </c>
      <c r="D24" s="65"/>
      <c r="E24" s="167">
        <f>MAX(IF(K24&lt;&gt;"",K24,Optimization!F9),Baseline!E8)</f>
        <v>0.35</v>
      </c>
      <c r="F24" s="168"/>
      <c r="G24" s="167">
        <f>MAX(IF(L24&lt;&gt;"",L24,Optimization!F25),E24,Baseline!F8)</f>
        <v>0.35</v>
      </c>
      <c r="H24" s="168"/>
      <c r="I24" s="120">
        <f>MAX(IF(M24&lt;&gt;"",M24,Optimization!G41),G24,Baseline!G8)</f>
        <v>0.35</v>
      </c>
      <c r="J24" s="65"/>
      <c r="K24" s="121"/>
      <c r="L24" s="121"/>
      <c r="M24" s="121"/>
      <c r="N24" s="65"/>
      <c r="O24" s="122">
        <f>'Flow-through'!X8</f>
        <v>928516</v>
      </c>
      <c r="P24" s="122">
        <f>'Flow-through'!AA8</f>
        <v>23433.931383943884</v>
      </c>
      <c r="Q24" s="123">
        <f t="shared" ref="Q24:Q30" si="0">1-P24/O24</f>
        <v>0.97476195199227167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</row>
    <row r="25" spans="1:28" x14ac:dyDescent="0.15">
      <c r="A25" s="7"/>
      <c r="B25" s="7"/>
      <c r="C25" s="99" t="s">
        <v>115</v>
      </c>
      <c r="D25" s="65"/>
      <c r="E25" s="167">
        <f>MAX(IF(K25&lt;&gt;"",K25,Optimization!F11),Baseline!E9)</f>
        <v>0.3</v>
      </c>
      <c r="F25" s="168"/>
      <c r="G25" s="167">
        <f>MAX(IF(L25&lt;&gt;"",L25,Optimization!F27),E25,Baseline!F9)</f>
        <v>0.3</v>
      </c>
      <c r="H25" s="168"/>
      <c r="I25" s="120">
        <f>MAX(IF(M25&lt;&gt;"",M25,Optimization!G43),G25,Baseline!G9)</f>
        <v>0.3</v>
      </c>
      <c r="J25" s="65"/>
      <c r="K25" s="121"/>
      <c r="L25" s="121"/>
      <c r="M25" s="121"/>
      <c r="N25" s="65"/>
      <c r="O25" s="122">
        <f>'Flow-through'!X9</f>
        <v>456254</v>
      </c>
      <c r="P25" s="122">
        <f>'Flow-through'!AA9</f>
        <v>0</v>
      </c>
      <c r="Q25" s="123">
        <f t="shared" si="0"/>
        <v>1</v>
      </c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</row>
    <row r="26" spans="1:28" x14ac:dyDescent="0.15">
      <c r="A26" s="7"/>
      <c r="B26" s="7"/>
      <c r="C26" s="99" t="s">
        <v>116</v>
      </c>
      <c r="D26" s="65"/>
      <c r="E26" s="167">
        <f>MAX(IF(K26&lt;&gt;"",K26,Optimization!F13),Baseline!E10)</f>
        <v>0.5</v>
      </c>
      <c r="F26" s="168"/>
      <c r="G26" s="167">
        <f>MAX(IF(L26&lt;&gt;"",L26,Optimization!F29),E26,Baseline!F10)</f>
        <v>0.5</v>
      </c>
      <c r="H26" s="168"/>
      <c r="I26" s="120">
        <f>MAX(IF(M26&lt;&gt;"",M26,Optimization!G45),G26,Baseline!G10)</f>
        <v>0.5</v>
      </c>
      <c r="J26" s="65"/>
      <c r="K26" s="121"/>
      <c r="L26" s="121"/>
      <c r="M26" s="121"/>
      <c r="N26" s="65"/>
      <c r="O26" s="122">
        <f>'Flow-through'!X10</f>
        <v>385750</v>
      </c>
      <c r="P26" s="122">
        <f>'Flow-through'!AA10</f>
        <v>0</v>
      </c>
      <c r="Q26" s="123">
        <f t="shared" si="0"/>
        <v>1</v>
      </c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</row>
    <row r="27" spans="1:28" x14ac:dyDescent="0.15">
      <c r="A27" s="7"/>
      <c r="B27" s="7"/>
      <c r="C27" s="99" t="s">
        <v>117</v>
      </c>
      <c r="D27" s="65"/>
      <c r="E27" s="167">
        <f>MAX(IF(K27&lt;&gt;"",K27,Optimization!F15),Baseline!E11)</f>
        <v>0.05</v>
      </c>
      <c r="F27" s="168"/>
      <c r="G27" s="167">
        <f>MAX(IF(L27&lt;&gt;"",L27,Optimization!F31),E27,Baseline!F11)</f>
        <v>0.44999999999999996</v>
      </c>
      <c r="H27" s="168"/>
      <c r="I27" s="120">
        <f>MAX(IF(M27&lt;&gt;"",M27,Optimization!G47),G27,Baseline!G11)</f>
        <v>0.44999999999999996</v>
      </c>
      <c r="J27" s="65"/>
      <c r="K27" s="121"/>
      <c r="L27" s="121"/>
      <c r="M27" s="121"/>
      <c r="N27" s="65"/>
      <c r="O27" s="122">
        <f>'Flow-through'!X11</f>
        <v>2400359</v>
      </c>
      <c r="P27" s="122">
        <f>'Flow-through'!AA11</f>
        <v>1014627.423231404</v>
      </c>
      <c r="Q27" s="123">
        <f t="shared" si="0"/>
        <v>0.57730180225899375</v>
      </c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</row>
    <row r="28" spans="1:28" x14ac:dyDescent="0.15">
      <c r="A28" s="7"/>
      <c r="B28" s="7"/>
      <c r="C28" s="99" t="s">
        <v>118</v>
      </c>
      <c r="D28" s="65"/>
      <c r="E28" s="167">
        <f>MAX(IF(K28&lt;&gt;"",K28,Optimization!F17),Baseline!E12)</f>
        <v>0.39999999999999997</v>
      </c>
      <c r="F28" s="168"/>
      <c r="G28" s="167">
        <f>MAX(IF(L28&lt;&gt;"",L28,Optimization!F33),E28,Baseline!F12)</f>
        <v>0.39999999999999997</v>
      </c>
      <c r="H28" s="168"/>
      <c r="I28" s="120">
        <f>MAX(IF(M28&lt;&gt;"",M28,Optimization!G49),G28,Baseline!G12)</f>
        <v>0.39999999999999997</v>
      </c>
      <c r="J28" s="65"/>
      <c r="K28" s="121"/>
      <c r="L28" s="121"/>
      <c r="M28" s="121"/>
      <c r="N28" s="65"/>
      <c r="O28" s="122">
        <f>'Flow-through'!X12</f>
        <v>931284</v>
      </c>
      <c r="P28" s="122">
        <f>'Flow-through'!AA12</f>
        <v>285638.3413494571</v>
      </c>
      <c r="Q28" s="123">
        <f t="shared" si="0"/>
        <v>0.69328546249108003</v>
      </c>
      <c r="R28" s="160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</row>
    <row r="29" spans="1:28" x14ac:dyDescent="0.15">
      <c r="A29" s="7"/>
      <c r="B29" s="7"/>
      <c r="C29" s="99" t="s">
        <v>119</v>
      </c>
      <c r="D29" s="65"/>
      <c r="E29" s="167">
        <f>MAX(IF(K29&lt;&gt;"",K29,Optimization!F19),Baseline!E13)</f>
        <v>0.3</v>
      </c>
      <c r="F29" s="168"/>
      <c r="G29" s="167">
        <f>MAX(IF(L29&lt;&gt;"",L29,Optimization!F35),E29,Baseline!F13)</f>
        <v>0.3</v>
      </c>
      <c r="H29" s="168"/>
      <c r="I29" s="120">
        <f>MAX(IF(M29&lt;&gt;"",M29,Optimization!G51),G29,Baseline!G13)</f>
        <v>0.3</v>
      </c>
      <c r="J29" s="65"/>
      <c r="K29" s="121"/>
      <c r="L29" s="121"/>
      <c r="M29" s="121"/>
      <c r="N29" s="65"/>
      <c r="O29" s="122">
        <f>'Flow-through'!X13</f>
        <v>488551</v>
      </c>
      <c r="P29" s="122">
        <f>'Flow-through'!AA13</f>
        <v>384521.91125043563</v>
      </c>
      <c r="Q29" s="123">
        <f t="shared" si="0"/>
        <v>0.21293393883046885</v>
      </c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</row>
    <row r="30" spans="1:28" x14ac:dyDescent="0.15">
      <c r="A30" s="7"/>
      <c r="B30" s="7"/>
      <c r="C30" s="99" t="s">
        <v>120</v>
      </c>
      <c r="D30" s="65"/>
      <c r="E30" s="167">
        <f>MAX(IF(K30&lt;&gt;"",K30,Optimization!F21),Baseline!E14)</f>
        <v>0.5</v>
      </c>
      <c r="F30" s="168"/>
      <c r="G30" s="167">
        <f>MAX(IF(L30&lt;&gt;"",L30,Optimization!F37),E30,Baseline!F14)</f>
        <v>0.5</v>
      </c>
      <c r="H30" s="168"/>
      <c r="I30" s="120">
        <f>MAX(IF(M30&lt;&gt;"",M30,Optimization!G53),G30,Baseline!G14)</f>
        <v>0.5</v>
      </c>
      <c r="J30" s="65"/>
      <c r="K30" s="121"/>
      <c r="L30" s="121"/>
      <c r="M30" s="121"/>
      <c r="N30" s="65"/>
      <c r="O30" s="122">
        <f>'Flow-through'!X14</f>
        <v>369223</v>
      </c>
      <c r="P30" s="122">
        <f>'Flow-through'!AA14</f>
        <v>280224.19114373327</v>
      </c>
      <c r="Q30" s="123">
        <f t="shared" si="0"/>
        <v>0.24104351260963353</v>
      </c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</row>
    <row r="31" spans="1:28" ht="3.5" customHeight="1" x14ac:dyDescent="0.15">
      <c r="A31" s="7"/>
      <c r="B31" s="7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</row>
    <row r="32" spans="1:28" x14ac:dyDescent="0.15">
      <c r="C32" s="124" t="s">
        <v>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125">
        <f>SUM(O23:O30)</f>
        <v>8023155</v>
      </c>
      <c r="P32" s="125">
        <f>SUM(P23:P30)</f>
        <v>2040736.994481981</v>
      </c>
      <c r="Q32" s="126">
        <f>1-P32/O32</f>
        <v>0.74564407711405534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</row>
    <row r="33" spans="1:30" x14ac:dyDescent="0.15"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127" t="b">
        <f>O32='Flow-through'!X5</f>
        <v>1</v>
      </c>
      <c r="P33" s="127" t="b">
        <f>P32='Flow-through'!AA5</f>
        <v>1</v>
      </c>
      <c r="Q33" s="65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</row>
    <row r="34" spans="1:30" ht="3.5" customHeight="1" thickBot="1" x14ac:dyDescent="0.2">
      <c r="A34" s="7"/>
      <c r="B34" s="53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</row>
    <row r="35" spans="1:30" x14ac:dyDescent="0.15">
      <c r="A35" s="7"/>
      <c r="B35" s="7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 spans="1:30" x14ac:dyDescent="0.15">
      <c r="A36" s="7"/>
      <c r="B36" s="35" t="s">
        <v>140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</row>
    <row r="37" spans="1:30" x14ac:dyDescent="0.15">
      <c r="A37" s="7"/>
      <c r="B37" s="7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</row>
    <row r="38" spans="1:30" ht="13" x14ac:dyDescent="0.15">
      <c r="C38" s="69" t="s">
        <v>91</v>
      </c>
      <c r="D38" s="65"/>
      <c r="E38" s="128" t="s">
        <v>0</v>
      </c>
      <c r="F38" s="98"/>
      <c r="G38" s="165" t="s">
        <v>141</v>
      </c>
      <c r="H38" s="166"/>
      <c r="I38" s="129" t="s">
        <v>142</v>
      </c>
      <c r="J38" s="65"/>
      <c r="K38" s="128" t="s">
        <v>1</v>
      </c>
      <c r="L38" s="128" t="s">
        <v>2</v>
      </c>
      <c r="M38" s="128" t="s">
        <v>3</v>
      </c>
      <c r="N38" s="65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</row>
    <row r="39" spans="1:30" ht="13" x14ac:dyDescent="0.15">
      <c r="A39" s="46"/>
      <c r="B39" s="46"/>
      <c r="C39" s="130" t="s">
        <v>55</v>
      </c>
      <c r="D39" s="65"/>
      <c r="E39" s="131">
        <f>SUM(K39:M39)</f>
        <v>12624977.231269239</v>
      </c>
      <c r="F39" s="132"/>
      <c r="G39" s="174">
        <v>12626845.589560764</v>
      </c>
      <c r="H39" s="175"/>
      <c r="I39" s="126">
        <f>E39/G39-1</f>
        <v>-1.4796714494313967E-4</v>
      </c>
      <c r="J39" s="65"/>
      <c r="K39" s="125">
        <f>Workings!E21</f>
        <v>4453765.5880662845</v>
      </c>
      <c r="L39" s="125">
        <f>Workings!F21</f>
        <v>4465927.9141932772</v>
      </c>
      <c r="M39" s="125">
        <f>Workings!G21</f>
        <v>3705283.7290096767</v>
      </c>
      <c r="N39" s="65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</row>
    <row r="40" spans="1:30" ht="13" x14ac:dyDescent="0.15">
      <c r="A40" s="46"/>
      <c r="B40" s="46"/>
      <c r="C40" s="133" t="s">
        <v>40</v>
      </c>
      <c r="D40" s="65"/>
      <c r="E40" s="134">
        <f>IFERROR(E41/E39,"")</f>
        <v>0.19250878041006589</v>
      </c>
      <c r="F40" s="135"/>
      <c r="G40" s="170">
        <v>0.19432297371199667</v>
      </c>
      <c r="H40" s="170"/>
      <c r="I40" s="123">
        <f t="shared" ref="I40:I61" si="1">E40/G40-1</f>
        <v>-9.3359692231735902E-3</v>
      </c>
      <c r="J40" s="65"/>
      <c r="K40" s="136">
        <f>IFERROR(K41/K39,"")</f>
        <v>0.22006430236562871</v>
      </c>
      <c r="L40" s="136">
        <f>IFERROR(L41/L39,"")</f>
        <v>0.17020343333168855</v>
      </c>
      <c r="M40" s="136">
        <f>IFERROR(M41/M39,"")</f>
        <v>0.18627126528731086</v>
      </c>
      <c r="N40" s="65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</row>
    <row r="41" spans="1:30" ht="13" x14ac:dyDescent="0.15">
      <c r="A41" s="46"/>
      <c r="B41" s="46"/>
      <c r="C41" s="130" t="s">
        <v>98</v>
      </c>
      <c r="D41" s="65"/>
      <c r="E41" s="131">
        <f>SUM(K41:M41)</f>
        <v>2430418.9694964914</v>
      </c>
      <c r="F41" s="132"/>
      <c r="G41" s="172">
        <v>2487210.5628424701</v>
      </c>
      <c r="H41" s="172"/>
      <c r="I41" s="126">
        <f t="shared" si="1"/>
        <v>-2.2833448118311006E-2</v>
      </c>
      <c r="J41" s="65"/>
      <c r="K41" s="125">
        <f>Workings!E23</f>
        <v>980114.81703785097</v>
      </c>
      <c r="L41" s="125">
        <f>Workings!F23</f>
        <v>760116.26400752238</v>
      </c>
      <c r="M41" s="125">
        <f>Workings!G23</f>
        <v>690187.88845111791</v>
      </c>
      <c r="N41" s="65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</row>
    <row r="42" spans="1:30" ht="13" x14ac:dyDescent="0.15">
      <c r="A42" s="46"/>
      <c r="B42" s="46"/>
      <c r="C42" s="133" t="s">
        <v>42</v>
      </c>
      <c r="D42" s="65"/>
      <c r="E42" s="137">
        <f>IFERROR(E43/E41,"")</f>
        <v>2.4614760173458463</v>
      </c>
      <c r="F42" s="138"/>
      <c r="G42" s="176">
        <v>2.4973054184320995</v>
      </c>
      <c r="H42" s="176"/>
      <c r="I42" s="123">
        <f t="shared" si="1"/>
        <v>-1.4347224341005216E-2</v>
      </c>
      <c r="J42" s="65"/>
      <c r="K42" s="139">
        <f>IFERROR(K43/K41,"")</f>
        <v>1.7980926958009018</v>
      </c>
      <c r="L42" s="139">
        <f>IFERROR(L43/L41,"")</f>
        <v>3.4124585653651041</v>
      </c>
      <c r="M42" s="139">
        <f>IFERROR(M43/M41,"")</f>
        <v>2.3561923983043136</v>
      </c>
      <c r="N42" s="65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</row>
    <row r="43" spans="1:30" ht="13" x14ac:dyDescent="0.15">
      <c r="A43" s="46"/>
      <c r="B43" s="46"/>
      <c r="C43" s="130" t="s">
        <v>12</v>
      </c>
      <c r="D43" s="65"/>
      <c r="E43" s="131">
        <f>SUM(K43:M43)</f>
        <v>5982418.0055180192</v>
      </c>
      <c r="F43" s="132"/>
      <c r="G43" s="172">
        <v>5493731.4887983147</v>
      </c>
      <c r="H43" s="172"/>
      <c r="I43" s="126">
        <f t="shared" si="1"/>
        <v>8.8953476833757428E-2</v>
      </c>
      <c r="J43" s="65"/>
      <c r="K43" s="125">
        <f>Workings!O5</f>
        <v>1762337.2935619971</v>
      </c>
      <c r="L43" s="125">
        <f>Workings!P5</f>
        <v>2593865.2557857926</v>
      </c>
      <c r="M43" s="125">
        <f>Workings!Q5</f>
        <v>1626215.4561702295</v>
      </c>
      <c r="N43" s="65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</row>
    <row r="44" spans="1:30" ht="3.5" customHeight="1" x14ac:dyDescent="0.15">
      <c r="A44" s="7"/>
      <c r="B44" s="7"/>
      <c r="C44" s="65"/>
      <c r="D44" s="65"/>
      <c r="E44" s="65"/>
      <c r="F44" s="65"/>
      <c r="G44" s="65"/>
      <c r="H44" s="65"/>
      <c r="I44" s="140"/>
      <c r="J44" s="65"/>
      <c r="K44" s="65"/>
      <c r="L44" s="65"/>
      <c r="M44" s="65"/>
      <c r="N44" s="65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</row>
    <row r="45" spans="1:30" ht="13" x14ac:dyDescent="0.15">
      <c r="A45" s="46"/>
      <c r="B45" s="46"/>
      <c r="C45" s="133" t="s">
        <v>109</v>
      </c>
      <c r="D45" s="65"/>
      <c r="E45" s="141">
        <f>+E46/E43</f>
        <v>23.649789163259797</v>
      </c>
      <c r="F45" s="142"/>
      <c r="G45" s="169">
        <v>23.520571646988174</v>
      </c>
      <c r="H45" s="169"/>
      <c r="I45" s="123">
        <f t="shared" si="1"/>
        <v>5.4938084928803921E-3</v>
      </c>
      <c r="J45" s="65"/>
      <c r="K45" s="143">
        <f>+K46/K43</f>
        <v>24.406140642026752</v>
      </c>
      <c r="L45" s="143">
        <f>+L46/L43</f>
        <v>22.359966246774967</v>
      </c>
      <c r="M45" s="143">
        <f>+M46/M43</f>
        <v>24.887436009794165</v>
      </c>
      <c r="N45" s="65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</row>
    <row r="46" spans="1:30" ht="13" x14ac:dyDescent="0.15">
      <c r="A46" s="46"/>
      <c r="B46" s="46"/>
      <c r="C46" s="144" t="s">
        <v>111</v>
      </c>
      <c r="D46" s="65"/>
      <c r="E46" s="145">
        <f>SUM(K46:M46)</f>
        <v>141482924.51699033</v>
      </c>
      <c r="F46" s="146"/>
      <c r="G46" s="171">
        <v>142263575.74678016</v>
      </c>
      <c r="H46" s="171"/>
      <c r="I46" s="123">
        <f t="shared" si="1"/>
        <v>-5.4873584168819711E-3</v>
      </c>
      <c r="J46" s="65"/>
      <c r="K46" s="147">
        <f>'Flow-through'!E5</f>
        <v>43011851.845362887</v>
      </c>
      <c r="L46" s="147">
        <f>'Flow-through'!F5</f>
        <v>57998739.568052635</v>
      </c>
      <c r="M46" s="147">
        <f>'Flow-through'!G5</f>
        <v>40472333.103574812</v>
      </c>
      <c r="N46" s="65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</row>
    <row r="47" spans="1:30" ht="13" x14ac:dyDescent="0.15">
      <c r="C47" s="133" t="s">
        <v>110</v>
      </c>
      <c r="D47" s="65"/>
      <c r="E47" s="148">
        <f>SUMPRODUCT(K47:M47,K46:M46)/E46</f>
        <v>0.18349668459144913</v>
      </c>
      <c r="F47" s="135"/>
      <c r="G47" s="170">
        <v>8.4873197629259059E-2</v>
      </c>
      <c r="H47" s="170"/>
      <c r="I47" s="123">
        <f t="shared" si="1"/>
        <v>1.1620097948117225</v>
      </c>
      <c r="J47" s="65"/>
      <c r="K47" s="149">
        <f>SUMPRODUCT(G23:G30,'Flow-through'!N7:N14)/'Flow-through'!N5</f>
        <v>0.29896637607865639</v>
      </c>
      <c r="L47" s="149">
        <f>SUMPRODUCT(H23:H30,'Flow-through'!O7:O14)/'Flow-through'!O5</f>
        <v>0</v>
      </c>
      <c r="M47" s="149">
        <f>SUMPRODUCT(I23:I30,'Flow-through'!P7:P14)/'Flow-through'!P5</f>
        <v>0.32374091374960684</v>
      </c>
      <c r="N47" s="65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</row>
    <row r="48" spans="1:30" ht="13" x14ac:dyDescent="0.15">
      <c r="A48" s="46"/>
      <c r="B48" s="46"/>
      <c r="C48" s="130" t="s">
        <v>108</v>
      </c>
      <c r="D48" s="65"/>
      <c r="E48" s="150">
        <f>-(E49/E45-1)</f>
        <v>0.39238273255646849</v>
      </c>
      <c r="F48" s="151"/>
      <c r="G48" s="173">
        <v>0.35137402483280111</v>
      </c>
      <c r="H48" s="173"/>
      <c r="I48" s="126">
        <f t="shared" si="1"/>
        <v>0.11670955968694918</v>
      </c>
      <c r="J48" s="65"/>
      <c r="K48" s="152">
        <f>-(K49/K45-1)</f>
        <v>0.38075116042797363</v>
      </c>
      <c r="L48" s="152">
        <f>-(L49/L45-1)</f>
        <v>0.43247563393002342</v>
      </c>
      <c r="M48" s="152">
        <f>-(M49/M45-1)</f>
        <v>0.34728915508707925</v>
      </c>
      <c r="N48" s="65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</row>
    <row r="49" spans="1:30" ht="13" x14ac:dyDescent="0.15">
      <c r="A49" s="46"/>
      <c r="B49" s="46"/>
      <c r="C49" s="133" t="s">
        <v>99</v>
      </c>
      <c r="D49" s="65"/>
      <c r="E49" s="141">
        <f>IFERROR(E51/E43,"")</f>
        <v>14.370020266995562</v>
      </c>
      <c r="F49" s="142"/>
      <c r="G49" s="169">
        <v>15.631106505327123</v>
      </c>
      <c r="H49" s="169"/>
      <c r="I49" s="123">
        <f t="shared" si="1"/>
        <v>-8.0677988976773918E-2</v>
      </c>
      <c r="J49" s="65"/>
      <c r="K49" s="143">
        <f>IFERROR(K51/K43,"")</f>
        <v>15.113474271006737</v>
      </c>
      <c r="L49" s="143">
        <f>IFERROR(L51/L43,"")</f>
        <v>12.689825669547036</v>
      </c>
      <c r="M49" s="143">
        <f>IFERROR(M51/M43,"")</f>
        <v>16.244299385668999</v>
      </c>
      <c r="N49" s="65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</row>
    <row r="50" spans="1:30" ht="3.5" customHeight="1" x14ac:dyDescent="0.15">
      <c r="A50" s="7"/>
      <c r="B50" s="7"/>
      <c r="C50" s="65"/>
      <c r="D50" s="65"/>
      <c r="E50" s="65"/>
      <c r="F50" s="65"/>
      <c r="G50" s="65"/>
      <c r="H50" s="65"/>
      <c r="I50" s="140"/>
      <c r="J50" s="65"/>
      <c r="K50" s="65"/>
      <c r="L50" s="65"/>
      <c r="M50" s="65"/>
      <c r="N50" s="65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</row>
    <row r="51" spans="1:30" ht="13" x14ac:dyDescent="0.15">
      <c r="A51" s="46"/>
      <c r="B51" s="46"/>
      <c r="C51" s="130" t="s">
        <v>13</v>
      </c>
      <c r="D51" s="65"/>
      <c r="E51" s="131">
        <f>SUM(K51:M51)</f>
        <v>85967467.984933108</v>
      </c>
      <c r="F51" s="132"/>
      <c r="G51" s="172">
        <v>84457561.972023472</v>
      </c>
      <c r="H51" s="172"/>
      <c r="I51" s="126">
        <f t="shared" si="1"/>
        <v>1.7877688837499184E-2</v>
      </c>
      <c r="J51" s="65"/>
      <c r="K51" s="125">
        <f>'Flow-through'!N5</f>
        <v>26635039.34308489</v>
      </c>
      <c r="L51" s="125">
        <f>'Flow-through'!O5</f>
        <v>32915697.906216737</v>
      </c>
      <c r="M51" s="125">
        <f>'Flow-through'!P5</f>
        <v>26416730.735631488</v>
      </c>
      <c r="N51" s="65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</row>
    <row r="52" spans="1:30" ht="13" x14ac:dyDescent="0.15">
      <c r="A52" s="46"/>
      <c r="B52" s="46"/>
      <c r="C52" s="133" t="s">
        <v>100</v>
      </c>
      <c r="D52" s="65"/>
      <c r="E52" s="134">
        <f>IFERROR(E53/E51,"")</f>
        <v>0.1916939933257337</v>
      </c>
      <c r="F52" s="135"/>
      <c r="G52" s="170">
        <v>0.23569105301424859</v>
      </c>
      <c r="H52" s="170"/>
      <c r="I52" s="123">
        <f t="shared" si="1"/>
        <v>-0.18667259162296279</v>
      </c>
      <c r="J52" s="65"/>
      <c r="K52" s="136">
        <f>IFERROR(K53/K51,"")</f>
        <v>0.21330719557250019</v>
      </c>
      <c r="L52" s="136">
        <f>IFERROR(L53/L51,"")</f>
        <v>0.12493203487673156</v>
      </c>
      <c r="M52" s="136">
        <f>IFERROR(M53/M51,"")</f>
        <v>0.25308872002348076</v>
      </c>
      <c r="N52" s="65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</row>
    <row r="53" spans="1:30" ht="13" x14ac:dyDescent="0.15">
      <c r="A53" s="46"/>
      <c r="B53" s="46"/>
      <c r="C53" s="130" t="s">
        <v>16</v>
      </c>
      <c r="D53" s="65"/>
      <c r="E53" s="131">
        <f>SUM(K53:M53)</f>
        <v>16479447.234133992</v>
      </c>
      <c r="F53" s="132"/>
      <c r="G53" s="172">
        <v>20591766.010825407</v>
      </c>
      <c r="H53" s="172"/>
      <c r="I53" s="126">
        <f t="shared" si="1"/>
        <v>-0.19970694958992374</v>
      </c>
      <c r="J53" s="65"/>
      <c r="K53" s="125">
        <f>'Flow-through'!S5</f>
        <v>5681445.5462366454</v>
      </c>
      <c r="L53" s="125">
        <f>'Flow-through'!T5</f>
        <v>4112225.1188114295</v>
      </c>
      <c r="M53" s="125">
        <f>'Flow-through'!U5</f>
        <v>6685776.5690859174</v>
      </c>
      <c r="N53" s="65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</row>
    <row r="54" spans="1:30" ht="13" x14ac:dyDescent="0.15">
      <c r="A54" s="46"/>
      <c r="B54" s="46"/>
      <c r="C54" s="144" t="s">
        <v>45</v>
      </c>
      <c r="D54" s="65"/>
      <c r="E54" s="145">
        <f>SUM(K54:M54)</f>
        <v>58000</v>
      </c>
      <c r="F54" s="146"/>
      <c r="G54" s="171">
        <v>59081.88118021952</v>
      </c>
      <c r="H54" s="171"/>
      <c r="I54" s="123">
        <f t="shared" si="1"/>
        <v>-1.8311556074516622E-2</v>
      </c>
      <c r="J54" s="65"/>
      <c r="K54" s="147">
        <f>CHOOSE(Dropdowns!C$16,Impact!V13,Impact!V14,Impact!V15)</f>
        <v>0</v>
      </c>
      <c r="L54" s="147">
        <f>CHOOSE(Dropdowns!D$16,Impact!W13,Impact!W14,Impact!W15)</f>
        <v>15000</v>
      </c>
      <c r="M54" s="147">
        <f>CHOOSE(Dropdowns!E$16,Impact!X13,Impact!X14,Impact!X15)</f>
        <v>43000</v>
      </c>
      <c r="N54" s="65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</row>
    <row r="55" spans="1:30" ht="13" x14ac:dyDescent="0.15">
      <c r="A55" s="46"/>
      <c r="B55" s="46"/>
      <c r="C55" s="130" t="s">
        <v>112</v>
      </c>
      <c r="D55" s="65"/>
      <c r="E55" s="131">
        <f>SUM(K55:M55)</f>
        <v>16421447.234133992</v>
      </c>
      <c r="F55" s="132"/>
      <c r="G55" s="172">
        <v>20434493.651348129</v>
      </c>
      <c r="H55" s="172"/>
      <c r="I55" s="126">
        <f t="shared" si="1"/>
        <v>-0.19638589953264551</v>
      </c>
      <c r="J55" s="65"/>
      <c r="K55" s="125">
        <f>K53-K54</f>
        <v>5681445.5462366454</v>
      </c>
      <c r="L55" s="125">
        <f>L53-L54</f>
        <v>4097225.1188114295</v>
      </c>
      <c r="M55" s="125">
        <f>M53-M54</f>
        <v>6642776.5690859174</v>
      </c>
      <c r="N55" s="65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</row>
    <row r="56" spans="1:30" ht="3.5" customHeight="1" x14ac:dyDescent="0.15">
      <c r="A56" s="7"/>
      <c r="B56" s="7"/>
      <c r="C56" s="65"/>
      <c r="D56" s="65"/>
      <c r="E56" s="65"/>
      <c r="F56" s="65"/>
      <c r="G56" s="65"/>
      <c r="H56" s="153"/>
      <c r="I56" s="140"/>
      <c r="J56" s="65"/>
      <c r="K56" s="65"/>
      <c r="L56" s="65"/>
      <c r="M56" s="65"/>
      <c r="N56" s="65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</row>
    <row r="57" spans="1:30" ht="13" x14ac:dyDescent="0.15">
      <c r="A57" s="46"/>
      <c r="B57" s="46"/>
      <c r="C57" s="144" t="s">
        <v>121</v>
      </c>
      <c r="D57" s="65"/>
      <c r="E57" s="147">
        <f>M57</f>
        <v>3666952.450652211</v>
      </c>
      <c r="F57" s="154"/>
      <c r="G57" s="171">
        <v>3987332.3965887208</v>
      </c>
      <c r="H57" s="171"/>
      <c r="I57" s="123">
        <f>-(E57/G57-1)</f>
        <v>8.0349445210688764E-2</v>
      </c>
      <c r="J57" s="65"/>
      <c r="K57" s="125">
        <f>'Flow-through'!X5</f>
        <v>8023155</v>
      </c>
      <c r="L57" s="147">
        <f>'Flow-through'!Y5</f>
        <v>6260817.7064380031</v>
      </c>
      <c r="M57" s="147">
        <f>'Flow-through'!Z5</f>
        <v>3666952.450652211</v>
      </c>
      <c r="N57" s="65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</row>
    <row r="58" spans="1:30" ht="13" x14ac:dyDescent="0.15">
      <c r="A58" s="46"/>
      <c r="B58" s="46"/>
      <c r="C58" s="144" t="s">
        <v>122</v>
      </c>
      <c r="D58" s="65"/>
      <c r="E58" s="122">
        <f>M58</f>
        <v>2040736.994481981</v>
      </c>
      <c r="F58" s="146"/>
      <c r="G58" s="171">
        <v>2275106.0435322332</v>
      </c>
      <c r="H58" s="171"/>
      <c r="I58" s="123">
        <f>-(E58/G58-1)</f>
        <v>0.10301456044940249</v>
      </c>
      <c r="J58" s="65"/>
      <c r="K58" s="122">
        <f>'Flow-through'!Y5</f>
        <v>6260817.7064380031</v>
      </c>
      <c r="L58" s="122">
        <f>'Flow-through'!Z5</f>
        <v>3666952.450652211</v>
      </c>
      <c r="M58" s="125">
        <f>'Flow-through'!AA5</f>
        <v>2040736.994481981</v>
      </c>
      <c r="N58" s="65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</row>
    <row r="59" spans="1:30" ht="3.5" customHeight="1" x14ac:dyDescent="0.15">
      <c r="A59" s="7"/>
      <c r="B59" s="7"/>
      <c r="C59" s="65"/>
      <c r="D59" s="65"/>
      <c r="E59" s="65"/>
      <c r="F59" s="65"/>
      <c r="G59" s="65"/>
      <c r="H59" s="153"/>
      <c r="I59" s="140"/>
      <c r="J59" s="65"/>
      <c r="K59" s="65"/>
      <c r="L59" s="65"/>
      <c r="M59" s="65"/>
      <c r="N59" s="65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</row>
    <row r="60" spans="1:30" ht="13" x14ac:dyDescent="0.15">
      <c r="A60" s="46"/>
      <c r="B60" s="46"/>
      <c r="C60" s="133" t="s">
        <v>125</v>
      </c>
      <c r="D60" s="65"/>
      <c r="E60" s="141">
        <f>M60</f>
        <v>11.115151855643008</v>
      </c>
      <c r="F60" s="142"/>
      <c r="G60" s="169">
        <v>11.081522030561665</v>
      </c>
      <c r="H60" s="169"/>
      <c r="I60" s="123">
        <f t="shared" si="1"/>
        <v>3.034765891237301E-3</v>
      </c>
      <c r="J60" s="65"/>
      <c r="K60" s="143">
        <f>K63/K57</f>
        <v>11.281821168938546</v>
      </c>
      <c r="L60" s="143">
        <f>L63/L57</f>
        <v>11.110722174883968</v>
      </c>
      <c r="M60" s="143">
        <f>M63/M57</f>
        <v>11.115151855643008</v>
      </c>
      <c r="N60" s="65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spans="1:30" ht="13" x14ac:dyDescent="0.15">
      <c r="A61" s="46"/>
      <c r="B61" s="46"/>
      <c r="C61" s="133" t="s">
        <v>126</v>
      </c>
      <c r="D61" s="65"/>
      <c r="E61" s="141">
        <f>M61</f>
        <v>6.765138446498062</v>
      </c>
      <c r="F61" s="142"/>
      <c r="G61" s="169">
        <v>6.9762836530227084</v>
      </c>
      <c r="H61" s="169"/>
      <c r="I61" s="123">
        <f t="shared" si="1"/>
        <v>-3.0266144128638039E-2</v>
      </c>
      <c r="J61" s="65"/>
      <c r="K61" s="143">
        <f>K65/K58</f>
        <v>7.8791739217845516</v>
      </c>
      <c r="L61" s="143">
        <f>L65/L58</f>
        <v>7.7762954687651824</v>
      </c>
      <c r="M61" s="143">
        <f>M65/M58</f>
        <v>6.765138446498062</v>
      </c>
      <c r="N61" s="65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</row>
    <row r="62" spans="1:30" ht="3.5" customHeight="1" x14ac:dyDescent="0.15">
      <c r="A62" s="7"/>
      <c r="B62" s="7"/>
      <c r="C62" s="65"/>
      <c r="D62" s="65"/>
      <c r="E62" s="155"/>
      <c r="F62" s="155"/>
      <c r="G62" s="65"/>
      <c r="H62" s="153"/>
      <c r="I62" s="140"/>
      <c r="J62" s="65"/>
      <c r="K62" s="65"/>
      <c r="L62" s="65"/>
      <c r="M62" s="65"/>
      <c r="N62" s="65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</row>
    <row r="63" spans="1:30" ht="13" x14ac:dyDescent="0.15">
      <c r="C63" s="144" t="s">
        <v>124</v>
      </c>
      <c r="D63" s="65"/>
      <c r="E63" s="147">
        <f>M63</f>
        <v>40758733.336421601</v>
      </c>
      <c r="F63" s="154"/>
      <c r="G63" s="171">
        <v>44844828.383802205</v>
      </c>
      <c r="H63" s="171"/>
      <c r="I63" s="123">
        <f>(E63/G63-1)*-1</f>
        <v>9.1116304703185991E-2</v>
      </c>
      <c r="J63" s="65"/>
      <c r="K63" s="147">
        <f>'Flow-through'!AC5</f>
        <v>90515799.920675144</v>
      </c>
      <c r="L63" s="147">
        <f>'Flow-through'!AD5</f>
        <v>69562206.123826906</v>
      </c>
      <c r="M63" s="147">
        <f>'Flow-through'!AE5</f>
        <v>40758733.336421601</v>
      </c>
      <c r="N63" s="65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</row>
    <row r="64" spans="1:30" ht="13" x14ac:dyDescent="0.15">
      <c r="C64" s="144" t="s">
        <v>128</v>
      </c>
      <c r="D64" s="65"/>
      <c r="E64" s="147">
        <f>M64</f>
        <v>21027779.169876039</v>
      </c>
      <c r="F64" s="154"/>
      <c r="G64" s="171">
        <v>22805859.511242237</v>
      </c>
      <c r="H64" s="171"/>
      <c r="I64" s="123">
        <f>(E64/G64-1)*-1</f>
        <v>7.7965942940659061E-2</v>
      </c>
      <c r="J64" s="65"/>
      <c r="K64" s="147">
        <f>'Flow-through'!AD5</f>
        <v>69562206.123826906</v>
      </c>
      <c r="L64" s="147">
        <f>'Flow-through'!AE5</f>
        <v>40758733.336421601</v>
      </c>
      <c r="M64" s="147">
        <f>'Flow-through'!AF5</f>
        <v>21027779.169876039</v>
      </c>
      <c r="N64" s="65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</row>
    <row r="65" spans="3:30" ht="26" x14ac:dyDescent="0.15">
      <c r="C65" s="144" t="s">
        <v>123</v>
      </c>
      <c r="D65" s="65"/>
      <c r="E65" s="147">
        <f>M65</f>
        <v>13805868.300560953</v>
      </c>
      <c r="F65" s="154"/>
      <c r="G65" s="171">
        <v>15422672.888586909</v>
      </c>
      <c r="H65" s="171"/>
      <c r="I65" s="123">
        <f>(E65/G65-1)*-1</f>
        <v>0.10483296894810135</v>
      </c>
      <c r="J65" s="65"/>
      <c r="K65" s="147">
        <f>'Flow-through'!AI5</f>
        <v>49330071.601613283</v>
      </c>
      <c r="L65" s="147">
        <f>'Flow-through'!AJ5</f>
        <v>28515305.726184171</v>
      </c>
      <c r="M65" s="147">
        <f>'Flow-through'!AK5</f>
        <v>13805868.300560953</v>
      </c>
      <c r="N65" s="65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</row>
    <row r="66" spans="3:30" ht="13" x14ac:dyDescent="0.15">
      <c r="C66" s="144" t="s">
        <v>130</v>
      </c>
      <c r="D66" s="65"/>
      <c r="E66" s="147">
        <f>'Flow-through'!AS5</f>
        <v>6975412.1420634994</v>
      </c>
      <c r="F66" s="154"/>
      <c r="G66" s="171">
        <v>7944296.7654645164</v>
      </c>
      <c r="H66" s="171"/>
      <c r="I66" s="123">
        <f>(E66/G66-1)*-1</f>
        <v>0.12195977214911669</v>
      </c>
      <c r="J66" s="65"/>
      <c r="K66" s="156">
        <f>K65-K67</f>
        <v>29097937.07939966</v>
      </c>
      <c r="L66" s="156">
        <f>L65-L67</f>
        <v>16271878.11594674</v>
      </c>
      <c r="M66" s="156">
        <f>M65-M67</f>
        <v>6583957.4312458672</v>
      </c>
      <c r="N66" s="65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</row>
    <row r="67" spans="3:30" ht="13" x14ac:dyDescent="0.15">
      <c r="C67" s="130" t="s">
        <v>129</v>
      </c>
      <c r="D67" s="65"/>
      <c r="E67" s="157">
        <f>Results!M5</f>
        <v>6830456.1584974565</v>
      </c>
      <c r="F67" s="132"/>
      <c r="G67" s="172">
        <v>7863787.3333632909</v>
      </c>
      <c r="H67" s="172"/>
      <c r="I67" s="126">
        <f>(E67/G67-1)*-1</f>
        <v>0.13140375382250902</v>
      </c>
      <c r="J67" s="65"/>
      <c r="K67" s="158">
        <f>K64-K65</f>
        <v>20232134.522213623</v>
      </c>
      <c r="L67" s="158">
        <f>L64-L65</f>
        <v>12243427.610237431</v>
      </c>
      <c r="M67" s="158">
        <f>M64-M65</f>
        <v>7221910.8693150859</v>
      </c>
      <c r="N67" s="65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</row>
    <row r="68" spans="3:30" x14ac:dyDescent="0.15">
      <c r="E68" s="60" t="b">
        <f>E67=E65-E66</f>
        <v>0</v>
      </c>
      <c r="F68" s="52"/>
      <c r="H68" s="52"/>
    </row>
    <row r="69" spans="3:30" s="119" customFormat="1" x14ac:dyDescent="0.15">
      <c r="E69" s="159"/>
      <c r="F69" s="159"/>
      <c r="G69" s="159"/>
      <c r="H69" s="159"/>
      <c r="I69" s="159"/>
    </row>
    <row r="70" spans="3:30" s="119" customFormat="1" x14ac:dyDescent="0.15"/>
    <row r="71" spans="3:30" s="119" customFormat="1" x14ac:dyDescent="0.15"/>
    <row r="72" spans="3:30" s="119" customFormat="1" x14ac:dyDescent="0.15"/>
    <row r="73" spans="3:30" s="119" customFormat="1" x14ac:dyDescent="0.15"/>
    <row r="74" spans="3:30" s="119" customFormat="1" x14ac:dyDescent="0.15"/>
    <row r="75" spans="3:30" s="119" customFormat="1" x14ac:dyDescent="0.15"/>
    <row r="76" spans="3:30" s="119" customFormat="1" x14ac:dyDescent="0.15"/>
    <row r="77" spans="3:30" s="119" customFormat="1" x14ac:dyDescent="0.15"/>
    <row r="78" spans="3:30" s="119" customFormat="1" x14ac:dyDescent="0.15"/>
    <row r="79" spans="3:30" s="119" customFormat="1" x14ac:dyDescent="0.15"/>
    <row r="80" spans="3:30" s="119" customFormat="1" x14ac:dyDescent="0.15"/>
    <row r="81" s="119" customFormat="1" x14ac:dyDescent="0.15"/>
    <row r="82" s="119" customFormat="1" x14ac:dyDescent="0.15"/>
    <row r="83" s="119" customFormat="1" x14ac:dyDescent="0.15"/>
    <row r="84" s="119" customFormat="1" x14ac:dyDescent="0.15"/>
    <row r="85" s="119" customFormat="1" x14ac:dyDescent="0.15"/>
    <row r="86" s="119" customFormat="1" x14ac:dyDescent="0.15"/>
    <row r="87" s="119" customFormat="1" x14ac:dyDescent="0.15"/>
    <row r="88" s="119" customFormat="1" x14ac:dyDescent="0.15"/>
    <row r="89" s="119" customFormat="1" x14ac:dyDescent="0.15"/>
    <row r="90" s="119" customFormat="1" x14ac:dyDescent="0.15"/>
    <row r="91" s="119" customFormat="1" x14ac:dyDescent="0.15"/>
    <row r="92" s="119" customFormat="1" x14ac:dyDescent="0.15"/>
    <row r="93" s="119" customFormat="1" x14ac:dyDescent="0.15"/>
    <row r="94" s="119" customFormat="1" x14ac:dyDescent="0.15"/>
    <row r="95" s="119" customFormat="1" x14ac:dyDescent="0.15"/>
    <row r="96" s="119" customFormat="1" x14ac:dyDescent="0.15"/>
    <row r="97" s="119" customFormat="1" x14ac:dyDescent="0.15"/>
    <row r="98" s="119" customFormat="1" x14ac:dyDescent="0.15"/>
    <row r="99" s="119" customFormat="1" x14ac:dyDescent="0.15"/>
    <row r="100" s="119" customFormat="1" x14ac:dyDescent="0.15"/>
    <row r="101" s="119" customFormat="1" x14ac:dyDescent="0.15"/>
    <row r="102" s="119" customFormat="1" x14ac:dyDescent="0.15"/>
    <row r="103" s="119" customFormat="1" x14ac:dyDescent="0.15"/>
    <row r="104" s="119" customFormat="1" x14ac:dyDescent="0.15"/>
    <row r="105" s="119" customFormat="1" x14ac:dyDescent="0.15"/>
    <row r="106" s="119" customFormat="1" x14ac:dyDescent="0.15"/>
    <row r="107" s="119" customFormat="1" x14ac:dyDescent="0.15"/>
    <row r="108" s="119" customFormat="1" x14ac:dyDescent="0.15"/>
    <row r="109" s="119" customFormat="1" x14ac:dyDescent="0.15"/>
    <row r="110" s="119" customFormat="1" x14ac:dyDescent="0.15"/>
    <row r="111" s="119" customFormat="1" x14ac:dyDescent="0.15"/>
    <row r="112" s="119" customFormat="1" x14ac:dyDescent="0.15"/>
    <row r="113" s="119" customFormat="1" x14ac:dyDescent="0.15"/>
    <row r="114" s="119" customFormat="1" x14ac:dyDescent="0.15"/>
    <row r="115" s="119" customFormat="1" x14ac:dyDescent="0.15"/>
    <row r="116" s="119" customFormat="1" x14ac:dyDescent="0.15"/>
    <row r="117" s="119" customFormat="1" x14ac:dyDescent="0.15"/>
    <row r="118" s="119" customFormat="1" x14ac:dyDescent="0.15"/>
    <row r="119" s="119" customFormat="1" x14ac:dyDescent="0.15"/>
    <row r="120" s="119" customFormat="1" x14ac:dyDescent="0.15"/>
    <row r="121" s="119" customFormat="1" x14ac:dyDescent="0.15"/>
    <row r="122" s="119" customFormat="1" x14ac:dyDescent="0.15"/>
    <row r="123" s="119" customFormat="1" x14ac:dyDescent="0.15"/>
    <row r="124" s="119" customFormat="1" x14ac:dyDescent="0.15"/>
    <row r="125" s="119" customFormat="1" x14ac:dyDescent="0.15"/>
    <row r="126" s="119" customFormat="1" x14ac:dyDescent="0.15"/>
    <row r="127" s="119" customFormat="1" x14ac:dyDescent="0.15"/>
    <row r="128" s="119" customFormat="1" x14ac:dyDescent="0.15"/>
    <row r="129" s="119" customFormat="1" x14ac:dyDescent="0.15"/>
    <row r="130" s="119" customFormat="1" x14ac:dyDescent="0.15"/>
    <row r="131" s="119" customFormat="1" x14ac:dyDescent="0.15"/>
    <row r="132" s="119" customFormat="1" x14ac:dyDescent="0.15"/>
    <row r="133" s="119" customFormat="1" x14ac:dyDescent="0.15"/>
    <row r="134" s="119" customFormat="1" x14ac:dyDescent="0.15"/>
    <row r="135" s="119" customFormat="1" x14ac:dyDescent="0.15"/>
    <row r="136" s="119" customFormat="1" x14ac:dyDescent="0.15"/>
    <row r="137" s="119" customFormat="1" x14ac:dyDescent="0.15"/>
    <row r="138" s="119" customFormat="1" x14ac:dyDescent="0.15"/>
    <row r="139" s="119" customFormat="1" x14ac:dyDescent="0.15"/>
    <row r="140" s="119" customFormat="1" x14ac:dyDescent="0.15"/>
    <row r="141" s="119" customFormat="1" x14ac:dyDescent="0.15"/>
    <row r="142" s="119" customFormat="1" x14ac:dyDescent="0.15"/>
    <row r="143" s="119" customFormat="1" x14ac:dyDescent="0.15"/>
    <row r="144" s="119" customFormat="1" x14ac:dyDescent="0.15"/>
    <row r="145" s="119" customFormat="1" x14ac:dyDescent="0.15"/>
    <row r="146" s="119" customFormat="1" x14ac:dyDescent="0.15"/>
    <row r="147" s="119" customFormat="1" x14ac:dyDescent="0.15"/>
    <row r="148" s="119" customFormat="1" x14ac:dyDescent="0.15"/>
    <row r="149" s="119" customFormat="1" x14ac:dyDescent="0.15"/>
    <row r="150" s="119" customFormat="1" x14ac:dyDescent="0.15"/>
    <row r="151" s="119" customFormat="1" x14ac:dyDescent="0.15"/>
    <row r="152" s="119" customFormat="1" x14ac:dyDescent="0.15"/>
    <row r="153" s="119" customFormat="1" x14ac:dyDescent="0.15"/>
    <row r="154" s="119" customFormat="1" x14ac:dyDescent="0.15"/>
    <row r="155" s="119" customFormat="1" x14ac:dyDescent="0.15"/>
    <row r="156" s="119" customFormat="1" x14ac:dyDescent="0.15"/>
    <row r="157" s="119" customFormat="1" x14ac:dyDescent="0.15"/>
    <row r="158" s="119" customFormat="1" x14ac:dyDescent="0.15"/>
    <row r="159" s="119" customFormat="1" x14ac:dyDescent="0.15"/>
    <row r="160" s="119" customFormat="1" x14ac:dyDescent="0.15"/>
    <row r="161" s="119" customFormat="1" x14ac:dyDescent="0.15"/>
    <row r="162" s="119" customFormat="1" x14ac:dyDescent="0.15"/>
    <row r="163" s="119" customFormat="1" x14ac:dyDescent="0.15"/>
    <row r="164" s="119" customFormat="1" x14ac:dyDescent="0.15"/>
    <row r="165" s="119" customFormat="1" x14ac:dyDescent="0.15"/>
    <row r="166" s="119" customFormat="1" x14ac:dyDescent="0.15"/>
    <row r="167" s="119" customFormat="1" x14ac:dyDescent="0.15"/>
    <row r="168" s="119" customFormat="1" x14ac:dyDescent="0.15"/>
    <row r="169" s="119" customFormat="1" x14ac:dyDescent="0.15"/>
    <row r="170" s="119" customFormat="1" x14ac:dyDescent="0.15"/>
    <row r="171" s="119" customFormat="1" x14ac:dyDescent="0.15"/>
    <row r="172" s="119" customFormat="1" x14ac:dyDescent="0.15"/>
    <row r="173" s="119" customFormat="1" x14ac:dyDescent="0.15"/>
    <row r="174" s="119" customFormat="1" x14ac:dyDescent="0.15"/>
    <row r="175" s="119" customFormat="1" x14ac:dyDescent="0.15"/>
    <row r="176" s="119" customFormat="1" x14ac:dyDescent="0.15"/>
    <row r="177" s="119" customFormat="1" x14ac:dyDescent="0.15"/>
    <row r="178" s="119" customFormat="1" x14ac:dyDescent="0.15"/>
    <row r="179" s="119" customFormat="1" x14ac:dyDescent="0.15"/>
    <row r="180" s="119" customFormat="1" x14ac:dyDescent="0.15"/>
    <row r="181" s="119" customFormat="1" x14ac:dyDescent="0.15"/>
    <row r="182" s="119" customFormat="1" x14ac:dyDescent="0.15"/>
    <row r="183" s="119" customFormat="1" x14ac:dyDescent="0.15"/>
    <row r="184" s="119" customFormat="1" x14ac:dyDescent="0.15"/>
    <row r="185" s="119" customFormat="1" x14ac:dyDescent="0.15"/>
    <row r="186" s="119" customFormat="1" x14ac:dyDescent="0.15"/>
    <row r="187" s="119" customFormat="1" x14ac:dyDescent="0.15"/>
    <row r="188" s="119" customFormat="1" x14ac:dyDescent="0.15"/>
    <row r="189" s="119" customFormat="1" x14ac:dyDescent="0.15"/>
    <row r="190" s="119" customFormat="1" x14ac:dyDescent="0.15"/>
    <row r="191" s="119" customFormat="1" x14ac:dyDescent="0.15"/>
    <row r="192" s="119" customFormat="1" x14ac:dyDescent="0.15"/>
    <row r="193" s="119" customFormat="1" x14ac:dyDescent="0.15"/>
    <row r="194" s="119" customFormat="1" x14ac:dyDescent="0.15"/>
    <row r="195" s="119" customFormat="1" x14ac:dyDescent="0.15"/>
    <row r="196" s="119" customFormat="1" x14ac:dyDescent="0.15"/>
    <row r="197" s="119" customFormat="1" x14ac:dyDescent="0.15"/>
    <row r="198" s="119" customFormat="1" x14ac:dyDescent="0.15"/>
    <row r="199" s="119" customFormat="1" x14ac:dyDescent="0.15"/>
    <row r="200" s="119" customFormat="1" x14ac:dyDescent="0.15"/>
    <row r="201" s="119" customFormat="1" x14ac:dyDescent="0.15"/>
    <row r="202" s="119" customFormat="1" x14ac:dyDescent="0.15"/>
    <row r="203" s="119" customFormat="1" x14ac:dyDescent="0.15"/>
    <row r="204" s="119" customFormat="1" x14ac:dyDescent="0.15"/>
    <row r="205" s="119" customFormat="1" x14ac:dyDescent="0.15"/>
    <row r="206" s="119" customFormat="1" x14ac:dyDescent="0.15"/>
    <row r="207" s="119" customFormat="1" x14ac:dyDescent="0.15"/>
    <row r="208" s="119" customFormat="1" x14ac:dyDescent="0.15"/>
    <row r="209" s="119" customFormat="1" x14ac:dyDescent="0.15"/>
    <row r="210" s="119" customFormat="1" x14ac:dyDescent="0.15"/>
    <row r="211" s="119" customFormat="1" x14ac:dyDescent="0.15"/>
    <row r="212" s="119" customFormat="1" x14ac:dyDescent="0.15"/>
    <row r="213" s="119" customFormat="1" x14ac:dyDescent="0.15"/>
    <row r="214" s="119" customFormat="1" x14ac:dyDescent="0.15"/>
    <row r="215" s="119" customFormat="1" x14ac:dyDescent="0.15"/>
    <row r="216" s="119" customFormat="1" x14ac:dyDescent="0.15"/>
    <row r="217" s="119" customFormat="1" x14ac:dyDescent="0.15"/>
    <row r="218" s="119" customFormat="1" x14ac:dyDescent="0.15"/>
    <row r="219" s="119" customFormat="1" x14ac:dyDescent="0.15"/>
    <row r="220" s="119" customFormat="1" x14ac:dyDescent="0.15"/>
    <row r="221" s="119" customFormat="1" x14ac:dyDescent="0.15"/>
    <row r="222" s="119" customFormat="1" x14ac:dyDescent="0.15"/>
    <row r="223" s="119" customFormat="1" x14ac:dyDescent="0.15"/>
    <row r="224" s="119" customFormat="1" x14ac:dyDescent="0.15"/>
    <row r="225" s="119" customFormat="1" x14ac:dyDescent="0.15"/>
    <row r="226" s="119" customFormat="1" x14ac:dyDescent="0.15"/>
    <row r="227" s="119" customFormat="1" x14ac:dyDescent="0.15"/>
    <row r="228" s="119" customFormat="1" x14ac:dyDescent="0.15"/>
    <row r="229" s="119" customFormat="1" x14ac:dyDescent="0.15"/>
    <row r="230" s="119" customFormat="1" x14ac:dyDescent="0.15"/>
    <row r="231" s="119" customFormat="1" x14ac:dyDescent="0.15"/>
    <row r="232" s="119" customFormat="1" x14ac:dyDescent="0.15"/>
    <row r="233" s="119" customFormat="1" x14ac:dyDescent="0.15"/>
    <row r="234" s="119" customFormat="1" x14ac:dyDescent="0.15"/>
    <row r="235" s="119" customFormat="1" x14ac:dyDescent="0.15"/>
    <row r="236" s="119" customFormat="1" x14ac:dyDescent="0.15"/>
    <row r="237" s="119" customFormat="1" x14ac:dyDescent="0.15"/>
    <row r="238" s="119" customFormat="1" x14ac:dyDescent="0.15"/>
    <row r="239" s="119" customFormat="1" x14ac:dyDescent="0.15"/>
    <row r="240" s="119" customFormat="1" x14ac:dyDescent="0.15"/>
    <row r="241" s="119" customFormat="1" x14ac:dyDescent="0.15"/>
    <row r="242" s="119" customFormat="1" x14ac:dyDescent="0.15"/>
    <row r="243" s="119" customFormat="1" x14ac:dyDescent="0.15"/>
    <row r="244" s="119" customFormat="1" x14ac:dyDescent="0.15"/>
    <row r="245" s="119" customFormat="1" x14ac:dyDescent="0.15"/>
    <row r="246" s="119" customFormat="1" x14ac:dyDescent="0.15"/>
    <row r="247" s="119" customFormat="1" x14ac:dyDescent="0.15"/>
    <row r="248" s="119" customFormat="1" x14ac:dyDescent="0.15"/>
    <row r="249" s="119" customFormat="1" x14ac:dyDescent="0.15"/>
    <row r="250" s="119" customFormat="1" x14ac:dyDescent="0.15"/>
    <row r="251" s="119" customFormat="1" x14ac:dyDescent="0.15"/>
    <row r="252" s="119" customFormat="1" x14ac:dyDescent="0.15"/>
    <row r="253" s="119" customFormat="1" x14ac:dyDescent="0.15"/>
    <row r="254" s="119" customFormat="1" x14ac:dyDescent="0.15"/>
    <row r="255" s="119" customFormat="1" x14ac:dyDescent="0.15"/>
    <row r="256" s="119" customFormat="1" x14ac:dyDescent="0.15"/>
    <row r="257" s="119" customFormat="1" x14ac:dyDescent="0.15"/>
    <row r="258" s="119" customFormat="1" x14ac:dyDescent="0.15"/>
    <row r="259" s="119" customFormat="1" x14ac:dyDescent="0.15"/>
    <row r="260" s="119" customFormat="1" x14ac:dyDescent="0.15"/>
    <row r="261" s="119" customFormat="1" x14ac:dyDescent="0.15"/>
    <row r="262" s="119" customFormat="1" x14ac:dyDescent="0.15"/>
    <row r="263" s="119" customFormat="1" x14ac:dyDescent="0.15"/>
    <row r="264" s="119" customFormat="1" x14ac:dyDescent="0.15"/>
    <row r="265" s="119" customFormat="1" x14ac:dyDescent="0.15"/>
    <row r="266" s="119" customFormat="1" x14ac:dyDescent="0.15"/>
    <row r="267" s="119" customFormat="1" x14ac:dyDescent="0.15"/>
    <row r="268" s="119" customFormat="1" x14ac:dyDescent="0.15"/>
    <row r="269" s="119" customFormat="1" x14ac:dyDescent="0.15"/>
    <row r="270" s="119" customFormat="1" x14ac:dyDescent="0.15"/>
    <row r="271" s="119" customFormat="1" x14ac:dyDescent="0.15"/>
    <row r="272" s="119" customFormat="1" x14ac:dyDescent="0.15"/>
    <row r="273" s="119" customFormat="1" x14ac:dyDescent="0.15"/>
    <row r="274" s="119" customFormat="1" x14ac:dyDescent="0.15"/>
    <row r="275" s="119" customFormat="1" x14ac:dyDescent="0.15"/>
    <row r="276" s="119" customFormat="1" x14ac:dyDescent="0.15"/>
    <row r="277" s="119" customFormat="1" x14ac:dyDescent="0.15"/>
    <row r="278" s="119" customFormat="1" x14ac:dyDescent="0.15"/>
    <row r="279" s="119" customFormat="1" x14ac:dyDescent="0.15"/>
    <row r="280" s="119" customFormat="1" x14ac:dyDescent="0.15"/>
    <row r="281" s="119" customFormat="1" x14ac:dyDescent="0.15"/>
    <row r="282" s="119" customFormat="1" x14ac:dyDescent="0.15"/>
    <row r="283" s="119" customFormat="1" x14ac:dyDescent="0.15"/>
    <row r="284" s="119" customFormat="1" x14ac:dyDescent="0.15"/>
    <row r="285" s="119" customFormat="1" x14ac:dyDescent="0.15"/>
    <row r="286" s="119" customFormat="1" x14ac:dyDescent="0.15"/>
    <row r="287" s="119" customFormat="1" x14ac:dyDescent="0.15"/>
    <row r="288" s="119" customFormat="1" x14ac:dyDescent="0.15"/>
    <row r="289" s="119" customFormat="1" x14ac:dyDescent="0.15"/>
    <row r="290" s="119" customFormat="1" x14ac:dyDescent="0.15"/>
    <row r="291" s="119" customFormat="1" x14ac:dyDescent="0.15"/>
    <row r="292" s="119" customFormat="1" x14ac:dyDescent="0.15"/>
    <row r="293" s="119" customFormat="1" x14ac:dyDescent="0.15"/>
    <row r="294" s="119" customFormat="1" x14ac:dyDescent="0.15"/>
    <row r="295" s="119" customFormat="1" x14ac:dyDescent="0.15"/>
    <row r="296" s="119" customFormat="1" x14ac:dyDescent="0.15"/>
    <row r="297" s="119" customFormat="1" x14ac:dyDescent="0.15"/>
    <row r="298" s="119" customFormat="1" x14ac:dyDescent="0.15"/>
    <row r="299" s="119" customFormat="1" x14ac:dyDescent="0.15"/>
    <row r="300" s="119" customFormat="1" x14ac:dyDescent="0.15"/>
    <row r="301" s="119" customFormat="1" x14ac:dyDescent="0.15"/>
    <row r="302" s="119" customFormat="1" x14ac:dyDescent="0.15"/>
    <row r="303" s="119" customFormat="1" x14ac:dyDescent="0.15"/>
    <row r="304" s="119" customFormat="1" x14ac:dyDescent="0.15"/>
    <row r="305" s="119" customFormat="1" x14ac:dyDescent="0.15"/>
    <row r="306" s="119" customFormat="1" x14ac:dyDescent="0.15"/>
    <row r="307" s="119" customFormat="1" x14ac:dyDescent="0.15"/>
    <row r="308" s="119" customFormat="1" x14ac:dyDescent="0.15"/>
    <row r="309" s="119" customFormat="1" x14ac:dyDescent="0.15"/>
    <row r="310" s="119" customFormat="1" x14ac:dyDescent="0.15"/>
    <row r="311" s="119" customFormat="1" x14ac:dyDescent="0.15"/>
    <row r="312" s="119" customFormat="1" x14ac:dyDescent="0.15"/>
    <row r="313" s="119" customFormat="1" x14ac:dyDescent="0.15"/>
    <row r="314" s="119" customFormat="1" x14ac:dyDescent="0.15"/>
    <row r="315" s="119" customFormat="1" x14ac:dyDescent="0.15"/>
    <row r="316" s="119" customFormat="1" x14ac:dyDescent="0.15"/>
    <row r="317" s="119" customFormat="1" x14ac:dyDescent="0.15"/>
    <row r="318" s="119" customFormat="1" x14ac:dyDescent="0.15"/>
    <row r="319" s="119" customFormat="1" x14ac:dyDescent="0.15"/>
    <row r="320" s="119" customFormat="1" x14ac:dyDescent="0.15"/>
    <row r="321" s="119" customFormat="1" x14ac:dyDescent="0.15"/>
    <row r="322" s="119" customFormat="1" x14ac:dyDescent="0.15"/>
    <row r="323" s="119" customFormat="1" x14ac:dyDescent="0.15"/>
    <row r="324" s="119" customFormat="1" x14ac:dyDescent="0.15"/>
    <row r="325" s="119" customFormat="1" x14ac:dyDescent="0.15"/>
    <row r="326" s="119" customFormat="1" x14ac:dyDescent="0.15"/>
    <row r="327" s="119" customFormat="1" x14ac:dyDescent="0.15"/>
    <row r="328" s="119" customFormat="1" x14ac:dyDescent="0.15"/>
    <row r="329" s="119" customFormat="1" x14ac:dyDescent="0.15"/>
    <row r="330" s="119" customFormat="1" x14ac:dyDescent="0.15"/>
    <row r="331" s="119" customFormat="1" x14ac:dyDescent="0.15"/>
    <row r="332" s="119" customFormat="1" x14ac:dyDescent="0.15"/>
    <row r="333" s="119" customFormat="1" x14ac:dyDescent="0.15"/>
    <row r="334" s="119" customFormat="1" x14ac:dyDescent="0.15"/>
    <row r="335" s="119" customFormat="1" x14ac:dyDescent="0.15"/>
    <row r="336" s="119" customFormat="1" x14ac:dyDescent="0.15"/>
    <row r="337" s="119" customFormat="1" x14ac:dyDescent="0.15"/>
    <row r="338" s="119" customFormat="1" x14ac:dyDescent="0.15"/>
    <row r="339" s="119" customFormat="1" x14ac:dyDescent="0.15"/>
    <row r="340" s="119" customFormat="1" x14ac:dyDescent="0.15"/>
    <row r="341" s="119" customFormat="1" x14ac:dyDescent="0.15"/>
    <row r="342" s="119" customFormat="1" x14ac:dyDescent="0.15"/>
    <row r="343" s="119" customFormat="1" x14ac:dyDescent="0.15"/>
    <row r="344" s="119" customFormat="1" x14ac:dyDescent="0.15"/>
    <row r="345" s="119" customFormat="1" x14ac:dyDescent="0.15"/>
    <row r="346" s="119" customFormat="1" x14ac:dyDescent="0.15"/>
    <row r="347" s="119" customFormat="1" x14ac:dyDescent="0.15"/>
    <row r="348" s="119" customFormat="1" x14ac:dyDescent="0.15"/>
    <row r="349" s="119" customFormat="1" x14ac:dyDescent="0.15"/>
    <row r="350" s="119" customFormat="1" x14ac:dyDescent="0.15"/>
    <row r="351" s="119" customFormat="1" x14ac:dyDescent="0.15"/>
    <row r="352" s="119" customFormat="1" x14ac:dyDescent="0.15"/>
    <row r="353" s="119" customFormat="1" x14ac:dyDescent="0.15"/>
    <row r="354" s="119" customFormat="1" x14ac:dyDescent="0.15"/>
    <row r="355" s="119" customFormat="1" x14ac:dyDescent="0.15"/>
    <row r="356" s="119" customFormat="1" x14ac:dyDescent="0.15"/>
    <row r="357" s="119" customFormat="1" x14ac:dyDescent="0.15"/>
    <row r="358" s="119" customFormat="1" x14ac:dyDescent="0.15"/>
    <row r="359" s="119" customFormat="1" x14ac:dyDescent="0.15"/>
    <row r="360" s="119" customFormat="1" x14ac:dyDescent="0.15"/>
    <row r="361" s="119" customFormat="1" x14ac:dyDescent="0.15"/>
    <row r="362" s="119" customFormat="1" x14ac:dyDescent="0.15"/>
    <row r="363" s="119" customFormat="1" x14ac:dyDescent="0.15"/>
    <row r="364" s="119" customFormat="1" x14ac:dyDescent="0.15"/>
    <row r="365" s="119" customFormat="1" x14ac:dyDescent="0.15"/>
    <row r="366" s="119" customFormat="1" x14ac:dyDescent="0.15"/>
    <row r="367" s="119" customFormat="1" x14ac:dyDescent="0.15"/>
    <row r="368" s="119" customFormat="1" x14ac:dyDescent="0.15"/>
    <row r="369" s="119" customFormat="1" x14ac:dyDescent="0.15"/>
    <row r="370" s="119" customFormat="1" x14ac:dyDescent="0.15"/>
    <row r="371" s="119" customFormat="1" x14ac:dyDescent="0.15"/>
    <row r="372" s="119" customFormat="1" x14ac:dyDescent="0.15"/>
    <row r="373" s="119" customFormat="1" x14ac:dyDescent="0.15"/>
    <row r="374" s="119" customFormat="1" x14ac:dyDescent="0.15"/>
    <row r="375" s="119" customFormat="1" x14ac:dyDescent="0.15"/>
    <row r="376" s="119" customFormat="1" x14ac:dyDescent="0.15"/>
    <row r="377" s="119" customFormat="1" x14ac:dyDescent="0.15"/>
    <row r="378" s="119" customFormat="1" x14ac:dyDescent="0.15"/>
    <row r="379" s="119" customFormat="1" x14ac:dyDescent="0.15"/>
    <row r="380" s="119" customFormat="1" x14ac:dyDescent="0.15"/>
    <row r="381" s="119" customFormat="1" x14ac:dyDescent="0.15"/>
    <row r="382" s="119" customFormat="1" x14ac:dyDescent="0.15"/>
    <row r="383" s="119" customFormat="1" x14ac:dyDescent="0.15"/>
    <row r="384" s="119" customFormat="1" x14ac:dyDescent="0.15"/>
    <row r="385" s="119" customFormat="1" x14ac:dyDescent="0.15"/>
    <row r="386" s="119" customFormat="1" x14ac:dyDescent="0.15"/>
    <row r="387" s="119" customFormat="1" x14ac:dyDescent="0.15"/>
    <row r="388" s="119" customFormat="1" x14ac:dyDescent="0.15"/>
    <row r="389" s="119" customFormat="1" x14ac:dyDescent="0.15"/>
    <row r="390" s="119" customFormat="1" x14ac:dyDescent="0.15"/>
    <row r="391" s="119" customFormat="1" x14ac:dyDescent="0.15"/>
    <row r="392" s="119" customFormat="1" x14ac:dyDescent="0.15"/>
    <row r="393" s="119" customFormat="1" x14ac:dyDescent="0.15"/>
    <row r="394" s="119" customFormat="1" x14ac:dyDescent="0.15"/>
    <row r="395" s="119" customFormat="1" x14ac:dyDescent="0.15"/>
    <row r="396" s="119" customFormat="1" x14ac:dyDescent="0.15"/>
    <row r="397" s="119" customFormat="1" x14ac:dyDescent="0.15"/>
    <row r="398" s="119" customFormat="1" x14ac:dyDescent="0.15"/>
    <row r="399" s="119" customFormat="1" x14ac:dyDescent="0.15"/>
    <row r="400" s="119" customFormat="1" x14ac:dyDescent="0.15"/>
    <row r="401" s="119" customFormat="1" x14ac:dyDescent="0.15"/>
    <row r="402" s="119" customFormat="1" x14ac:dyDescent="0.15"/>
    <row r="403" s="119" customFormat="1" x14ac:dyDescent="0.15"/>
    <row r="404" s="119" customFormat="1" x14ac:dyDescent="0.15"/>
    <row r="405" s="119" customFormat="1" x14ac:dyDescent="0.15"/>
    <row r="406" s="119" customFormat="1" x14ac:dyDescent="0.15"/>
    <row r="407" s="119" customFormat="1" x14ac:dyDescent="0.15"/>
    <row r="408" s="119" customFormat="1" x14ac:dyDescent="0.15"/>
    <row r="409" s="119" customFormat="1" x14ac:dyDescent="0.15"/>
    <row r="410" s="119" customFormat="1" x14ac:dyDescent="0.15"/>
    <row r="411" s="119" customFormat="1" x14ac:dyDescent="0.15"/>
    <row r="412" s="119" customFormat="1" x14ac:dyDescent="0.15"/>
    <row r="413" s="119" customFormat="1" x14ac:dyDescent="0.15"/>
    <row r="414" s="119" customFormat="1" x14ac:dyDescent="0.15"/>
    <row r="415" s="119" customFormat="1" x14ac:dyDescent="0.15"/>
    <row r="416" s="119" customFormat="1" x14ac:dyDescent="0.15"/>
    <row r="417" s="119" customFormat="1" x14ac:dyDescent="0.15"/>
    <row r="418" s="119" customFormat="1" x14ac:dyDescent="0.15"/>
    <row r="419" s="119" customFormat="1" x14ac:dyDescent="0.15"/>
    <row r="420" s="119" customFormat="1" x14ac:dyDescent="0.15"/>
    <row r="421" s="119" customFormat="1" x14ac:dyDescent="0.15"/>
    <row r="422" s="119" customFormat="1" x14ac:dyDescent="0.15"/>
    <row r="423" s="119" customFormat="1" x14ac:dyDescent="0.15"/>
    <row r="424" s="119" customFormat="1" x14ac:dyDescent="0.15"/>
    <row r="425" s="119" customFormat="1" x14ac:dyDescent="0.15"/>
    <row r="426" s="119" customFormat="1" x14ac:dyDescent="0.15"/>
    <row r="427" s="119" customFormat="1" x14ac:dyDescent="0.15"/>
    <row r="428" s="119" customFormat="1" x14ac:dyDescent="0.15"/>
    <row r="429" s="119" customFormat="1" x14ac:dyDescent="0.15"/>
    <row r="430" s="119" customFormat="1" x14ac:dyDescent="0.15"/>
    <row r="431" s="119" customFormat="1" x14ac:dyDescent="0.15"/>
    <row r="432" s="119" customFormat="1" x14ac:dyDescent="0.15"/>
    <row r="433" s="119" customFormat="1" x14ac:dyDescent="0.15"/>
    <row r="434" s="119" customFormat="1" x14ac:dyDescent="0.15"/>
    <row r="435" s="119" customFormat="1" x14ac:dyDescent="0.15"/>
  </sheetData>
  <sheetProtection sheet="1" objects="1" scenarios="1" insertColumns="0" insertRows="0"/>
  <mergeCells count="45">
    <mergeCell ref="E30:F30"/>
    <mergeCell ref="G26:H26"/>
    <mergeCell ref="G27:H27"/>
    <mergeCell ref="E26:F26"/>
    <mergeCell ref="E27:F27"/>
    <mergeCell ref="G20:H20"/>
    <mergeCell ref="G21:H21"/>
    <mergeCell ref="G29:H29"/>
    <mergeCell ref="E28:F28"/>
    <mergeCell ref="E29:F29"/>
    <mergeCell ref="E20:F20"/>
    <mergeCell ref="E21:F21"/>
    <mergeCell ref="E23:F23"/>
    <mergeCell ref="E24:F24"/>
    <mergeCell ref="E25:F25"/>
    <mergeCell ref="G23:H23"/>
    <mergeCell ref="G24:H24"/>
    <mergeCell ref="G25:H25"/>
    <mergeCell ref="G28:H28"/>
    <mergeCell ref="G42:H42"/>
    <mergeCell ref="G67:H67"/>
    <mergeCell ref="G53:H53"/>
    <mergeCell ref="G54:H54"/>
    <mergeCell ref="G55:H55"/>
    <mergeCell ref="G57:H57"/>
    <mergeCell ref="G58:H58"/>
    <mergeCell ref="G65:H65"/>
    <mergeCell ref="G66:H66"/>
    <mergeCell ref="G64:H64"/>
    <mergeCell ref="G38:H38"/>
    <mergeCell ref="G30:H30"/>
    <mergeCell ref="G61:H61"/>
    <mergeCell ref="G47:H47"/>
    <mergeCell ref="G63:H63"/>
    <mergeCell ref="G49:H49"/>
    <mergeCell ref="G51:H51"/>
    <mergeCell ref="G52:H52"/>
    <mergeCell ref="G43:H43"/>
    <mergeCell ref="G45:H45"/>
    <mergeCell ref="G46:H46"/>
    <mergeCell ref="G48:H48"/>
    <mergeCell ref="G60:H60"/>
    <mergeCell ref="G39:H39"/>
    <mergeCell ref="G40:H40"/>
    <mergeCell ref="G41:H41"/>
  </mergeCells>
  <conditionalFormatting sqref="I39:I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3:Q30 Q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6">
    <dataValidation type="decimal" allowBlank="1" showInputMessage="1" showErrorMessage="1" sqref="I9 G9:G10" xr:uid="{00000000-0002-0000-0200-000000000000}">
      <formula1>0</formula1>
      <formula2>1</formula2>
    </dataValidation>
    <dataValidation type="decimal" allowBlank="1" showInputMessage="1" showErrorMessage="1" sqref="G7 H7:I8 H9:H10 E7:F10" xr:uid="{00000000-0002-0000-0200-000001000000}">
      <formula1>-1</formula1>
      <formula2>1</formula2>
    </dataValidation>
    <dataValidation type="decimal" allowBlank="1" showInputMessage="1" showErrorMessage="1" errorTitle="Markdown error" error="Markdown level must be between 0% and 50%" sqref="E23:E30 I24 I23:J23 G23:G30 I25:J30 N25:N30 N23 K23:M30" xr:uid="{00000000-0002-0000-0200-000002000000}">
      <formula1>0</formula1>
      <formula2>0.5</formula2>
    </dataValidation>
    <dataValidation type="list" allowBlank="1" showInputMessage="1" showErrorMessage="1" sqref="I10" xr:uid="{00000000-0002-0000-0200-000003000000}">
      <formula1>"TRUE,FALSE"</formula1>
    </dataValidation>
    <dataValidation type="list" allowBlank="1" showInputMessage="1" showErrorMessage="1" sqref="K20:M20" xr:uid="{00000000-0002-0000-0200-000004000000}">
      <formula1>"None, Low, High"</formula1>
    </dataValidation>
    <dataValidation type="list" allowBlank="1" showInputMessage="1" showErrorMessage="1" sqref="K21:M21" xr:uid="{00000000-0002-0000-0200-000005000000}">
      <formula1>"None, 3X2 casual, 3X2 sports, 3X2 all"</formula1>
    </dataValidation>
  </dataValidations>
  <pageMargins left="0.23622047244094491" right="0.23622047244094491" top="0.74803149606299213" bottom="0.74803149606299213" header="0.31496062992125984" footer="0.31496062992125984"/>
  <pageSetup paperSize="9" scale="93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pageSetUpPr fitToPage="1"/>
  </sheetPr>
  <dimension ref="A1:U38"/>
  <sheetViews>
    <sheetView showGridLines="0" zoomScale="186" zoomScaleNormal="186" workbookViewId="0">
      <pane xSplit="3" ySplit="6" topLeftCell="D7" activePane="bottomRight" state="frozen"/>
      <selection pane="topRight"/>
      <selection pane="bottomLeft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3" width="9.83203125" style="1" customWidth="1"/>
    <col min="4" max="7" width="8.6640625" style="1"/>
    <col min="8" max="8" width="10" style="1" bestFit="1" customWidth="1"/>
    <col min="9" max="12" width="8.6640625" style="1"/>
    <col min="13" max="13" width="9.1640625" style="1" bestFit="1" customWidth="1"/>
    <col min="14" max="17" width="8.6640625" style="1"/>
    <col min="18" max="18" width="10.5" style="1" customWidth="1"/>
    <col min="19" max="22" width="11.33203125" style="1" customWidth="1"/>
    <col min="23" max="16384" width="8.6640625" style="1"/>
  </cols>
  <sheetData>
    <row r="1" spans="1:21" ht="24" x14ac:dyDescent="0.15">
      <c r="A1" s="6" t="s">
        <v>6</v>
      </c>
    </row>
    <row r="2" spans="1:21" x14ac:dyDescent="0.15">
      <c r="A2" s="7" t="s">
        <v>92</v>
      </c>
    </row>
    <row r="4" spans="1:21" x14ac:dyDescent="0.15">
      <c r="E4" s="3" t="s">
        <v>14</v>
      </c>
      <c r="F4" s="2"/>
      <c r="G4" s="2"/>
      <c r="I4" s="3" t="s">
        <v>42</v>
      </c>
      <c r="J4" s="2"/>
      <c r="K4" s="2"/>
      <c r="L4" s="2"/>
      <c r="N4" s="3" t="s">
        <v>39</v>
      </c>
      <c r="O4" s="2"/>
      <c r="P4" s="3"/>
      <c r="Q4" s="2"/>
    </row>
    <row r="5" spans="1:21" ht="13" x14ac:dyDescent="0.15">
      <c r="B5" s="30" t="s">
        <v>0</v>
      </c>
      <c r="C5" s="31"/>
      <c r="D5" s="8"/>
      <c r="E5" s="5"/>
      <c r="F5" s="5"/>
      <c r="G5" s="5"/>
      <c r="I5" s="16">
        <f>SUM(I6:I14)</f>
        <v>1.1721058188859634</v>
      </c>
      <c r="J5" s="16">
        <f>SUM(J6:J14)</f>
        <v>1.3785296625196835</v>
      </c>
      <c r="K5" s="16">
        <f>SUM(K6:K14)</f>
        <v>1.212388749664876</v>
      </c>
      <c r="L5" s="20">
        <f>SUM(I5:K5)</f>
        <v>3.7630242310705224</v>
      </c>
      <c r="N5" s="13"/>
      <c r="O5" s="9"/>
      <c r="P5" s="13"/>
      <c r="Q5" s="9"/>
    </row>
    <row r="6" spans="1:21" ht="26" x14ac:dyDescent="0.15">
      <c r="B6" s="10" t="s">
        <v>5</v>
      </c>
      <c r="C6" s="10" t="s">
        <v>7</v>
      </c>
      <c r="E6" s="4" t="s">
        <v>1</v>
      </c>
      <c r="F6" s="4" t="s">
        <v>2</v>
      </c>
      <c r="G6" s="4" t="s">
        <v>3</v>
      </c>
      <c r="I6" s="4" t="s">
        <v>1</v>
      </c>
      <c r="J6" s="4" t="s">
        <v>2</v>
      </c>
      <c r="K6" s="4" t="s">
        <v>3</v>
      </c>
      <c r="L6" s="14" t="s">
        <v>0</v>
      </c>
      <c r="N6" s="4" t="s">
        <v>11</v>
      </c>
      <c r="O6" s="4" t="s">
        <v>19</v>
      </c>
      <c r="P6" s="4" t="s">
        <v>36</v>
      </c>
      <c r="Q6" s="4" t="s">
        <v>32</v>
      </c>
    </row>
    <row r="7" spans="1:21" ht="13" x14ac:dyDescent="0.15">
      <c r="B7" s="12" t="s">
        <v>4</v>
      </c>
      <c r="C7" s="12" t="s">
        <v>8</v>
      </c>
      <c r="E7" s="26">
        <v>0</v>
      </c>
      <c r="F7" s="26">
        <v>0</v>
      </c>
      <c r="G7" s="26">
        <v>0</v>
      </c>
      <c r="I7" s="24">
        <v>0.63648210026514573</v>
      </c>
      <c r="J7" s="24">
        <v>0.38435238217156559</v>
      </c>
      <c r="K7" s="24">
        <v>0.29824998329736258</v>
      </c>
      <c r="L7" s="19">
        <f>SUM(I7:K7)</f>
        <v>1.3190844657340739</v>
      </c>
      <c r="N7" s="25">
        <v>27.711327325606447</v>
      </c>
      <c r="O7" s="24">
        <v>13.14958707540624</v>
      </c>
      <c r="P7" s="26">
        <v>0</v>
      </c>
      <c r="Q7" s="44">
        <v>2063218</v>
      </c>
      <c r="S7" s="45"/>
    </row>
    <row r="8" spans="1:21" ht="13" x14ac:dyDescent="0.15">
      <c r="B8" s="12" t="s">
        <v>4</v>
      </c>
      <c r="C8" s="12">
        <v>1</v>
      </c>
      <c r="E8" s="26">
        <v>0</v>
      </c>
      <c r="F8" s="26">
        <v>0</v>
      </c>
      <c r="G8" s="26">
        <v>0</v>
      </c>
      <c r="I8" s="24">
        <v>5.2460189694063387E-2</v>
      </c>
      <c r="J8" s="24">
        <v>0.13666118232985813</v>
      </c>
      <c r="K8" s="24">
        <v>0.28069088345482074</v>
      </c>
      <c r="L8" s="19">
        <f t="shared" ref="L8:L14" si="0">SUM(I8:K8)</f>
        <v>0.46981225547874228</v>
      </c>
      <c r="N8" s="25">
        <v>28.312133711781499</v>
      </c>
      <c r="O8" s="24">
        <v>13.605603093327394</v>
      </c>
      <c r="P8" s="26">
        <v>0.5</v>
      </c>
      <c r="Q8" s="44">
        <v>928516</v>
      </c>
    </row>
    <row r="9" spans="1:21" ht="13" x14ac:dyDescent="0.15">
      <c r="B9" s="12" t="s">
        <v>4</v>
      </c>
      <c r="C9" s="12">
        <v>2</v>
      </c>
      <c r="E9" s="26">
        <v>0.3</v>
      </c>
      <c r="F9" s="26">
        <v>0.3</v>
      </c>
      <c r="G9" s="26">
        <v>0.3</v>
      </c>
      <c r="I9" s="24">
        <v>9.2413275884810603E-2</v>
      </c>
      <c r="J9" s="24">
        <v>0.14085885112202129</v>
      </c>
      <c r="K9" s="24">
        <v>0.11104304178861624</v>
      </c>
      <c r="L9" s="19">
        <f t="shared" si="0"/>
        <v>0.3443151687954481</v>
      </c>
      <c r="N9" s="25">
        <v>25.811547287236142</v>
      </c>
      <c r="O9" s="24">
        <v>12.246432825082552</v>
      </c>
      <c r="P9" s="26">
        <v>0.7</v>
      </c>
      <c r="Q9" s="44">
        <v>456254</v>
      </c>
    </row>
    <row r="10" spans="1:21" ht="13" x14ac:dyDescent="0.15">
      <c r="B10" s="12" t="s">
        <v>4</v>
      </c>
      <c r="C10" s="12" t="s">
        <v>9</v>
      </c>
      <c r="E10" s="26">
        <v>0.5</v>
      </c>
      <c r="F10" s="26">
        <v>0.5</v>
      </c>
      <c r="G10" s="26">
        <v>0.5</v>
      </c>
      <c r="I10" s="24">
        <v>8.2448816640353098E-2</v>
      </c>
      <c r="J10" s="24">
        <v>0.10887496391978532</v>
      </c>
      <c r="K10" s="24">
        <v>7.272720451188594E-2</v>
      </c>
      <c r="L10" s="19">
        <f t="shared" si="0"/>
        <v>0.2640509850720244</v>
      </c>
      <c r="N10" s="25">
        <v>17.315151099229197</v>
      </c>
      <c r="O10" s="24">
        <v>9.4475026625607335</v>
      </c>
      <c r="P10" s="26">
        <v>0.9</v>
      </c>
      <c r="Q10" s="44">
        <v>385750</v>
      </c>
    </row>
    <row r="11" spans="1:21" ht="13" x14ac:dyDescent="0.15">
      <c r="B11" s="12" t="s">
        <v>10</v>
      </c>
      <c r="C11" s="12" t="s">
        <v>8</v>
      </c>
      <c r="E11" s="26">
        <v>0</v>
      </c>
      <c r="F11" s="26">
        <v>0</v>
      </c>
      <c r="G11" s="26">
        <v>0</v>
      </c>
      <c r="I11" s="24">
        <v>0.2218586243206907</v>
      </c>
      <c r="J11" s="24">
        <v>0.37047023812418861</v>
      </c>
      <c r="K11" s="24">
        <v>0.28452608847458527</v>
      </c>
      <c r="L11" s="19">
        <f t="shared" si="0"/>
        <v>0.87685495091946453</v>
      </c>
      <c r="N11" s="25">
        <v>19.877289802510365</v>
      </c>
      <c r="O11" s="24">
        <v>9.9670336459251985</v>
      </c>
      <c r="P11" s="26">
        <v>0</v>
      </c>
      <c r="Q11" s="44">
        <v>2400359</v>
      </c>
    </row>
    <row r="12" spans="1:21" ht="13" x14ac:dyDescent="0.15">
      <c r="B12" s="12" t="s">
        <v>10</v>
      </c>
      <c r="C12" s="12">
        <v>1</v>
      </c>
      <c r="E12" s="26">
        <v>0</v>
      </c>
      <c r="F12" s="26">
        <v>0</v>
      </c>
      <c r="G12" s="26">
        <v>0</v>
      </c>
      <c r="I12" s="24">
        <v>3.1405988642972983E-2</v>
      </c>
      <c r="J12" s="24">
        <v>0.18440379475503874</v>
      </c>
      <c r="K12" s="24">
        <v>0.10199096825151294</v>
      </c>
      <c r="L12" s="19">
        <f t="shared" si="0"/>
        <v>0.31780075164952465</v>
      </c>
      <c r="N12" s="25">
        <v>15.163499604072699</v>
      </c>
      <c r="O12" s="24">
        <v>8.554424942620102</v>
      </c>
      <c r="P12" s="26">
        <v>0.5</v>
      </c>
      <c r="Q12" s="44">
        <v>931284</v>
      </c>
    </row>
    <row r="13" spans="1:21" ht="13" x14ac:dyDescent="0.15">
      <c r="B13" s="12" t="s">
        <v>10</v>
      </c>
      <c r="C13" s="12">
        <v>2</v>
      </c>
      <c r="E13" s="26">
        <v>0.3</v>
      </c>
      <c r="F13" s="26">
        <v>0.3</v>
      </c>
      <c r="G13" s="26">
        <v>0.3</v>
      </c>
      <c r="I13" s="24">
        <v>1.1168973170892471E-2</v>
      </c>
      <c r="J13" s="24">
        <v>4.5124717558230193E-2</v>
      </c>
      <c r="K13" s="24">
        <v>3.3036755773828856E-2</v>
      </c>
      <c r="L13" s="19">
        <f t="shared" si="0"/>
        <v>8.9330446502951522E-2</v>
      </c>
      <c r="N13" s="25">
        <v>23.134817259028537</v>
      </c>
      <c r="O13" s="24">
        <v>11.413895769357456</v>
      </c>
      <c r="P13" s="26">
        <v>0.7</v>
      </c>
      <c r="Q13" s="44">
        <v>488551</v>
      </c>
    </row>
    <row r="14" spans="1:21" ht="13" x14ac:dyDescent="0.15">
      <c r="B14" s="12" t="s">
        <v>10</v>
      </c>
      <c r="C14" s="12" t="s">
        <v>9</v>
      </c>
      <c r="E14" s="26">
        <v>0.5</v>
      </c>
      <c r="F14" s="26">
        <v>0.5</v>
      </c>
      <c r="G14" s="26">
        <v>0.5</v>
      </c>
      <c r="I14" s="24">
        <v>4.386785026703461E-2</v>
      </c>
      <c r="J14" s="24">
        <v>7.7835325389957119E-3</v>
      </c>
      <c r="K14" s="24">
        <v>3.0123824112263293E-2</v>
      </c>
      <c r="L14" s="19">
        <f t="shared" si="0"/>
        <v>8.1775206918293611E-2</v>
      </c>
      <c r="N14" s="25">
        <v>21.744089447878245</v>
      </c>
      <c r="O14" s="24">
        <v>10.97745458026699</v>
      </c>
      <c r="P14" s="26">
        <v>0.9</v>
      </c>
      <c r="Q14" s="44">
        <v>369223</v>
      </c>
      <c r="S14" s="43"/>
      <c r="T14" s="43"/>
      <c r="U14" s="43"/>
    </row>
    <row r="16" spans="1:21" x14ac:dyDescent="0.15">
      <c r="E16" s="3" t="s">
        <v>55</v>
      </c>
      <c r="F16" s="2"/>
      <c r="G16" s="3"/>
      <c r="H16" s="3"/>
    </row>
    <row r="17" spans="2:21" x14ac:dyDescent="0.15">
      <c r="E17" s="5"/>
      <c r="F17" s="5"/>
      <c r="G17" s="5"/>
      <c r="H17" s="5"/>
    </row>
    <row r="18" spans="2:21" ht="13" x14ac:dyDescent="0.15">
      <c r="B18" s="21" t="s">
        <v>43</v>
      </c>
      <c r="C18" s="3"/>
      <c r="E18" s="4" t="s">
        <v>1</v>
      </c>
      <c r="F18" s="4" t="s">
        <v>2</v>
      </c>
      <c r="G18" s="4" t="s">
        <v>3</v>
      </c>
      <c r="H18" s="14" t="s">
        <v>0</v>
      </c>
    </row>
    <row r="19" spans="2:21" x14ac:dyDescent="0.15">
      <c r="B19" s="37" t="s">
        <v>54</v>
      </c>
      <c r="C19" s="38"/>
      <c r="E19" s="27">
        <v>4363810</v>
      </c>
      <c r="F19" s="27">
        <v>4160452</v>
      </c>
      <c r="G19" s="27">
        <v>3324720</v>
      </c>
      <c r="H19" s="15">
        <f>SUM(E19:G19)</f>
        <v>11848982</v>
      </c>
    </row>
    <row r="20" spans="2:21" ht="13" x14ac:dyDescent="0.15">
      <c r="B20" s="37" t="s">
        <v>40</v>
      </c>
      <c r="C20" s="38"/>
      <c r="E20" s="39">
        <v>0.21683164751171607</v>
      </c>
      <c r="F20" s="39">
        <v>0.16910809734104601</v>
      </c>
      <c r="G20" s="39">
        <v>0.18660014872776576</v>
      </c>
      <c r="H20" s="17" t="str">
        <f>IFERROR(#REF!/H19,"")</f>
        <v/>
      </c>
    </row>
    <row r="21" spans="2:21" x14ac:dyDescent="0.15">
      <c r="Q21" s="45"/>
    </row>
    <row r="22" spans="2:21" x14ac:dyDescent="0.15">
      <c r="Q22" s="45"/>
    </row>
    <row r="23" spans="2:21" x14ac:dyDescent="0.15">
      <c r="Q23" s="45"/>
      <c r="S23" s="43"/>
      <c r="T23" s="43"/>
      <c r="U23" s="43"/>
    </row>
    <row r="24" spans="2:21" x14ac:dyDescent="0.15">
      <c r="Q24" s="45"/>
      <c r="S24" s="45"/>
      <c r="T24" s="45"/>
      <c r="U24" s="45"/>
    </row>
    <row r="25" spans="2:21" x14ac:dyDescent="0.15">
      <c r="Q25" s="45"/>
    </row>
    <row r="26" spans="2:21" x14ac:dyDescent="0.15">
      <c r="Q26" s="45"/>
    </row>
    <row r="27" spans="2:21" x14ac:dyDescent="0.15">
      <c r="Q27" s="45"/>
    </row>
    <row r="28" spans="2:21" x14ac:dyDescent="0.15">
      <c r="Q28" s="45"/>
    </row>
    <row r="29" spans="2:21" x14ac:dyDescent="0.15">
      <c r="Q29" s="45"/>
    </row>
    <row r="31" spans="2:21" x14ac:dyDescent="0.15">
      <c r="Q31" s="43"/>
    </row>
    <row r="32" spans="2:21" x14ac:dyDescent="0.15">
      <c r="Q32" s="43"/>
    </row>
    <row r="33" spans="17:17" x14ac:dyDescent="0.15">
      <c r="Q33" s="43"/>
    </row>
    <row r="34" spans="17:17" x14ac:dyDescent="0.15">
      <c r="Q34" s="43"/>
    </row>
    <row r="35" spans="17:17" x14ac:dyDescent="0.15">
      <c r="Q35" s="43"/>
    </row>
    <row r="36" spans="17:17" x14ac:dyDescent="0.15">
      <c r="Q36" s="43"/>
    </row>
    <row r="37" spans="17:17" x14ac:dyDescent="0.15">
      <c r="Q37" s="43"/>
    </row>
    <row r="38" spans="17:17" x14ac:dyDescent="0.15">
      <c r="Q38" s="43"/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pageSetUpPr fitToPage="1"/>
  </sheetPr>
  <dimension ref="A1:AJ28"/>
  <sheetViews>
    <sheetView showGridLines="0" zoomScale="170" zoomScaleNormal="170" workbookViewId="0">
      <pane xSplit="4" ySplit="6" topLeftCell="F7" activePane="bottomRight" state="frozen"/>
      <selection pane="topRight"/>
      <selection pane="bottomLeft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2" width="11.5" style="1" bestFit="1" customWidth="1"/>
    <col min="3" max="4" width="9.83203125" style="1" customWidth="1"/>
    <col min="5" max="5" width="2.5" style="1" customWidth="1"/>
    <col min="6" max="8" width="8.6640625" style="1"/>
    <col min="9" max="9" width="2.5" style="1" customWidth="1"/>
    <col min="10" max="10" width="8.6640625" style="1"/>
    <col min="11" max="11" width="9.33203125" style="1" bestFit="1" customWidth="1"/>
    <col min="12" max="12" width="8.6640625" style="1"/>
    <col min="13" max="13" width="2.5" style="1" customWidth="1"/>
    <col min="14" max="14" width="8.6640625" style="1"/>
    <col min="15" max="15" width="9.33203125" style="1" bestFit="1" customWidth="1"/>
    <col min="16" max="16" width="8.6640625" style="1"/>
    <col min="17" max="17" width="2.5" style="1" customWidth="1"/>
    <col min="18" max="18" width="9.1640625" style="1" bestFit="1" customWidth="1"/>
    <col min="19" max="20" width="8.6640625" style="1"/>
    <col min="21" max="21" width="2.5" style="1" customWidth="1"/>
    <col min="22" max="24" width="8.6640625" style="1"/>
    <col min="25" max="25" width="2.5" style="1" customWidth="1"/>
    <col min="26" max="29" width="8.6640625" style="1"/>
    <col min="30" max="31" width="13.83203125" style="1" customWidth="1"/>
    <col min="32" max="16384" width="8.6640625" style="1"/>
  </cols>
  <sheetData>
    <row r="1" spans="1:36" ht="24" x14ac:dyDescent="0.15">
      <c r="A1" s="6" t="s">
        <v>58</v>
      </c>
    </row>
    <row r="2" spans="1:36" x14ac:dyDescent="0.15">
      <c r="A2" s="7" t="s">
        <v>93</v>
      </c>
    </row>
    <row r="3" spans="1:36" x14ac:dyDescent="0.15">
      <c r="A3" s="7"/>
    </row>
    <row r="4" spans="1:36" x14ac:dyDescent="0.15">
      <c r="A4" s="7"/>
      <c r="F4" s="3" t="s">
        <v>61</v>
      </c>
      <c r="G4" s="2"/>
      <c r="H4" s="2"/>
      <c r="J4" s="3" t="s">
        <v>97</v>
      </c>
      <c r="K4" s="2"/>
      <c r="L4" s="2"/>
      <c r="N4" s="3" t="s">
        <v>67</v>
      </c>
      <c r="O4" s="2"/>
      <c r="P4" s="2"/>
      <c r="R4" s="3" t="s">
        <v>60</v>
      </c>
      <c r="S4" s="2"/>
      <c r="T4" s="2"/>
      <c r="V4" s="3" t="s">
        <v>62</v>
      </c>
      <c r="W4" s="2"/>
      <c r="X4" s="2"/>
      <c r="Z4" s="3" t="s">
        <v>96</v>
      </c>
      <c r="AA4" s="2"/>
      <c r="AB4" s="2"/>
      <c r="AD4" s="41" t="s">
        <v>69</v>
      </c>
      <c r="AE4" s="41"/>
    </row>
    <row r="5" spans="1:36" x14ac:dyDescent="0.15">
      <c r="A5" s="7"/>
      <c r="F5" s="16"/>
      <c r="G5" s="16"/>
      <c r="H5" s="16"/>
      <c r="J5" s="16"/>
      <c r="K5" s="16"/>
      <c r="L5" s="16"/>
      <c r="N5" s="16"/>
      <c r="O5" s="16"/>
      <c r="P5" s="16"/>
      <c r="R5" s="16"/>
      <c r="S5" s="16"/>
      <c r="T5" s="16"/>
      <c r="V5" s="16"/>
      <c r="W5" s="16"/>
      <c r="X5" s="16"/>
      <c r="Z5" s="16"/>
      <c r="AA5" s="16"/>
      <c r="AB5" s="16"/>
      <c r="AD5" s="18"/>
      <c r="AE5" s="18"/>
    </row>
    <row r="6" spans="1:36" ht="13" x14ac:dyDescent="0.15">
      <c r="A6" s="7"/>
      <c r="B6" s="4" t="s">
        <v>53</v>
      </c>
      <c r="C6" s="4" t="s">
        <v>59</v>
      </c>
      <c r="D6" s="4" t="s">
        <v>7</v>
      </c>
      <c r="F6" s="4" t="s">
        <v>1</v>
      </c>
      <c r="G6" s="4" t="s">
        <v>2</v>
      </c>
      <c r="H6" s="4" t="s">
        <v>3</v>
      </c>
      <c r="J6" s="4" t="s">
        <v>1</v>
      </c>
      <c r="K6" s="4" t="s">
        <v>2</v>
      </c>
      <c r="L6" s="4" t="s">
        <v>3</v>
      </c>
      <c r="N6" s="4" t="s">
        <v>1</v>
      </c>
      <c r="O6" s="4" t="s">
        <v>2</v>
      </c>
      <c r="P6" s="4" t="s">
        <v>3</v>
      </c>
      <c r="R6" s="4" t="s">
        <v>1</v>
      </c>
      <c r="S6" s="4" t="s">
        <v>2</v>
      </c>
      <c r="T6" s="4" t="s">
        <v>3</v>
      </c>
      <c r="V6" s="4" t="s">
        <v>1</v>
      </c>
      <c r="W6" s="4" t="s">
        <v>2</v>
      </c>
      <c r="X6" s="4" t="s">
        <v>3</v>
      </c>
      <c r="Z6" s="4" t="s">
        <v>1</v>
      </c>
      <c r="AA6" s="4" t="s">
        <v>2</v>
      </c>
      <c r="AB6" s="4" t="s">
        <v>3</v>
      </c>
      <c r="AD6" s="14" t="s">
        <v>56</v>
      </c>
      <c r="AE6" s="14" t="s">
        <v>57</v>
      </c>
    </row>
    <row r="7" spans="1:36" ht="26" x14ac:dyDescent="0.15">
      <c r="B7" s="11" t="s">
        <v>48</v>
      </c>
      <c r="C7" s="22" t="s">
        <v>49</v>
      </c>
      <c r="D7" s="23"/>
      <c r="F7" s="47">
        <v>0</v>
      </c>
      <c r="G7" s="47">
        <v>0</v>
      </c>
      <c r="H7" s="47">
        <v>0</v>
      </c>
      <c r="J7" s="47">
        <v>0</v>
      </c>
      <c r="K7" s="47">
        <v>0</v>
      </c>
      <c r="L7" s="47">
        <v>0</v>
      </c>
      <c r="AD7" s="42" t="s">
        <v>14</v>
      </c>
      <c r="AE7" s="42" t="s">
        <v>42</v>
      </c>
    </row>
    <row r="8" spans="1:36" ht="26" x14ac:dyDescent="0.15">
      <c r="B8" s="11" t="s">
        <v>48</v>
      </c>
      <c r="C8" s="22" t="s">
        <v>50</v>
      </c>
      <c r="D8" s="23"/>
      <c r="F8" s="47">
        <v>0.21360549578684565</v>
      </c>
      <c r="G8" s="47">
        <v>0.20191143971052478</v>
      </c>
      <c r="H8" s="47">
        <v>0.19613911503255846</v>
      </c>
      <c r="J8" s="47">
        <v>2.6460058520310546E-2</v>
      </c>
      <c r="K8" s="47">
        <v>6.1785707182496999E-2</v>
      </c>
      <c r="L8" s="47">
        <v>2.3394311801571005E-2</v>
      </c>
    </row>
    <row r="9" spans="1:36" ht="26" x14ac:dyDescent="0.15">
      <c r="B9" s="11" t="s">
        <v>48</v>
      </c>
      <c r="C9" s="22" t="s">
        <v>51</v>
      </c>
      <c r="D9" s="23"/>
      <c r="F9" s="47">
        <v>0.19674850432624449</v>
      </c>
      <c r="G9" s="47">
        <v>0.18792437301971981</v>
      </c>
      <c r="H9" s="47">
        <v>0.2202746760972617</v>
      </c>
      <c r="J9" s="47">
        <v>2.0778913533988648E-2</v>
      </c>
      <c r="K9" s="47">
        <v>3.0860358396644291E-2</v>
      </c>
      <c r="L9" s="47">
        <v>5.2356876272624059E-2</v>
      </c>
      <c r="N9" s="49"/>
    </row>
    <row r="10" spans="1:36" ht="26" x14ac:dyDescent="0.15">
      <c r="B10" s="11" t="s">
        <v>48</v>
      </c>
      <c r="C10" s="22" t="s">
        <v>52</v>
      </c>
      <c r="D10" s="23"/>
      <c r="F10" s="47">
        <v>0.20595931633575762</v>
      </c>
      <c r="G10" s="47">
        <v>0.19884831887460336</v>
      </c>
      <c r="H10" s="47">
        <v>0.21029224276100122</v>
      </c>
      <c r="J10" s="47">
        <v>3.0280700945939203E-2</v>
      </c>
      <c r="K10" s="47">
        <v>4.6043728176274765E-2</v>
      </c>
      <c r="L10" s="47">
        <v>0.11185056775762642</v>
      </c>
    </row>
    <row r="12" spans="1:36" ht="13" x14ac:dyDescent="0.15">
      <c r="J12" s="49"/>
      <c r="K12" s="49"/>
      <c r="N12" s="4" t="s">
        <v>1</v>
      </c>
      <c r="O12" s="4" t="s">
        <v>2</v>
      </c>
      <c r="P12" s="4" t="s">
        <v>3</v>
      </c>
      <c r="R12" s="4" t="s">
        <v>1</v>
      </c>
      <c r="S12" s="4" t="s">
        <v>2</v>
      </c>
      <c r="T12" s="4" t="s">
        <v>3</v>
      </c>
      <c r="V12" s="4" t="s">
        <v>1</v>
      </c>
      <c r="W12" s="4" t="s">
        <v>2</v>
      </c>
      <c r="X12" s="4" t="s">
        <v>3</v>
      </c>
    </row>
    <row r="13" spans="1:36" ht="39" x14ac:dyDescent="0.15">
      <c r="B13" s="11" t="s">
        <v>189</v>
      </c>
      <c r="C13" s="22" t="s">
        <v>49</v>
      </c>
      <c r="D13" s="23"/>
      <c r="J13" s="49"/>
      <c r="N13" s="47">
        <v>0</v>
      </c>
      <c r="O13" s="47">
        <v>0</v>
      </c>
      <c r="P13" s="47">
        <v>0</v>
      </c>
      <c r="R13" s="47">
        <v>0</v>
      </c>
      <c r="S13" s="47">
        <v>0</v>
      </c>
      <c r="T13" s="47">
        <v>0</v>
      </c>
      <c r="V13" s="48">
        <v>0</v>
      </c>
      <c r="W13" s="48">
        <v>0</v>
      </c>
      <c r="X13" s="48">
        <v>0</v>
      </c>
      <c r="AD13" s="42" t="s">
        <v>55</v>
      </c>
      <c r="AE13" s="42" t="s">
        <v>40</v>
      </c>
    </row>
    <row r="14" spans="1:36" ht="39" x14ac:dyDescent="0.15">
      <c r="B14" s="11" t="s">
        <v>189</v>
      </c>
      <c r="C14" s="22" t="s">
        <v>70</v>
      </c>
      <c r="D14" s="23"/>
      <c r="N14" s="47">
        <v>1.5963695777236043E-2</v>
      </c>
      <c r="O14" s="47">
        <v>3.4206402180171382E-2</v>
      </c>
      <c r="P14" s="47">
        <v>2.748252067719064E-2</v>
      </c>
      <c r="R14" s="47">
        <v>-9.7606278020895415E-3</v>
      </c>
      <c r="S14" s="47">
        <v>-4.2804727498020542E-3</v>
      </c>
      <c r="T14" s="47">
        <v>-4.3218813079978699E-3</v>
      </c>
      <c r="V14" s="48">
        <v>15000</v>
      </c>
      <c r="W14" s="48">
        <v>15000</v>
      </c>
      <c r="X14" s="48">
        <v>15000</v>
      </c>
    </row>
    <row r="15" spans="1:36" ht="39" x14ac:dyDescent="0.15">
      <c r="B15" s="11" t="s">
        <v>189</v>
      </c>
      <c r="C15" s="22" t="s">
        <v>71</v>
      </c>
      <c r="D15" s="23"/>
      <c r="J15" s="49"/>
      <c r="N15" s="47">
        <v>2.6659020438585937E-2</v>
      </c>
      <c r="O15" s="47">
        <v>6.5641582644720087E-2</v>
      </c>
      <c r="P15" s="47">
        <v>5.7214949975933661E-2</v>
      </c>
      <c r="R15" s="47">
        <v>-7.6524577549165846E-3</v>
      </c>
      <c r="S15" s="47">
        <v>-1.3113666169789326E-2</v>
      </c>
      <c r="T15" s="47">
        <v>-6.068753769270973E-3</v>
      </c>
      <c r="V15" s="48">
        <v>43000</v>
      </c>
      <c r="W15" s="48">
        <v>43000</v>
      </c>
      <c r="X15" s="48">
        <v>43000</v>
      </c>
    </row>
    <row r="16" spans="1:36" x14ac:dyDescent="0.15">
      <c r="AI16" s="33"/>
      <c r="AJ16" s="33"/>
    </row>
    <row r="17" spans="1:31" ht="13" x14ac:dyDescent="0.15">
      <c r="J17" s="4" t="s">
        <v>1</v>
      </c>
      <c r="K17" s="4" t="s">
        <v>2</v>
      </c>
      <c r="L17" s="4" t="s">
        <v>3</v>
      </c>
      <c r="N17" s="4" t="s">
        <v>1</v>
      </c>
      <c r="O17" s="4" t="s">
        <v>2</v>
      </c>
      <c r="P17" s="4" t="s">
        <v>3</v>
      </c>
      <c r="R17" s="4" t="s">
        <v>1</v>
      </c>
      <c r="S17" s="4" t="s">
        <v>2</v>
      </c>
      <c r="T17" s="4" t="s">
        <v>3</v>
      </c>
    </row>
    <row r="18" spans="1:31" ht="13" x14ac:dyDescent="0.15">
      <c r="B18" s="37" t="s">
        <v>66</v>
      </c>
      <c r="C18" s="37"/>
      <c r="D18" s="38"/>
      <c r="J18" s="47">
        <v>8.7766222037706232E-2</v>
      </c>
      <c r="K18" s="47">
        <v>7.6030416619564598E-2</v>
      </c>
      <c r="L18" s="47">
        <v>8.4068096049122368E-2</v>
      </c>
      <c r="M18" s="40"/>
      <c r="N18" s="47">
        <v>6.6218517983681516E-2</v>
      </c>
      <c r="O18" s="47">
        <v>0.10212646357452966</v>
      </c>
      <c r="P18" s="47">
        <v>0.14549562208759317</v>
      </c>
      <c r="Q18" s="40"/>
      <c r="R18" s="47">
        <v>1.0384282177814296E-2</v>
      </c>
      <c r="S18" s="47">
        <v>1.3999227709624595E-2</v>
      </c>
      <c r="T18" s="47">
        <v>1.45873675396559E-2</v>
      </c>
      <c r="AD18" s="42" t="s">
        <v>55</v>
      </c>
      <c r="AE18" s="42" t="s">
        <v>40</v>
      </c>
    </row>
    <row r="20" spans="1:31" ht="13" x14ac:dyDescent="0.15">
      <c r="Z20" s="4" t="s">
        <v>1</v>
      </c>
      <c r="AA20" s="4" t="s">
        <v>2</v>
      </c>
      <c r="AB20" s="4" t="s">
        <v>3</v>
      </c>
    </row>
    <row r="21" spans="1:31" ht="13" x14ac:dyDescent="0.15">
      <c r="A21" s="7"/>
      <c r="B21" s="11" t="s">
        <v>63</v>
      </c>
      <c r="C21" s="12" t="s">
        <v>4</v>
      </c>
      <c r="D21" s="12" t="s">
        <v>8</v>
      </c>
      <c r="Z21" s="24">
        <v>-1.2137343042264099</v>
      </c>
      <c r="AA21" s="24">
        <v>-4.6088133768726713</v>
      </c>
      <c r="AB21" s="24">
        <v>-5.9402204071042659</v>
      </c>
      <c r="AD21" s="42" t="s">
        <v>14</v>
      </c>
      <c r="AE21" s="42" t="s">
        <v>42</v>
      </c>
    </row>
    <row r="22" spans="1:31" ht="13" x14ac:dyDescent="0.15">
      <c r="A22" s="7"/>
      <c r="B22" s="11" t="s">
        <v>63</v>
      </c>
      <c r="C22" s="12" t="s">
        <v>4</v>
      </c>
      <c r="D22" s="12">
        <v>1</v>
      </c>
      <c r="Z22" s="24">
        <v>-3.7122633222766499</v>
      </c>
      <c r="AA22" s="24">
        <v>-3.4151830824303504</v>
      </c>
      <c r="AB22" s="24">
        <v>-4.979247625077682</v>
      </c>
    </row>
    <row r="23" spans="1:31" ht="13" x14ac:dyDescent="0.15">
      <c r="A23" s="7"/>
      <c r="B23" s="11" t="s">
        <v>63</v>
      </c>
      <c r="C23" s="12" t="s">
        <v>4</v>
      </c>
      <c r="D23" s="12">
        <v>2</v>
      </c>
      <c r="Z23" s="24">
        <v>-1.5967863299246732</v>
      </c>
      <c r="AA23" s="24">
        <v>-3.0816084126073555</v>
      </c>
      <c r="AB23" s="24">
        <v>-1.3080194968842105</v>
      </c>
    </row>
    <row r="24" spans="1:31" ht="13" x14ac:dyDescent="0.15">
      <c r="A24" s="7"/>
      <c r="B24" s="11" t="s">
        <v>63</v>
      </c>
      <c r="C24" s="12" t="s">
        <v>4</v>
      </c>
      <c r="D24" s="12" t="s">
        <v>9</v>
      </c>
      <c r="Z24" s="24">
        <v>-0.84631685313459515</v>
      </c>
      <c r="AA24" s="24">
        <v>-2.2726242123227784</v>
      </c>
      <c r="AB24" s="24">
        <v>-1.5546858071906264</v>
      </c>
    </row>
    <row r="25" spans="1:31" ht="13" x14ac:dyDescent="0.15">
      <c r="A25" s="7"/>
      <c r="B25" s="11" t="s">
        <v>63</v>
      </c>
      <c r="C25" s="12" t="s">
        <v>10</v>
      </c>
      <c r="D25" s="12" t="s">
        <v>8</v>
      </c>
      <c r="Z25" s="24">
        <v>-1.2562957969106383</v>
      </c>
      <c r="AA25" s="24">
        <v>-3.6924869354512744</v>
      </c>
      <c r="AB25" s="24">
        <v>-1.2367730685668916</v>
      </c>
    </row>
    <row r="26" spans="1:31" ht="13" x14ac:dyDescent="0.15">
      <c r="A26" s="7"/>
      <c r="B26" s="11" t="s">
        <v>63</v>
      </c>
      <c r="C26" s="12" t="s">
        <v>10</v>
      </c>
      <c r="D26" s="12">
        <v>1</v>
      </c>
      <c r="Z26" s="24">
        <v>-3.2722547153188795</v>
      </c>
      <c r="AA26" s="24">
        <v>-4.1162251974037796</v>
      </c>
      <c r="AB26" s="24">
        <v>-3.2961012020339577</v>
      </c>
    </row>
    <row r="27" spans="1:31" ht="13" x14ac:dyDescent="0.15">
      <c r="A27" s="7"/>
      <c r="B27" s="11" t="s">
        <v>63</v>
      </c>
      <c r="C27" s="12" t="s">
        <v>10</v>
      </c>
      <c r="D27" s="12">
        <v>2</v>
      </c>
      <c r="Z27" s="24">
        <v>-1.1897495480912694</v>
      </c>
      <c r="AA27" s="24">
        <v>-0.4278597178720891</v>
      </c>
      <c r="AB27" s="24">
        <v>-0.97356658455118705</v>
      </c>
    </row>
    <row r="28" spans="1:31" ht="13" x14ac:dyDescent="0.15">
      <c r="A28" s="7"/>
      <c r="B28" s="11" t="s">
        <v>63</v>
      </c>
      <c r="C28" s="12" t="s">
        <v>10</v>
      </c>
      <c r="D28" s="12" t="s">
        <v>9</v>
      </c>
      <c r="Z28" s="24">
        <v>-0.19638431711558668</v>
      </c>
      <c r="AA28" s="24">
        <v>-0.30704290120482347</v>
      </c>
      <c r="AB28" s="24">
        <v>-0.26294532376663637</v>
      </c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  <pageSetUpPr fitToPage="1"/>
  </sheetPr>
  <dimension ref="A1:S65"/>
  <sheetViews>
    <sheetView showGridLines="0" zoomScale="150" zoomScaleNormal="150" workbookViewId="0">
      <pane xSplit="5" ySplit="6" topLeftCell="F45" activePane="bottomRight" state="frozen"/>
      <selection activeCell="F44" sqref="F44"/>
      <selection pane="topRight" activeCell="F44" sqref="F44"/>
      <selection pane="bottomLeft" activeCell="F44" sqref="F44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2" width="26.5" style="1" customWidth="1"/>
    <col min="3" max="5" width="9.83203125" style="1" customWidth="1"/>
    <col min="6" max="6" width="8.6640625" style="1"/>
    <col min="7" max="7" width="3" style="1" customWidth="1"/>
    <col min="8" max="8" width="14.5" style="1" bestFit="1" customWidth="1"/>
    <col min="9" max="19" width="11.5" style="1" customWidth="1"/>
    <col min="20" max="20" width="9.1640625" style="1" bestFit="1" customWidth="1"/>
    <col min="21" max="28" width="8.6640625" style="1"/>
    <col min="29" max="29" width="10.5" style="1" customWidth="1"/>
    <col min="30" max="16384" width="8.6640625" style="1"/>
  </cols>
  <sheetData>
    <row r="1" spans="1:19" ht="24" x14ac:dyDescent="0.15">
      <c r="A1" s="6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x14ac:dyDescent="0.15">
      <c r="A2" s="7" t="s">
        <v>86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1:19" x14ac:dyDescent="0.15">
      <c r="A3" s="7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</row>
    <row r="4" spans="1:19" ht="13" x14ac:dyDescent="0.15">
      <c r="A4" s="7"/>
      <c r="B4" s="65"/>
      <c r="C4" s="65"/>
      <c r="D4" s="65"/>
      <c r="E4" s="65"/>
      <c r="F4" s="63" t="s">
        <v>78</v>
      </c>
      <c r="G4" s="65"/>
      <c r="H4" s="69" t="s">
        <v>81</v>
      </c>
      <c r="I4" s="63" t="s">
        <v>80</v>
      </c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 x14ac:dyDescent="0.15">
      <c r="A5" s="7"/>
      <c r="B5" s="65"/>
      <c r="C5" s="65"/>
      <c r="D5" s="65"/>
      <c r="E5" s="65"/>
      <c r="F5" s="79"/>
      <c r="G5" s="65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 ht="13" x14ac:dyDescent="0.15">
      <c r="A6" s="7"/>
      <c r="B6" s="88" t="s">
        <v>65</v>
      </c>
      <c r="C6" s="88" t="s">
        <v>72</v>
      </c>
      <c r="D6" s="88" t="s">
        <v>5</v>
      </c>
      <c r="E6" s="88" t="s">
        <v>7</v>
      </c>
      <c r="F6" s="69" t="s">
        <v>79</v>
      </c>
      <c r="G6" s="65"/>
      <c r="H6" s="89">
        <f>Strategy!$E$12</f>
        <v>85967467.984933108</v>
      </c>
      <c r="I6" s="90">
        <v>0</v>
      </c>
      <c r="J6" s="90">
        <f>+I6+5%</f>
        <v>0.05</v>
      </c>
      <c r="K6" s="90">
        <f t="shared" ref="K6:R52" si="0">+J6+5%</f>
        <v>0.1</v>
      </c>
      <c r="L6" s="90">
        <f t="shared" si="0"/>
        <v>0.15000000000000002</v>
      </c>
      <c r="M6" s="90">
        <f t="shared" si="0"/>
        <v>0.2</v>
      </c>
      <c r="N6" s="90">
        <f t="shared" si="0"/>
        <v>0.25</v>
      </c>
      <c r="O6" s="90">
        <f t="shared" si="0"/>
        <v>0.3</v>
      </c>
      <c r="P6" s="90">
        <f t="shared" si="0"/>
        <v>0.35</v>
      </c>
      <c r="Q6" s="90">
        <f t="shared" si="0"/>
        <v>0.39999999999999997</v>
      </c>
      <c r="R6" s="90">
        <f t="shared" si="0"/>
        <v>0.44999999999999996</v>
      </c>
      <c r="S6" s="90">
        <f t="shared" ref="S6:S52" si="1">+R6+5%</f>
        <v>0.49999999999999994</v>
      </c>
    </row>
    <row r="7" spans="1:19" ht="13" x14ac:dyDescent="0.15">
      <c r="B7" s="91" t="s">
        <v>47</v>
      </c>
      <c r="C7" s="92" t="s">
        <v>1</v>
      </c>
      <c r="D7" s="92" t="s">
        <v>4</v>
      </c>
      <c r="E7" s="92" t="s">
        <v>8</v>
      </c>
      <c r="F7" s="93">
        <f>INDEX(I6:S6,MATCH(MAX(I7:S7),I7:S7,0))</f>
        <v>0.25</v>
      </c>
      <c r="G7" s="65"/>
      <c r="H7" s="89"/>
      <c r="I7" s="94">
        <f t="dataTable" ref="I7:S7" dt2D="1" dtr="0" r1="F7" r2="F6"/>
        <v>74232987.576691017</v>
      </c>
      <c r="J7" s="94">
        <v>77486591.0270845</v>
      </c>
      <c r="K7" s="94">
        <v>80299472.422702521</v>
      </c>
      <c r="L7" s="94">
        <v>82659103.554444432</v>
      </c>
      <c r="M7" s="94">
        <v>84552754.583761543</v>
      </c>
      <c r="N7" s="94">
        <v>85967467.984933108</v>
      </c>
      <c r="O7" s="94">
        <v>84385551.379428893</v>
      </c>
      <c r="P7" s="94">
        <v>81698483.127947614</v>
      </c>
      <c r="Q7" s="94">
        <v>78989324.674588218</v>
      </c>
      <c r="R7" s="94">
        <v>76253337.537911728</v>
      </c>
      <c r="S7" s="94">
        <v>73484626.124201879</v>
      </c>
    </row>
    <row r="8" spans="1:19" ht="13" x14ac:dyDescent="0.15">
      <c r="B8" s="91" t="s">
        <v>47</v>
      </c>
      <c r="C8" s="92"/>
      <c r="D8" s="92"/>
      <c r="E8" s="92"/>
      <c r="F8" s="93"/>
      <c r="G8" s="65"/>
      <c r="H8" s="89">
        <f>Strategy!$E$12</f>
        <v>85967467.984933108</v>
      </c>
      <c r="I8" s="90">
        <v>0</v>
      </c>
      <c r="J8" s="90">
        <f>+I8+5%</f>
        <v>0.05</v>
      </c>
      <c r="K8" s="90">
        <f t="shared" si="0"/>
        <v>0.1</v>
      </c>
      <c r="L8" s="90">
        <f t="shared" si="0"/>
        <v>0.15000000000000002</v>
      </c>
      <c r="M8" s="90">
        <f t="shared" si="0"/>
        <v>0.2</v>
      </c>
      <c r="N8" s="90">
        <f t="shared" si="0"/>
        <v>0.25</v>
      </c>
      <c r="O8" s="90">
        <f t="shared" si="0"/>
        <v>0.3</v>
      </c>
      <c r="P8" s="90">
        <f t="shared" si="0"/>
        <v>0.35</v>
      </c>
      <c r="Q8" s="90">
        <f t="shared" si="0"/>
        <v>0.39999999999999997</v>
      </c>
      <c r="R8" s="90">
        <f t="shared" si="0"/>
        <v>0.44999999999999996</v>
      </c>
      <c r="S8" s="90">
        <f t="shared" si="1"/>
        <v>0.49999999999999994</v>
      </c>
    </row>
    <row r="9" spans="1:19" ht="13" x14ac:dyDescent="0.15">
      <c r="B9" s="91" t="s">
        <v>47</v>
      </c>
      <c r="C9" s="92" t="s">
        <v>1</v>
      </c>
      <c r="D9" s="92" t="s">
        <v>4</v>
      </c>
      <c r="E9" s="92">
        <v>1</v>
      </c>
      <c r="F9" s="93">
        <f>INDEX(I8:S8,MATCH(MAX(I9:S9),I9:S9,0))</f>
        <v>0.35</v>
      </c>
      <c r="G9" s="65"/>
      <c r="H9" s="89"/>
      <c r="I9" s="94">
        <f t="dataTable" ref="I9:S9" dt2D="1" dtr="0" r1="F9" r2="F8" ca="1"/>
        <v>78634291.270712078</v>
      </c>
      <c r="J9" s="94">
        <v>80334600.058137819</v>
      </c>
      <c r="K9" s="94">
        <v>81820583.065999702</v>
      </c>
      <c r="L9" s="94">
        <v>83090186.021041542</v>
      </c>
      <c r="M9" s="94">
        <v>84141457.969102547</v>
      </c>
      <c r="N9" s="94">
        <v>84972557.863840565</v>
      </c>
      <c r="O9" s="94">
        <v>85581761.384461641</v>
      </c>
      <c r="P9" s="94">
        <v>85967467.984933108</v>
      </c>
      <c r="Q9" s="94">
        <v>85174605.546965986</v>
      </c>
      <c r="R9" s="94">
        <v>83947061.633526236</v>
      </c>
      <c r="S9" s="94">
        <v>82715990.136994928</v>
      </c>
    </row>
    <row r="10" spans="1:19" ht="13" x14ac:dyDescent="0.15">
      <c r="B10" s="91" t="s">
        <v>47</v>
      </c>
      <c r="C10" s="92"/>
      <c r="D10" s="92"/>
      <c r="E10" s="92"/>
      <c r="F10" s="93"/>
      <c r="G10" s="65"/>
      <c r="H10" s="89">
        <f>Strategy!$E$12</f>
        <v>85967467.984933108</v>
      </c>
      <c r="I10" s="90">
        <v>0</v>
      </c>
      <c r="J10" s="90">
        <f>+I10+5%</f>
        <v>0.05</v>
      </c>
      <c r="K10" s="90">
        <f t="shared" si="0"/>
        <v>0.1</v>
      </c>
      <c r="L10" s="90">
        <f t="shared" si="0"/>
        <v>0.15000000000000002</v>
      </c>
      <c r="M10" s="90">
        <f t="shared" si="0"/>
        <v>0.2</v>
      </c>
      <c r="N10" s="90">
        <f t="shared" si="0"/>
        <v>0.25</v>
      </c>
      <c r="O10" s="90">
        <f t="shared" si="0"/>
        <v>0.3</v>
      </c>
      <c r="P10" s="90">
        <f t="shared" si="0"/>
        <v>0.35</v>
      </c>
      <c r="Q10" s="90">
        <f t="shared" si="0"/>
        <v>0.39999999999999997</v>
      </c>
      <c r="R10" s="90">
        <f t="shared" si="0"/>
        <v>0.44999999999999996</v>
      </c>
      <c r="S10" s="90">
        <f t="shared" si="1"/>
        <v>0.49999999999999994</v>
      </c>
    </row>
    <row r="11" spans="1:19" ht="13" x14ac:dyDescent="0.15">
      <c r="B11" s="91" t="s">
        <v>47</v>
      </c>
      <c r="C11" s="92" t="s">
        <v>1</v>
      </c>
      <c r="D11" s="92" t="s">
        <v>4</v>
      </c>
      <c r="E11" s="92">
        <v>2</v>
      </c>
      <c r="F11" s="93">
        <f>INDEX(I10:S10,MATCH(MAX(I11:S11),I11:S11,0))</f>
        <v>0</v>
      </c>
      <c r="G11" s="65"/>
      <c r="H11" s="89"/>
      <c r="I11" s="94">
        <f t="dataTable" ref="I11:S11" dt2D="1" dtr="0" r1="F11" r2="F10" ca="1"/>
        <v>85967467.984933108</v>
      </c>
      <c r="J11" s="94">
        <v>85967467.984933108</v>
      </c>
      <c r="K11" s="94">
        <v>85967467.984933108</v>
      </c>
      <c r="L11" s="94">
        <v>85967467.984933108</v>
      </c>
      <c r="M11" s="94">
        <v>85967467.984933108</v>
      </c>
      <c r="N11" s="94">
        <v>85967467.984933108</v>
      </c>
      <c r="O11" s="94">
        <v>85967467.984933108</v>
      </c>
      <c r="P11" s="94">
        <v>85391671.742933899</v>
      </c>
      <c r="Q11" s="94">
        <v>84815460.788939416</v>
      </c>
      <c r="R11" s="94">
        <v>84238833.832097247</v>
      </c>
      <c r="S11" s="94">
        <v>83661789.588851482</v>
      </c>
    </row>
    <row r="12" spans="1:19" ht="13" x14ac:dyDescent="0.15">
      <c r="B12" s="91" t="s">
        <v>47</v>
      </c>
      <c r="C12" s="92"/>
      <c r="D12" s="92"/>
      <c r="E12" s="92"/>
      <c r="F12" s="93"/>
      <c r="G12" s="65"/>
      <c r="H12" s="89">
        <f>Strategy!$E$12</f>
        <v>85967467.984933108</v>
      </c>
      <c r="I12" s="90">
        <v>0</v>
      </c>
      <c r="J12" s="90">
        <f>+I12+5%</f>
        <v>0.05</v>
      </c>
      <c r="K12" s="90">
        <f t="shared" si="0"/>
        <v>0.1</v>
      </c>
      <c r="L12" s="90">
        <f t="shared" si="0"/>
        <v>0.15000000000000002</v>
      </c>
      <c r="M12" s="90">
        <f t="shared" si="0"/>
        <v>0.2</v>
      </c>
      <c r="N12" s="90">
        <f t="shared" si="0"/>
        <v>0.25</v>
      </c>
      <c r="O12" s="90">
        <f t="shared" si="0"/>
        <v>0.3</v>
      </c>
      <c r="P12" s="90">
        <f t="shared" si="0"/>
        <v>0.35</v>
      </c>
      <c r="Q12" s="90">
        <f t="shared" si="0"/>
        <v>0.39999999999999997</v>
      </c>
      <c r="R12" s="90">
        <f t="shared" si="0"/>
        <v>0.44999999999999996</v>
      </c>
      <c r="S12" s="90">
        <f t="shared" si="1"/>
        <v>0.49999999999999994</v>
      </c>
    </row>
    <row r="13" spans="1:19" ht="13" x14ac:dyDescent="0.15">
      <c r="B13" s="91" t="s">
        <v>47</v>
      </c>
      <c r="C13" s="92" t="s">
        <v>1</v>
      </c>
      <c r="D13" s="92" t="s">
        <v>4</v>
      </c>
      <c r="E13" s="92" t="s">
        <v>9</v>
      </c>
      <c r="F13" s="93">
        <f>INDEX(I12:S12,MATCH(MAX(I13:S13),I13:S13,0))</f>
        <v>0</v>
      </c>
      <c r="G13" s="65"/>
      <c r="H13" s="89"/>
      <c r="I13" s="94">
        <f t="dataTable" ref="I13:S13" dt2D="1" dtr="0" r1="F13" r2="F12" ca="1"/>
        <v>85967467.984933108</v>
      </c>
      <c r="J13" s="94">
        <v>85967467.984933108</v>
      </c>
      <c r="K13" s="94">
        <v>85967467.984933108</v>
      </c>
      <c r="L13" s="94">
        <v>85967467.984933108</v>
      </c>
      <c r="M13" s="94">
        <v>85967467.984933108</v>
      </c>
      <c r="N13" s="94">
        <v>85967467.984933108</v>
      </c>
      <c r="O13" s="94">
        <v>85967467.984933108</v>
      </c>
      <c r="P13" s="94">
        <v>85967467.984933108</v>
      </c>
      <c r="Q13" s="94">
        <v>85967467.984933108</v>
      </c>
      <c r="R13" s="94">
        <v>85967467.984933108</v>
      </c>
      <c r="S13" s="94">
        <v>85967467.984933108</v>
      </c>
    </row>
    <row r="14" spans="1:19" ht="13" x14ac:dyDescent="0.15">
      <c r="B14" s="91" t="s">
        <v>47</v>
      </c>
      <c r="C14" s="92"/>
      <c r="D14" s="92"/>
      <c r="E14" s="92"/>
      <c r="F14" s="93"/>
      <c r="G14" s="65"/>
      <c r="H14" s="89">
        <f>Strategy!$E$12</f>
        <v>85967467.984933108</v>
      </c>
      <c r="I14" s="90">
        <v>0</v>
      </c>
      <c r="J14" s="90">
        <f>+I14+5%</f>
        <v>0.05</v>
      </c>
      <c r="K14" s="90">
        <f t="shared" si="0"/>
        <v>0.1</v>
      </c>
      <c r="L14" s="90">
        <f t="shared" si="0"/>
        <v>0.15000000000000002</v>
      </c>
      <c r="M14" s="90">
        <f t="shared" si="0"/>
        <v>0.2</v>
      </c>
      <c r="N14" s="90">
        <f t="shared" si="0"/>
        <v>0.25</v>
      </c>
      <c r="O14" s="90">
        <f t="shared" si="0"/>
        <v>0.3</v>
      </c>
      <c r="P14" s="90">
        <f t="shared" si="0"/>
        <v>0.35</v>
      </c>
      <c r="Q14" s="90">
        <f t="shared" si="0"/>
        <v>0.39999999999999997</v>
      </c>
      <c r="R14" s="90">
        <f t="shared" si="0"/>
        <v>0.44999999999999996</v>
      </c>
      <c r="S14" s="90">
        <f t="shared" si="1"/>
        <v>0.49999999999999994</v>
      </c>
    </row>
    <row r="15" spans="1:19" ht="13" x14ac:dyDescent="0.15">
      <c r="B15" s="91" t="s">
        <v>47</v>
      </c>
      <c r="C15" s="92" t="s">
        <v>1</v>
      </c>
      <c r="D15" s="92" t="s">
        <v>10</v>
      </c>
      <c r="E15" s="92" t="s">
        <v>8</v>
      </c>
      <c r="F15" s="93">
        <f>INDEX(I14:S14,MATCH(MAX(I15:S15),I15:S15,0))</f>
        <v>0.05</v>
      </c>
      <c r="G15" s="65"/>
      <c r="H15" s="89"/>
      <c r="I15" s="94">
        <f t="dataTable" ref="I15:S15" dt2D="1" dtr="0" r1="F15" r2="F14" ca="1"/>
        <v>85948003.11982742</v>
      </c>
      <c r="J15" s="94">
        <v>85967467.984933108</v>
      </c>
      <c r="K15" s="94">
        <v>85958055.336998105</v>
      </c>
      <c r="L15" s="94">
        <v>85919456.290500805</v>
      </c>
      <c r="M15" s="94">
        <v>85851360.502654433</v>
      </c>
      <c r="N15" s="94">
        <v>85753456.169273838</v>
      </c>
      <c r="O15" s="94">
        <v>85625430.020561606</v>
      </c>
      <c r="P15" s="94">
        <v>85466967.316807956</v>
      </c>
      <c r="Q15" s="94">
        <v>85277751.843998939</v>
      </c>
      <c r="R15" s="94">
        <v>85057465.909326643</v>
      </c>
      <c r="S15" s="94">
        <v>84693353.84507829</v>
      </c>
    </row>
    <row r="16" spans="1:19" ht="13" x14ac:dyDescent="0.15">
      <c r="B16" s="91" t="s">
        <v>47</v>
      </c>
      <c r="C16" s="92"/>
      <c r="D16" s="92"/>
      <c r="E16" s="92"/>
      <c r="F16" s="93"/>
      <c r="G16" s="65"/>
      <c r="H16" s="89">
        <f>Strategy!$E$12</f>
        <v>85967467.984933108</v>
      </c>
      <c r="I16" s="90">
        <v>0</v>
      </c>
      <c r="J16" s="90">
        <f>+I16+5%</f>
        <v>0.05</v>
      </c>
      <c r="K16" s="90">
        <f t="shared" si="0"/>
        <v>0.1</v>
      </c>
      <c r="L16" s="90">
        <f t="shared" si="0"/>
        <v>0.15000000000000002</v>
      </c>
      <c r="M16" s="90">
        <f t="shared" si="0"/>
        <v>0.2</v>
      </c>
      <c r="N16" s="90">
        <f t="shared" si="0"/>
        <v>0.25</v>
      </c>
      <c r="O16" s="90">
        <f t="shared" si="0"/>
        <v>0.3</v>
      </c>
      <c r="P16" s="90">
        <f t="shared" si="0"/>
        <v>0.35</v>
      </c>
      <c r="Q16" s="90">
        <f t="shared" si="0"/>
        <v>0.39999999999999997</v>
      </c>
      <c r="R16" s="90">
        <f t="shared" si="0"/>
        <v>0.44999999999999996</v>
      </c>
      <c r="S16" s="90">
        <f t="shared" si="1"/>
        <v>0.49999999999999994</v>
      </c>
    </row>
    <row r="17" spans="2:19" ht="13" x14ac:dyDescent="0.15">
      <c r="B17" s="91" t="s">
        <v>47</v>
      </c>
      <c r="C17" s="92" t="s">
        <v>1</v>
      </c>
      <c r="D17" s="92" t="s">
        <v>10</v>
      </c>
      <c r="E17" s="92">
        <v>1</v>
      </c>
      <c r="F17" s="93">
        <f>INDEX(I16:S16,MATCH(MAX(I17:S17),I17:S17,0))</f>
        <v>0.39999999999999997</v>
      </c>
      <c r="G17" s="65"/>
      <c r="H17" s="89"/>
      <c r="I17" s="94">
        <f t="dataTable" ref="I17:S17" dt2D="1" dtr="0" r1="F17" r2="F16" ca="1"/>
        <v>83658627.507446006</v>
      </c>
      <c r="J17" s="94">
        <v>84205377.41672644</v>
      </c>
      <c r="K17" s="94">
        <v>84679077.717127621</v>
      </c>
      <c r="L17" s="94">
        <v>85079357.714949936</v>
      </c>
      <c r="M17" s="94">
        <v>85405860.383602232</v>
      </c>
      <c r="N17" s="94">
        <v>85658242.93579866</v>
      </c>
      <c r="O17" s="94">
        <v>85836177.408560067</v>
      </c>
      <c r="P17" s="94">
        <v>85939351.261010215</v>
      </c>
      <c r="Q17" s="94">
        <v>85967467.984933108</v>
      </c>
      <c r="R17" s="94">
        <v>85920247.728028893</v>
      </c>
      <c r="S17" s="94">
        <v>85797427.929776505</v>
      </c>
    </row>
    <row r="18" spans="2:19" ht="13" x14ac:dyDescent="0.15">
      <c r="B18" s="91" t="s">
        <v>47</v>
      </c>
      <c r="C18" s="92"/>
      <c r="D18" s="92"/>
      <c r="E18" s="92"/>
      <c r="F18" s="93"/>
      <c r="G18" s="65"/>
      <c r="H18" s="89">
        <f>Strategy!$E$12</f>
        <v>85967467.984933108</v>
      </c>
      <c r="I18" s="90">
        <v>0</v>
      </c>
      <c r="J18" s="90">
        <f>+I18+5%</f>
        <v>0.05</v>
      </c>
      <c r="K18" s="90">
        <f t="shared" si="0"/>
        <v>0.1</v>
      </c>
      <c r="L18" s="90">
        <f t="shared" si="0"/>
        <v>0.15000000000000002</v>
      </c>
      <c r="M18" s="90">
        <f t="shared" si="0"/>
        <v>0.2</v>
      </c>
      <c r="N18" s="90">
        <f t="shared" si="0"/>
        <v>0.25</v>
      </c>
      <c r="O18" s="90">
        <f t="shared" si="0"/>
        <v>0.3</v>
      </c>
      <c r="P18" s="90">
        <f t="shared" si="0"/>
        <v>0.35</v>
      </c>
      <c r="Q18" s="90">
        <f t="shared" si="0"/>
        <v>0.39999999999999997</v>
      </c>
      <c r="R18" s="90">
        <f t="shared" si="0"/>
        <v>0.44999999999999996</v>
      </c>
      <c r="S18" s="90">
        <f t="shared" si="1"/>
        <v>0.49999999999999994</v>
      </c>
    </row>
    <row r="19" spans="2:19" ht="13" x14ac:dyDescent="0.15">
      <c r="B19" s="91" t="s">
        <v>47</v>
      </c>
      <c r="C19" s="92" t="s">
        <v>1</v>
      </c>
      <c r="D19" s="92" t="s">
        <v>10</v>
      </c>
      <c r="E19" s="92">
        <v>2</v>
      </c>
      <c r="F19" s="93">
        <f>INDEX(I18:S18,MATCH(MAX(I19:S19),I19:S19,0))</f>
        <v>0</v>
      </c>
      <c r="G19" s="65"/>
      <c r="H19" s="89"/>
      <c r="I19" s="94">
        <f t="dataTable" ref="I19:S19" dt2D="1" dtr="0" r1="F19" r2="F18" ca="1"/>
        <v>85967467.984933108</v>
      </c>
      <c r="J19" s="94">
        <v>85967467.984933108</v>
      </c>
      <c r="K19" s="94">
        <v>85967467.984933108</v>
      </c>
      <c r="L19" s="94">
        <v>85967467.984933108</v>
      </c>
      <c r="M19" s="94">
        <v>85967467.984933108</v>
      </c>
      <c r="N19" s="94">
        <v>85967467.984933108</v>
      </c>
      <c r="O19" s="94">
        <v>85967467.984933108</v>
      </c>
      <c r="P19" s="94">
        <v>85902594.254060656</v>
      </c>
      <c r="Q19" s="94">
        <v>85831505.745009005</v>
      </c>
      <c r="R19" s="94">
        <v>85754193.372251049</v>
      </c>
      <c r="S19" s="94">
        <v>85670648.126368374</v>
      </c>
    </row>
    <row r="20" spans="2:19" ht="13" x14ac:dyDescent="0.15">
      <c r="B20" s="91" t="s">
        <v>47</v>
      </c>
      <c r="C20" s="92"/>
      <c r="D20" s="92"/>
      <c r="E20" s="92"/>
      <c r="F20" s="93"/>
      <c r="G20" s="65"/>
      <c r="H20" s="89">
        <f>Strategy!$E$12</f>
        <v>85967467.984933108</v>
      </c>
      <c r="I20" s="90">
        <v>0</v>
      </c>
      <c r="J20" s="90">
        <f>+I20+5%</f>
        <v>0.05</v>
      </c>
      <c r="K20" s="90">
        <f t="shared" si="0"/>
        <v>0.1</v>
      </c>
      <c r="L20" s="90">
        <f t="shared" si="0"/>
        <v>0.15000000000000002</v>
      </c>
      <c r="M20" s="90">
        <f t="shared" si="0"/>
        <v>0.2</v>
      </c>
      <c r="N20" s="90">
        <f t="shared" si="0"/>
        <v>0.25</v>
      </c>
      <c r="O20" s="90">
        <f t="shared" si="0"/>
        <v>0.3</v>
      </c>
      <c r="P20" s="90">
        <f t="shared" si="0"/>
        <v>0.35</v>
      </c>
      <c r="Q20" s="90">
        <f t="shared" si="0"/>
        <v>0.39999999999999997</v>
      </c>
      <c r="R20" s="90">
        <f t="shared" si="0"/>
        <v>0.44999999999999996</v>
      </c>
      <c r="S20" s="90">
        <f t="shared" si="1"/>
        <v>0.49999999999999994</v>
      </c>
    </row>
    <row r="21" spans="2:19" ht="13" x14ac:dyDescent="0.15">
      <c r="B21" s="91" t="s">
        <v>47</v>
      </c>
      <c r="C21" s="92" t="s">
        <v>1</v>
      </c>
      <c r="D21" s="92" t="s">
        <v>10</v>
      </c>
      <c r="E21" s="92" t="s">
        <v>9</v>
      </c>
      <c r="F21" s="93">
        <f>INDEX(I20:S20,MATCH(MAX(I21:S21),I21:S21,0))</f>
        <v>0</v>
      </c>
      <c r="G21" s="65"/>
      <c r="H21" s="89"/>
      <c r="I21" s="94">
        <f t="dataTable" ref="I21:S21" dt2D="1" dtr="0" r1="F21" r2="F20" ca="1"/>
        <v>85967467.984933108</v>
      </c>
      <c r="J21" s="94">
        <v>85967467.984933108</v>
      </c>
      <c r="K21" s="94">
        <v>85967467.984933108</v>
      </c>
      <c r="L21" s="94">
        <v>85967467.984933108</v>
      </c>
      <c r="M21" s="94">
        <v>85967467.984933108</v>
      </c>
      <c r="N21" s="94">
        <v>85967467.984933108</v>
      </c>
      <c r="O21" s="94">
        <v>85967467.984933108</v>
      </c>
      <c r="P21" s="94">
        <v>85967467.984933108</v>
      </c>
      <c r="Q21" s="94">
        <v>85967467.984933108</v>
      </c>
      <c r="R21" s="94">
        <v>85967467.984933108</v>
      </c>
      <c r="S21" s="94">
        <v>85967467.984933108</v>
      </c>
    </row>
    <row r="22" spans="2:19" ht="13" x14ac:dyDescent="0.15">
      <c r="B22" s="91" t="s">
        <v>47</v>
      </c>
      <c r="C22" s="92"/>
      <c r="D22" s="92"/>
      <c r="E22" s="92"/>
      <c r="F22" s="93"/>
      <c r="G22" s="65"/>
      <c r="H22" s="89">
        <f>Strategy!$E$12</f>
        <v>85967467.984933108</v>
      </c>
      <c r="I22" s="90">
        <v>0</v>
      </c>
      <c r="J22" s="90">
        <f>+I22+5%</f>
        <v>0.05</v>
      </c>
      <c r="K22" s="90">
        <f t="shared" si="0"/>
        <v>0.1</v>
      </c>
      <c r="L22" s="90">
        <f t="shared" si="0"/>
        <v>0.15000000000000002</v>
      </c>
      <c r="M22" s="90">
        <f t="shared" si="0"/>
        <v>0.2</v>
      </c>
      <c r="N22" s="90">
        <f t="shared" si="0"/>
        <v>0.25</v>
      </c>
      <c r="O22" s="90">
        <f t="shared" si="0"/>
        <v>0.3</v>
      </c>
      <c r="P22" s="90">
        <f t="shared" si="0"/>
        <v>0.35</v>
      </c>
      <c r="Q22" s="90">
        <f t="shared" si="0"/>
        <v>0.39999999999999997</v>
      </c>
      <c r="R22" s="90">
        <f t="shared" si="0"/>
        <v>0.44999999999999996</v>
      </c>
      <c r="S22" s="90">
        <f t="shared" si="1"/>
        <v>0.49999999999999994</v>
      </c>
    </row>
    <row r="23" spans="2:19" ht="13" x14ac:dyDescent="0.15">
      <c r="B23" s="91" t="s">
        <v>47</v>
      </c>
      <c r="C23" s="92" t="s">
        <v>2</v>
      </c>
      <c r="D23" s="92" t="s">
        <v>4</v>
      </c>
      <c r="E23" s="92" t="s">
        <v>8</v>
      </c>
      <c r="F23" s="93">
        <f>INDEX(I22:S22,MATCH(MAX(I23:S23),I23:S23,0))</f>
        <v>0</v>
      </c>
      <c r="G23" s="65"/>
      <c r="H23" s="89"/>
      <c r="I23" s="94">
        <f t="dataTable" ref="I23:S23" dt2D="1" dtr="0" r1="F23" r2="F22" ca="1"/>
        <v>85967467.984933108</v>
      </c>
      <c r="J23" s="94">
        <v>85967467.984933108</v>
      </c>
      <c r="K23" s="94">
        <v>85967467.984933108</v>
      </c>
      <c r="L23" s="94">
        <v>85967467.984933108</v>
      </c>
      <c r="M23" s="94">
        <v>85967467.984933108</v>
      </c>
      <c r="N23" s="94">
        <v>85967467.984933108</v>
      </c>
      <c r="O23" s="94">
        <v>85497897.86119467</v>
      </c>
      <c r="P23" s="94">
        <v>83931686.159857467</v>
      </c>
      <c r="Q23" s="94">
        <v>82354185.205616057</v>
      </c>
      <c r="R23" s="94">
        <v>80763709.826363191</v>
      </c>
      <c r="S23" s="94">
        <v>79158278.064845577</v>
      </c>
    </row>
    <row r="24" spans="2:19" ht="13" x14ac:dyDescent="0.15">
      <c r="B24" s="91" t="s">
        <v>47</v>
      </c>
      <c r="C24" s="92"/>
      <c r="D24" s="92"/>
      <c r="E24" s="92"/>
      <c r="F24" s="93"/>
      <c r="G24" s="65"/>
      <c r="H24" s="89">
        <f>Strategy!$E$12</f>
        <v>85967467.984933108</v>
      </c>
      <c r="I24" s="90">
        <v>0</v>
      </c>
      <c r="J24" s="90">
        <f>+I24+5%</f>
        <v>0.05</v>
      </c>
      <c r="K24" s="90">
        <f t="shared" si="0"/>
        <v>0.1</v>
      </c>
      <c r="L24" s="90">
        <f t="shared" si="0"/>
        <v>0.15000000000000002</v>
      </c>
      <c r="M24" s="90">
        <f t="shared" si="0"/>
        <v>0.2</v>
      </c>
      <c r="N24" s="90">
        <f t="shared" si="0"/>
        <v>0.25</v>
      </c>
      <c r="O24" s="90">
        <f t="shared" si="0"/>
        <v>0.3</v>
      </c>
      <c r="P24" s="90">
        <f t="shared" si="0"/>
        <v>0.35</v>
      </c>
      <c r="Q24" s="90">
        <f t="shared" si="0"/>
        <v>0.39999999999999997</v>
      </c>
      <c r="R24" s="90">
        <f t="shared" si="0"/>
        <v>0.44999999999999996</v>
      </c>
      <c r="S24" s="90">
        <f t="shared" si="1"/>
        <v>0.49999999999999994</v>
      </c>
    </row>
    <row r="25" spans="2:19" ht="13" x14ac:dyDescent="0.15">
      <c r="B25" s="91" t="s">
        <v>47</v>
      </c>
      <c r="C25" s="92" t="s">
        <v>2</v>
      </c>
      <c r="D25" s="92" t="s">
        <v>4</v>
      </c>
      <c r="E25" s="92">
        <v>1</v>
      </c>
      <c r="F25" s="93">
        <f>INDEX(I24:S24,MATCH(MAX(I25:S25),I25:S25,0))</f>
        <v>0</v>
      </c>
      <c r="G25" s="65"/>
      <c r="H25" s="89"/>
      <c r="I25" s="94">
        <f t="dataTable" ref="I25:S25" dt2D="1" dtr="0" r1="F25" r2="F24" ca="1"/>
        <v>85967467.984933108</v>
      </c>
      <c r="J25" s="94">
        <v>85967467.984933108</v>
      </c>
      <c r="K25" s="94">
        <v>85967467.984933108</v>
      </c>
      <c r="L25" s="94">
        <v>85967467.984933108</v>
      </c>
      <c r="M25" s="94">
        <v>85967467.984933108</v>
      </c>
      <c r="N25" s="94">
        <v>85967467.984933108</v>
      </c>
      <c r="O25" s="94">
        <v>85967467.984933108</v>
      </c>
      <c r="P25" s="94">
        <v>85967467.984933108</v>
      </c>
      <c r="Q25" s="94">
        <v>85324839.019563854</v>
      </c>
      <c r="R25" s="94">
        <v>84249251.736607715</v>
      </c>
      <c r="S25" s="94">
        <v>83171914.982289046</v>
      </c>
    </row>
    <row r="26" spans="2:19" ht="13" x14ac:dyDescent="0.15">
      <c r="B26" s="91" t="s">
        <v>47</v>
      </c>
      <c r="C26" s="92"/>
      <c r="D26" s="92"/>
      <c r="E26" s="92"/>
      <c r="F26" s="93"/>
      <c r="G26" s="65"/>
      <c r="H26" s="89">
        <f>Strategy!$E$12</f>
        <v>85967467.984933108</v>
      </c>
      <c r="I26" s="90">
        <v>0</v>
      </c>
      <c r="J26" s="90">
        <f>+I26+5%</f>
        <v>0.05</v>
      </c>
      <c r="K26" s="90">
        <f t="shared" si="0"/>
        <v>0.1</v>
      </c>
      <c r="L26" s="90">
        <f t="shared" si="0"/>
        <v>0.15000000000000002</v>
      </c>
      <c r="M26" s="90">
        <f t="shared" si="0"/>
        <v>0.2</v>
      </c>
      <c r="N26" s="90">
        <f t="shared" si="0"/>
        <v>0.25</v>
      </c>
      <c r="O26" s="90">
        <f t="shared" si="0"/>
        <v>0.3</v>
      </c>
      <c r="P26" s="90">
        <f t="shared" si="0"/>
        <v>0.35</v>
      </c>
      <c r="Q26" s="90">
        <f t="shared" si="0"/>
        <v>0.39999999999999997</v>
      </c>
      <c r="R26" s="90">
        <f t="shared" si="0"/>
        <v>0.44999999999999996</v>
      </c>
      <c r="S26" s="90">
        <f t="shared" si="1"/>
        <v>0.49999999999999994</v>
      </c>
    </row>
    <row r="27" spans="2:19" ht="13" x14ac:dyDescent="0.15">
      <c r="B27" s="91" t="s">
        <v>47</v>
      </c>
      <c r="C27" s="92" t="s">
        <v>2</v>
      </c>
      <c r="D27" s="92" t="s">
        <v>4</v>
      </c>
      <c r="E27" s="92">
        <v>2</v>
      </c>
      <c r="F27" s="93">
        <f>INDEX(I26:S26,MATCH(MAX(I27:S27),I27:S27,0))</f>
        <v>0</v>
      </c>
      <c r="G27" s="65"/>
      <c r="H27" s="89"/>
      <c r="I27" s="94">
        <f t="dataTable" ref="I27:S27" dt2D="1" dtr="0" r1="F27" r2="F26" ca="1"/>
        <v>85967467.984933108</v>
      </c>
      <c r="J27" s="94">
        <v>85967467.984933108</v>
      </c>
      <c r="K27" s="94">
        <v>85967467.984933108</v>
      </c>
      <c r="L27" s="94">
        <v>85967467.984933108</v>
      </c>
      <c r="M27" s="94">
        <v>85967467.984933108</v>
      </c>
      <c r="N27" s="94">
        <v>85967467.984933108</v>
      </c>
      <c r="O27" s="94">
        <v>85967467.984933108</v>
      </c>
      <c r="P27" s="94">
        <v>85621550.278082088</v>
      </c>
      <c r="Q27" s="94">
        <v>85275633.912199959</v>
      </c>
      <c r="R27" s="94">
        <v>84929718.887419015</v>
      </c>
      <c r="S27" s="94">
        <v>84583805.203871518</v>
      </c>
    </row>
    <row r="28" spans="2:19" ht="13" x14ac:dyDescent="0.15">
      <c r="B28" s="91" t="s">
        <v>47</v>
      </c>
      <c r="C28" s="92"/>
      <c r="D28" s="92"/>
      <c r="E28" s="92"/>
      <c r="F28" s="93"/>
      <c r="G28" s="65"/>
      <c r="H28" s="89">
        <f>Strategy!$E$12</f>
        <v>85967467.984933108</v>
      </c>
      <c r="I28" s="90">
        <v>0</v>
      </c>
      <c r="J28" s="90">
        <f>+I28+5%</f>
        <v>0.05</v>
      </c>
      <c r="K28" s="90">
        <f t="shared" si="0"/>
        <v>0.1</v>
      </c>
      <c r="L28" s="90">
        <f t="shared" si="0"/>
        <v>0.15000000000000002</v>
      </c>
      <c r="M28" s="90">
        <f t="shared" si="0"/>
        <v>0.2</v>
      </c>
      <c r="N28" s="90">
        <f t="shared" si="0"/>
        <v>0.25</v>
      </c>
      <c r="O28" s="90">
        <f t="shared" si="0"/>
        <v>0.3</v>
      </c>
      <c r="P28" s="90">
        <f t="shared" si="0"/>
        <v>0.35</v>
      </c>
      <c r="Q28" s="90">
        <f t="shared" si="0"/>
        <v>0.39999999999999997</v>
      </c>
      <c r="R28" s="90">
        <f t="shared" si="0"/>
        <v>0.44999999999999996</v>
      </c>
      <c r="S28" s="90">
        <f t="shared" si="1"/>
        <v>0.49999999999999994</v>
      </c>
    </row>
    <row r="29" spans="2:19" ht="13" x14ac:dyDescent="0.15">
      <c r="B29" s="91" t="s">
        <v>47</v>
      </c>
      <c r="C29" s="92" t="s">
        <v>2</v>
      </c>
      <c r="D29" s="92" t="s">
        <v>4</v>
      </c>
      <c r="E29" s="92" t="s">
        <v>9</v>
      </c>
      <c r="F29" s="93">
        <f>INDEX(I28:S28,MATCH(MAX(I29:S29),I29:S29,0))</f>
        <v>0</v>
      </c>
      <c r="G29" s="65"/>
      <c r="H29" s="89"/>
      <c r="I29" s="94">
        <f t="dataTable" ref="I29:S29" dt2D="1" dtr="0" r1="F29" r2="F28" ca="1"/>
        <v>85967467.984933108</v>
      </c>
      <c r="J29" s="94">
        <v>85967467.984933108</v>
      </c>
      <c r="K29" s="94">
        <v>85967467.984933108</v>
      </c>
      <c r="L29" s="94">
        <v>85967467.984933108</v>
      </c>
      <c r="M29" s="94">
        <v>85967467.984933108</v>
      </c>
      <c r="N29" s="94">
        <v>85967467.984933108</v>
      </c>
      <c r="O29" s="94">
        <v>85967467.984933108</v>
      </c>
      <c r="P29" s="94">
        <v>85967467.984933108</v>
      </c>
      <c r="Q29" s="94">
        <v>85967467.984933108</v>
      </c>
      <c r="R29" s="94">
        <v>85967467.984933108</v>
      </c>
      <c r="S29" s="94">
        <v>85967467.984933108</v>
      </c>
    </row>
    <row r="30" spans="2:19" ht="13" x14ac:dyDescent="0.15">
      <c r="B30" s="91" t="s">
        <v>47</v>
      </c>
      <c r="C30" s="92"/>
      <c r="D30" s="92"/>
      <c r="E30" s="92"/>
      <c r="F30" s="93"/>
      <c r="G30" s="65"/>
      <c r="H30" s="89">
        <f>Strategy!$E$12</f>
        <v>85967467.984933108</v>
      </c>
      <c r="I30" s="90">
        <v>0</v>
      </c>
      <c r="J30" s="90">
        <f>+I30+5%</f>
        <v>0.05</v>
      </c>
      <c r="K30" s="90">
        <f t="shared" si="0"/>
        <v>0.1</v>
      </c>
      <c r="L30" s="90">
        <f t="shared" si="0"/>
        <v>0.15000000000000002</v>
      </c>
      <c r="M30" s="90">
        <f t="shared" si="0"/>
        <v>0.2</v>
      </c>
      <c r="N30" s="90">
        <f t="shared" si="0"/>
        <v>0.25</v>
      </c>
      <c r="O30" s="90">
        <f t="shared" si="0"/>
        <v>0.3</v>
      </c>
      <c r="P30" s="90">
        <f t="shared" si="0"/>
        <v>0.35</v>
      </c>
      <c r="Q30" s="90">
        <f t="shared" si="0"/>
        <v>0.39999999999999997</v>
      </c>
      <c r="R30" s="90">
        <f t="shared" si="0"/>
        <v>0.44999999999999996</v>
      </c>
      <c r="S30" s="90">
        <f t="shared" si="1"/>
        <v>0.49999999999999994</v>
      </c>
    </row>
    <row r="31" spans="2:19" ht="13" x14ac:dyDescent="0.15">
      <c r="B31" s="91" t="s">
        <v>47</v>
      </c>
      <c r="C31" s="92" t="s">
        <v>2</v>
      </c>
      <c r="D31" s="92" t="s">
        <v>10</v>
      </c>
      <c r="E31" s="92" t="s">
        <v>8</v>
      </c>
      <c r="F31" s="93">
        <f>INDEX(I30:S30,MATCH(MAX(I31:S31),I31:S31,0))</f>
        <v>0.44999999999999996</v>
      </c>
      <c r="G31" s="65"/>
      <c r="H31" s="89"/>
      <c r="I31" s="94">
        <f t="dataTable" ref="I31:S31" dt2D="1" dtr="0" r1="F31" r2="F30" ca="1"/>
        <v>81867063.872234881</v>
      </c>
      <c r="J31" s="94">
        <v>81867063.872234881</v>
      </c>
      <c r="K31" s="94">
        <v>82829263.129728973</v>
      </c>
      <c r="L31" s="94">
        <v>83668307.402952567</v>
      </c>
      <c r="M31" s="94">
        <v>84381573.649706125</v>
      </c>
      <c r="N31" s="94">
        <v>84966410.852171972</v>
      </c>
      <c r="O31" s="94">
        <v>85420139.973700702</v>
      </c>
      <c r="P31" s="94">
        <v>85740053.938827455</v>
      </c>
      <c r="Q31" s="94">
        <v>85923417.641169965</v>
      </c>
      <c r="R31" s="94">
        <v>85967467.984933108</v>
      </c>
      <c r="S31" s="94">
        <v>85869413.967100054</v>
      </c>
    </row>
    <row r="32" spans="2:19" ht="13" x14ac:dyDescent="0.15">
      <c r="B32" s="91" t="s">
        <v>47</v>
      </c>
      <c r="C32" s="92"/>
      <c r="D32" s="92"/>
      <c r="E32" s="92"/>
      <c r="F32" s="93"/>
      <c r="G32" s="65"/>
      <c r="H32" s="89">
        <f>Strategy!$E$12</f>
        <v>85967467.984933108</v>
      </c>
      <c r="I32" s="90">
        <v>0</v>
      </c>
      <c r="J32" s="90">
        <f>+I32+5%</f>
        <v>0.05</v>
      </c>
      <c r="K32" s="90">
        <f t="shared" si="0"/>
        <v>0.1</v>
      </c>
      <c r="L32" s="90">
        <f t="shared" si="0"/>
        <v>0.15000000000000002</v>
      </c>
      <c r="M32" s="90">
        <f t="shared" si="0"/>
        <v>0.2</v>
      </c>
      <c r="N32" s="90">
        <f t="shared" si="0"/>
        <v>0.25</v>
      </c>
      <c r="O32" s="90">
        <f t="shared" si="0"/>
        <v>0.3</v>
      </c>
      <c r="P32" s="90">
        <f t="shared" si="0"/>
        <v>0.35</v>
      </c>
      <c r="Q32" s="90">
        <f t="shared" si="0"/>
        <v>0.39999999999999997</v>
      </c>
      <c r="R32" s="90">
        <f t="shared" si="0"/>
        <v>0.44999999999999996</v>
      </c>
      <c r="S32" s="90">
        <f t="shared" si="1"/>
        <v>0.49999999999999994</v>
      </c>
    </row>
    <row r="33" spans="2:19" ht="13" x14ac:dyDescent="0.15">
      <c r="B33" s="91" t="s">
        <v>47</v>
      </c>
      <c r="C33" s="92" t="s">
        <v>2</v>
      </c>
      <c r="D33" s="92" t="s">
        <v>10</v>
      </c>
      <c r="E33" s="92">
        <v>1</v>
      </c>
      <c r="F33" s="93">
        <f>INDEX(I32:S32,MATCH(MAX(I33:S33),I33:S33,0))</f>
        <v>0</v>
      </c>
      <c r="G33" s="65"/>
      <c r="H33" s="89"/>
      <c r="I33" s="94">
        <f t="dataTable" ref="I33:S33" dt2D="1" dtr="0" r1="F33" r2="F32" ca="1"/>
        <v>85967467.984933108</v>
      </c>
      <c r="J33" s="94">
        <v>85967467.984933108</v>
      </c>
      <c r="K33" s="94">
        <v>85967467.984933108</v>
      </c>
      <c r="L33" s="94">
        <v>85967467.984933108</v>
      </c>
      <c r="M33" s="94">
        <v>85967467.984933108</v>
      </c>
      <c r="N33" s="94">
        <v>85967467.984933108</v>
      </c>
      <c r="O33" s="94">
        <v>85967467.984933108</v>
      </c>
      <c r="P33" s="94">
        <v>85967467.984933108</v>
      </c>
      <c r="Q33" s="94">
        <v>85967467.984933108</v>
      </c>
      <c r="R33" s="94">
        <v>85949590.840020478</v>
      </c>
      <c r="S33" s="94">
        <v>85865064.200295627</v>
      </c>
    </row>
    <row r="34" spans="2:19" ht="13" x14ac:dyDescent="0.15">
      <c r="B34" s="91" t="s">
        <v>47</v>
      </c>
      <c r="C34" s="92"/>
      <c r="D34" s="92"/>
      <c r="E34" s="92"/>
      <c r="F34" s="93"/>
      <c r="G34" s="65"/>
      <c r="H34" s="89">
        <f>Strategy!$E$12</f>
        <v>85967467.984933108</v>
      </c>
      <c r="I34" s="90">
        <v>0</v>
      </c>
      <c r="J34" s="90">
        <f>+I34+5%</f>
        <v>0.05</v>
      </c>
      <c r="K34" s="90">
        <f t="shared" si="0"/>
        <v>0.1</v>
      </c>
      <c r="L34" s="90">
        <f t="shared" si="0"/>
        <v>0.15000000000000002</v>
      </c>
      <c r="M34" s="90">
        <f t="shared" si="0"/>
        <v>0.2</v>
      </c>
      <c r="N34" s="90">
        <f t="shared" si="0"/>
        <v>0.25</v>
      </c>
      <c r="O34" s="90">
        <f t="shared" si="0"/>
        <v>0.3</v>
      </c>
      <c r="P34" s="90">
        <f t="shared" si="0"/>
        <v>0.35</v>
      </c>
      <c r="Q34" s="90">
        <f t="shared" si="0"/>
        <v>0.39999999999999997</v>
      </c>
      <c r="R34" s="90">
        <f t="shared" si="0"/>
        <v>0.44999999999999996</v>
      </c>
      <c r="S34" s="90">
        <f t="shared" si="1"/>
        <v>0.49999999999999994</v>
      </c>
    </row>
    <row r="35" spans="2:19" ht="13" x14ac:dyDescent="0.15">
      <c r="B35" s="91" t="s">
        <v>47</v>
      </c>
      <c r="C35" s="92" t="s">
        <v>2</v>
      </c>
      <c r="D35" s="92" t="s">
        <v>10</v>
      </c>
      <c r="E35" s="92">
        <v>2</v>
      </c>
      <c r="F35" s="93">
        <f>INDEX(I34:S34,MATCH(MAX(I35:S35),I35:S35,0))</f>
        <v>0</v>
      </c>
      <c r="G35" s="65"/>
      <c r="H35" s="89"/>
      <c r="I35" s="94">
        <f t="dataTable" ref="I35:S35" dt2D="1" dtr="0" r1="F35" r2="F34" ca="1"/>
        <v>85967467.984933108</v>
      </c>
      <c r="J35" s="94">
        <v>85967467.984933108</v>
      </c>
      <c r="K35" s="94">
        <v>85967467.984933108</v>
      </c>
      <c r="L35" s="94">
        <v>85967467.984933108</v>
      </c>
      <c r="M35" s="94">
        <v>85967467.984933108</v>
      </c>
      <c r="N35" s="94">
        <v>85967467.984933108</v>
      </c>
      <c r="O35" s="94">
        <v>85967467.984933108</v>
      </c>
      <c r="P35" s="94">
        <v>85919915.659439549</v>
      </c>
      <c r="Q35" s="94">
        <v>85867827.151173383</v>
      </c>
      <c r="R35" s="94">
        <v>85811194.482043207</v>
      </c>
      <c r="S35" s="94">
        <v>85750009.702755824</v>
      </c>
    </row>
    <row r="36" spans="2:19" ht="13" x14ac:dyDescent="0.15">
      <c r="B36" s="91" t="s">
        <v>47</v>
      </c>
      <c r="C36" s="92"/>
      <c r="D36" s="92"/>
      <c r="E36" s="92"/>
      <c r="F36" s="93"/>
      <c r="G36" s="65"/>
      <c r="H36" s="89">
        <f>Strategy!$E$12</f>
        <v>85967467.984933108</v>
      </c>
      <c r="I36" s="90">
        <v>0</v>
      </c>
      <c r="J36" s="90">
        <f>+I36+5%</f>
        <v>0.05</v>
      </c>
      <c r="K36" s="90">
        <f t="shared" si="0"/>
        <v>0.1</v>
      </c>
      <c r="L36" s="90">
        <f t="shared" si="0"/>
        <v>0.15000000000000002</v>
      </c>
      <c r="M36" s="90">
        <f t="shared" si="0"/>
        <v>0.2</v>
      </c>
      <c r="N36" s="90">
        <f t="shared" si="0"/>
        <v>0.25</v>
      </c>
      <c r="O36" s="90">
        <f t="shared" si="0"/>
        <v>0.3</v>
      </c>
      <c r="P36" s="90">
        <f t="shared" si="0"/>
        <v>0.35</v>
      </c>
      <c r="Q36" s="90">
        <f t="shared" si="0"/>
        <v>0.39999999999999997</v>
      </c>
      <c r="R36" s="90">
        <f t="shared" si="0"/>
        <v>0.44999999999999996</v>
      </c>
      <c r="S36" s="90">
        <f t="shared" si="1"/>
        <v>0.49999999999999994</v>
      </c>
    </row>
    <row r="37" spans="2:19" ht="13" x14ac:dyDescent="0.15">
      <c r="B37" s="91" t="s">
        <v>47</v>
      </c>
      <c r="C37" s="92" t="s">
        <v>2</v>
      </c>
      <c r="D37" s="92" t="s">
        <v>10</v>
      </c>
      <c r="E37" s="92" t="s">
        <v>9</v>
      </c>
      <c r="F37" s="93">
        <f>INDEX(I36:S36,MATCH(MAX(I37:S37),I37:S37,0))</f>
        <v>0</v>
      </c>
      <c r="G37" s="65"/>
      <c r="H37" s="89"/>
      <c r="I37" s="94">
        <f t="dataTable" ref="I37:S37" dt2D="1" dtr="0" r1="F37" r2="F36" ca="1"/>
        <v>85967467.984933108</v>
      </c>
      <c r="J37" s="94">
        <v>85967467.984933108</v>
      </c>
      <c r="K37" s="94">
        <v>85967467.984933108</v>
      </c>
      <c r="L37" s="94">
        <v>85967467.984933108</v>
      </c>
      <c r="M37" s="94">
        <v>85967467.984933108</v>
      </c>
      <c r="N37" s="94">
        <v>85967467.984933108</v>
      </c>
      <c r="O37" s="94">
        <v>85967467.984933108</v>
      </c>
      <c r="P37" s="94">
        <v>85967467.984933108</v>
      </c>
      <c r="Q37" s="94">
        <v>85967467.984933108</v>
      </c>
      <c r="R37" s="94">
        <v>85967467.984933108</v>
      </c>
      <c r="S37" s="94">
        <v>85967467.984933108</v>
      </c>
    </row>
    <row r="38" spans="2:19" ht="13" x14ac:dyDescent="0.15">
      <c r="B38" s="91" t="s">
        <v>47</v>
      </c>
      <c r="C38" s="92"/>
      <c r="D38" s="92"/>
      <c r="E38" s="92"/>
      <c r="F38" s="93"/>
      <c r="G38" s="65"/>
      <c r="H38" s="89">
        <f>Strategy!$E$12</f>
        <v>85967467.984933108</v>
      </c>
      <c r="I38" s="90">
        <v>0</v>
      </c>
      <c r="J38" s="90">
        <f>+I38+5%</f>
        <v>0.05</v>
      </c>
      <c r="K38" s="90">
        <f t="shared" si="0"/>
        <v>0.1</v>
      </c>
      <c r="L38" s="90">
        <f t="shared" si="0"/>
        <v>0.15000000000000002</v>
      </c>
      <c r="M38" s="90">
        <f t="shared" si="0"/>
        <v>0.2</v>
      </c>
      <c r="N38" s="90">
        <f t="shared" si="0"/>
        <v>0.25</v>
      </c>
      <c r="O38" s="90">
        <f t="shared" si="0"/>
        <v>0.3</v>
      </c>
      <c r="P38" s="90">
        <f t="shared" si="0"/>
        <v>0.35</v>
      </c>
      <c r="Q38" s="90">
        <f t="shared" si="0"/>
        <v>0.39999999999999997</v>
      </c>
      <c r="R38" s="90">
        <f t="shared" si="0"/>
        <v>0.44999999999999996</v>
      </c>
      <c r="S38" s="90">
        <f t="shared" si="1"/>
        <v>0.49999999999999994</v>
      </c>
    </row>
    <row r="39" spans="2:19" ht="13" x14ac:dyDescent="0.15">
      <c r="B39" s="91" t="s">
        <v>47</v>
      </c>
      <c r="C39" s="92" t="s">
        <v>3</v>
      </c>
      <c r="D39" s="92" t="s">
        <v>4</v>
      </c>
      <c r="E39" s="92" t="s">
        <v>8</v>
      </c>
      <c r="F39" s="93">
        <f>INDEX(I38:S38,MATCH(MAX(I39:S39),I39:S39,0))</f>
        <v>0</v>
      </c>
      <c r="G39" s="65"/>
      <c r="H39" s="89"/>
      <c r="I39" s="94">
        <f t="dataTable" ref="I39:S39" dt2D="1" dtr="0" r1="F39" r2="F38" ca="1"/>
        <v>85967467.984933108</v>
      </c>
      <c r="J39" s="94">
        <v>85967467.984933108</v>
      </c>
      <c r="K39" s="94">
        <v>85967467.984933108</v>
      </c>
      <c r="L39" s="94">
        <v>85967467.984933108</v>
      </c>
      <c r="M39" s="94">
        <v>85967467.984933108</v>
      </c>
      <c r="N39" s="94">
        <v>85967467.984933108</v>
      </c>
      <c r="O39" s="94">
        <v>85967467.984933108</v>
      </c>
      <c r="P39" s="94">
        <v>85967467.984933108</v>
      </c>
      <c r="Q39" s="94">
        <v>85967467.984933108</v>
      </c>
      <c r="R39" s="94">
        <v>85967467.984933108</v>
      </c>
      <c r="S39" s="94">
        <v>85967467.984933108</v>
      </c>
    </row>
    <row r="40" spans="2:19" ht="13" x14ac:dyDescent="0.15">
      <c r="B40" s="91" t="s">
        <v>47</v>
      </c>
      <c r="C40" s="92"/>
      <c r="D40" s="92"/>
      <c r="E40" s="92"/>
      <c r="F40" s="93"/>
      <c r="G40" s="65"/>
      <c r="H40" s="89">
        <f>Strategy!$E$12</f>
        <v>85967467.984933108</v>
      </c>
      <c r="I40" s="90">
        <v>0</v>
      </c>
      <c r="J40" s="90">
        <f>+I40+5%</f>
        <v>0.05</v>
      </c>
      <c r="K40" s="90">
        <f t="shared" si="0"/>
        <v>0.1</v>
      </c>
      <c r="L40" s="90">
        <f t="shared" si="0"/>
        <v>0.15000000000000002</v>
      </c>
      <c r="M40" s="90">
        <f t="shared" si="0"/>
        <v>0.2</v>
      </c>
      <c r="N40" s="90">
        <f t="shared" si="0"/>
        <v>0.25</v>
      </c>
      <c r="O40" s="90">
        <f t="shared" si="0"/>
        <v>0.3</v>
      </c>
      <c r="P40" s="90">
        <f t="shared" si="0"/>
        <v>0.35</v>
      </c>
      <c r="Q40" s="90">
        <f t="shared" si="0"/>
        <v>0.39999999999999997</v>
      </c>
      <c r="R40" s="90">
        <f t="shared" si="0"/>
        <v>0.44999999999999996</v>
      </c>
      <c r="S40" s="90">
        <f t="shared" si="1"/>
        <v>0.49999999999999994</v>
      </c>
    </row>
    <row r="41" spans="2:19" ht="13" x14ac:dyDescent="0.15">
      <c r="B41" s="91" t="s">
        <v>47</v>
      </c>
      <c r="C41" s="92" t="s">
        <v>3</v>
      </c>
      <c r="D41" s="92" t="s">
        <v>4</v>
      </c>
      <c r="E41" s="92">
        <v>1</v>
      </c>
      <c r="F41" s="93">
        <f>INDEX(I40:S40,MATCH(MAX(I41:S41),I41:S41,0))</f>
        <v>0</v>
      </c>
      <c r="G41" s="65"/>
      <c r="H41" s="89"/>
      <c r="I41" s="94">
        <f t="dataTable" ref="I41:S41" dt2D="1" dtr="0" r1="F41" r2="F40" ca="1"/>
        <v>85967467.984933108</v>
      </c>
      <c r="J41" s="94">
        <v>85967467.984933108</v>
      </c>
      <c r="K41" s="94">
        <v>85967467.984933108</v>
      </c>
      <c r="L41" s="94">
        <v>85967467.984933108</v>
      </c>
      <c r="M41" s="94">
        <v>85967467.984933108</v>
      </c>
      <c r="N41" s="94">
        <v>85967467.984933108</v>
      </c>
      <c r="O41" s="94">
        <v>85967467.984933108</v>
      </c>
      <c r="P41" s="94">
        <v>85967467.984933108</v>
      </c>
      <c r="Q41" s="94">
        <v>85967467.984933108</v>
      </c>
      <c r="R41" s="94">
        <v>85967467.984933108</v>
      </c>
      <c r="S41" s="94">
        <v>85967467.984933108</v>
      </c>
    </row>
    <row r="42" spans="2:19" ht="13" x14ac:dyDescent="0.15">
      <c r="B42" s="91" t="s">
        <v>47</v>
      </c>
      <c r="C42" s="92"/>
      <c r="D42" s="92"/>
      <c r="E42" s="92"/>
      <c r="F42" s="93"/>
      <c r="G42" s="65"/>
      <c r="H42" s="89">
        <f>Strategy!$E$12</f>
        <v>85967467.984933108</v>
      </c>
      <c r="I42" s="90">
        <v>0</v>
      </c>
      <c r="J42" s="90">
        <f>+I42+5%</f>
        <v>0.05</v>
      </c>
      <c r="K42" s="90">
        <f t="shared" si="0"/>
        <v>0.1</v>
      </c>
      <c r="L42" s="90">
        <f t="shared" si="0"/>
        <v>0.15000000000000002</v>
      </c>
      <c r="M42" s="90">
        <f t="shared" si="0"/>
        <v>0.2</v>
      </c>
      <c r="N42" s="90">
        <f t="shared" si="0"/>
        <v>0.25</v>
      </c>
      <c r="O42" s="90">
        <f t="shared" si="0"/>
        <v>0.3</v>
      </c>
      <c r="P42" s="90">
        <f t="shared" si="0"/>
        <v>0.35</v>
      </c>
      <c r="Q42" s="90">
        <f t="shared" si="0"/>
        <v>0.39999999999999997</v>
      </c>
      <c r="R42" s="90">
        <f t="shared" si="0"/>
        <v>0.44999999999999996</v>
      </c>
      <c r="S42" s="90">
        <f t="shared" si="1"/>
        <v>0.49999999999999994</v>
      </c>
    </row>
    <row r="43" spans="2:19" ht="13" x14ac:dyDescent="0.15">
      <c r="B43" s="91" t="s">
        <v>47</v>
      </c>
      <c r="C43" s="92" t="s">
        <v>3</v>
      </c>
      <c r="D43" s="92" t="s">
        <v>4</v>
      </c>
      <c r="E43" s="92">
        <v>2</v>
      </c>
      <c r="F43" s="93">
        <f>INDEX(I42:S42,MATCH(MAX(I43:S43),I43:S43,0))</f>
        <v>0</v>
      </c>
      <c r="G43" s="65"/>
      <c r="H43" s="89"/>
      <c r="I43" s="94">
        <f t="dataTable" ref="I43:S43" dt2D="1" dtr="0" r1="F43" r2="F42" ca="1"/>
        <v>85967467.984933108</v>
      </c>
      <c r="J43" s="94">
        <v>85967467.984933108</v>
      </c>
      <c r="K43" s="94">
        <v>85967467.984933108</v>
      </c>
      <c r="L43" s="94">
        <v>85967467.984933108</v>
      </c>
      <c r="M43" s="94">
        <v>85967467.984933108</v>
      </c>
      <c r="N43" s="94">
        <v>85967467.984933108</v>
      </c>
      <c r="O43" s="94">
        <v>85967467.984933108</v>
      </c>
      <c r="P43" s="94">
        <v>85967467.984933108</v>
      </c>
      <c r="Q43" s="94">
        <v>85967467.984933108</v>
      </c>
      <c r="R43" s="94">
        <v>85967467.984933108</v>
      </c>
      <c r="S43" s="94">
        <v>85967467.984933108</v>
      </c>
    </row>
    <row r="44" spans="2:19" ht="13" x14ac:dyDescent="0.15">
      <c r="B44" s="91" t="s">
        <v>47</v>
      </c>
      <c r="C44" s="92"/>
      <c r="D44" s="92"/>
      <c r="E44" s="92"/>
      <c r="F44" s="93"/>
      <c r="G44" s="65"/>
      <c r="H44" s="89">
        <f>Strategy!$E$12</f>
        <v>85967467.984933108</v>
      </c>
      <c r="I44" s="90">
        <v>0</v>
      </c>
      <c r="J44" s="90">
        <f>+I44+5%</f>
        <v>0.05</v>
      </c>
      <c r="K44" s="90">
        <f t="shared" si="0"/>
        <v>0.1</v>
      </c>
      <c r="L44" s="90">
        <f t="shared" si="0"/>
        <v>0.15000000000000002</v>
      </c>
      <c r="M44" s="90">
        <f t="shared" si="0"/>
        <v>0.2</v>
      </c>
      <c r="N44" s="90">
        <f t="shared" si="0"/>
        <v>0.25</v>
      </c>
      <c r="O44" s="90">
        <f t="shared" si="0"/>
        <v>0.3</v>
      </c>
      <c r="P44" s="90">
        <f t="shared" si="0"/>
        <v>0.35</v>
      </c>
      <c r="Q44" s="90">
        <f t="shared" si="0"/>
        <v>0.39999999999999997</v>
      </c>
      <c r="R44" s="90">
        <f t="shared" si="0"/>
        <v>0.44999999999999996</v>
      </c>
      <c r="S44" s="90">
        <f t="shared" si="1"/>
        <v>0.49999999999999994</v>
      </c>
    </row>
    <row r="45" spans="2:19" ht="13" x14ac:dyDescent="0.15">
      <c r="B45" s="91" t="s">
        <v>47</v>
      </c>
      <c r="C45" s="92" t="s">
        <v>3</v>
      </c>
      <c r="D45" s="92" t="s">
        <v>4</v>
      </c>
      <c r="E45" s="92" t="s">
        <v>9</v>
      </c>
      <c r="F45" s="93">
        <f>INDEX(I44:S44,MATCH(MAX(I45:S45),I45:S45,0))</f>
        <v>0</v>
      </c>
      <c r="G45" s="65"/>
      <c r="H45" s="89"/>
      <c r="I45" s="94">
        <f t="dataTable" ref="I45:S45" dt2D="1" dtr="0" r1="F45" r2="F44" ca="1"/>
        <v>85967467.984933108</v>
      </c>
      <c r="J45" s="94">
        <v>85967467.984933108</v>
      </c>
      <c r="K45" s="94">
        <v>85967467.984933108</v>
      </c>
      <c r="L45" s="94">
        <v>85967467.984933108</v>
      </c>
      <c r="M45" s="94">
        <v>85967467.984933108</v>
      </c>
      <c r="N45" s="94">
        <v>85967467.984933108</v>
      </c>
      <c r="O45" s="94">
        <v>85967467.984933108</v>
      </c>
      <c r="P45" s="94">
        <v>85967467.984933108</v>
      </c>
      <c r="Q45" s="94">
        <v>85967467.984933108</v>
      </c>
      <c r="R45" s="94">
        <v>85967467.984933108</v>
      </c>
      <c r="S45" s="94">
        <v>85967467.984933108</v>
      </c>
    </row>
    <row r="46" spans="2:19" ht="13" x14ac:dyDescent="0.15">
      <c r="B46" s="91" t="s">
        <v>47</v>
      </c>
      <c r="C46" s="92"/>
      <c r="D46" s="92"/>
      <c r="E46" s="92"/>
      <c r="F46" s="93"/>
      <c r="G46" s="65"/>
      <c r="H46" s="89">
        <f>Strategy!$E$12</f>
        <v>85967467.984933108</v>
      </c>
      <c r="I46" s="90">
        <v>0</v>
      </c>
      <c r="J46" s="90">
        <f>+I46+5%</f>
        <v>0.05</v>
      </c>
      <c r="K46" s="90">
        <f t="shared" si="0"/>
        <v>0.1</v>
      </c>
      <c r="L46" s="90">
        <f t="shared" si="0"/>
        <v>0.15000000000000002</v>
      </c>
      <c r="M46" s="90">
        <f t="shared" si="0"/>
        <v>0.2</v>
      </c>
      <c r="N46" s="90">
        <f t="shared" si="0"/>
        <v>0.25</v>
      </c>
      <c r="O46" s="90">
        <f t="shared" si="0"/>
        <v>0.3</v>
      </c>
      <c r="P46" s="90">
        <f t="shared" si="0"/>
        <v>0.35</v>
      </c>
      <c r="Q46" s="90">
        <f t="shared" si="0"/>
        <v>0.39999999999999997</v>
      </c>
      <c r="R46" s="90">
        <f t="shared" si="0"/>
        <v>0.44999999999999996</v>
      </c>
      <c r="S46" s="90">
        <f t="shared" si="1"/>
        <v>0.49999999999999994</v>
      </c>
    </row>
    <row r="47" spans="2:19" ht="13" x14ac:dyDescent="0.15">
      <c r="B47" s="91" t="s">
        <v>47</v>
      </c>
      <c r="C47" s="92" t="s">
        <v>3</v>
      </c>
      <c r="D47" s="92" t="s">
        <v>10</v>
      </c>
      <c r="E47" s="92" t="s">
        <v>8</v>
      </c>
      <c r="F47" s="93">
        <f>INDEX(I46:S46,MATCH(MAX(I47:S47),I47:S47,0))</f>
        <v>0</v>
      </c>
      <c r="G47" s="65"/>
      <c r="H47" s="89"/>
      <c r="I47" s="94">
        <f t="dataTable" ref="I47:S47" dt2D="1" dtr="0" r1="F47" r2="F46" ca="1"/>
        <v>85967467.984933108</v>
      </c>
      <c r="J47" s="94">
        <v>85967467.984933108</v>
      </c>
      <c r="K47" s="94">
        <v>85967467.984933108</v>
      </c>
      <c r="L47" s="94">
        <v>85967467.984933108</v>
      </c>
      <c r="M47" s="94">
        <v>85967467.984933108</v>
      </c>
      <c r="N47" s="94">
        <v>85967467.984933108</v>
      </c>
      <c r="O47" s="94">
        <v>85967467.984933108</v>
      </c>
      <c r="P47" s="94">
        <v>85967467.984933108</v>
      </c>
      <c r="Q47" s="94">
        <v>85967467.984933108</v>
      </c>
      <c r="R47" s="94">
        <v>85967467.984933108</v>
      </c>
      <c r="S47" s="94">
        <v>85967467.984933108</v>
      </c>
    </row>
    <row r="48" spans="2:19" ht="13" x14ac:dyDescent="0.15">
      <c r="B48" s="91" t="s">
        <v>47</v>
      </c>
      <c r="C48" s="92"/>
      <c r="D48" s="92"/>
      <c r="E48" s="92"/>
      <c r="F48" s="93"/>
      <c r="G48" s="65"/>
      <c r="H48" s="89">
        <f>Strategy!$E$12</f>
        <v>85967467.984933108</v>
      </c>
      <c r="I48" s="90">
        <v>0</v>
      </c>
      <c r="J48" s="90">
        <f>+I48+5%</f>
        <v>0.05</v>
      </c>
      <c r="K48" s="90">
        <f t="shared" si="0"/>
        <v>0.1</v>
      </c>
      <c r="L48" s="90">
        <f t="shared" si="0"/>
        <v>0.15000000000000002</v>
      </c>
      <c r="M48" s="90">
        <f t="shared" si="0"/>
        <v>0.2</v>
      </c>
      <c r="N48" s="90">
        <f t="shared" si="0"/>
        <v>0.25</v>
      </c>
      <c r="O48" s="90">
        <f t="shared" si="0"/>
        <v>0.3</v>
      </c>
      <c r="P48" s="90">
        <f t="shared" si="0"/>
        <v>0.35</v>
      </c>
      <c r="Q48" s="90">
        <f t="shared" si="0"/>
        <v>0.39999999999999997</v>
      </c>
      <c r="R48" s="90">
        <f t="shared" si="0"/>
        <v>0.44999999999999996</v>
      </c>
      <c r="S48" s="90">
        <f t="shared" si="1"/>
        <v>0.49999999999999994</v>
      </c>
    </row>
    <row r="49" spans="2:19" ht="13" x14ac:dyDescent="0.15">
      <c r="B49" s="91" t="s">
        <v>47</v>
      </c>
      <c r="C49" s="92" t="s">
        <v>3</v>
      </c>
      <c r="D49" s="92" t="s">
        <v>10</v>
      </c>
      <c r="E49" s="92">
        <v>1</v>
      </c>
      <c r="F49" s="93">
        <f>INDEX(I48:S48,MATCH(MAX(I49:S49),I49:S49,0))</f>
        <v>0</v>
      </c>
      <c r="G49" s="65"/>
      <c r="H49" s="89"/>
      <c r="I49" s="94">
        <f t="dataTable" ref="I49:S49" dt2D="1" dtr="0" r1="F49" r2="F48" ca="1"/>
        <v>85967467.984933108</v>
      </c>
      <c r="J49" s="94">
        <v>85967467.984933108</v>
      </c>
      <c r="K49" s="94">
        <v>85967467.984933108</v>
      </c>
      <c r="L49" s="94">
        <v>85967467.984933108</v>
      </c>
      <c r="M49" s="94">
        <v>85967467.984933108</v>
      </c>
      <c r="N49" s="94">
        <v>85967467.984933108</v>
      </c>
      <c r="O49" s="94">
        <v>85967467.984933108</v>
      </c>
      <c r="P49" s="94">
        <v>85967467.984933108</v>
      </c>
      <c r="Q49" s="94">
        <v>85967467.984933108</v>
      </c>
      <c r="R49" s="94">
        <v>85967467.984933108</v>
      </c>
      <c r="S49" s="94">
        <v>85967467.984933108</v>
      </c>
    </row>
    <row r="50" spans="2:19" ht="13" x14ac:dyDescent="0.15">
      <c r="B50" s="91" t="s">
        <v>47</v>
      </c>
      <c r="C50" s="92"/>
      <c r="D50" s="92"/>
      <c r="E50" s="92"/>
      <c r="F50" s="93"/>
      <c r="G50" s="65"/>
      <c r="H50" s="89">
        <f>Strategy!$E$12</f>
        <v>85967467.984933108</v>
      </c>
      <c r="I50" s="90">
        <v>0</v>
      </c>
      <c r="J50" s="90">
        <f>+I50+5%</f>
        <v>0.05</v>
      </c>
      <c r="K50" s="90">
        <f t="shared" si="0"/>
        <v>0.1</v>
      </c>
      <c r="L50" s="90">
        <f t="shared" si="0"/>
        <v>0.15000000000000002</v>
      </c>
      <c r="M50" s="90">
        <f t="shared" si="0"/>
        <v>0.2</v>
      </c>
      <c r="N50" s="90">
        <f t="shared" si="0"/>
        <v>0.25</v>
      </c>
      <c r="O50" s="90">
        <f t="shared" si="0"/>
        <v>0.3</v>
      </c>
      <c r="P50" s="90">
        <f t="shared" si="0"/>
        <v>0.35</v>
      </c>
      <c r="Q50" s="90">
        <f t="shared" si="0"/>
        <v>0.39999999999999997</v>
      </c>
      <c r="R50" s="90">
        <f t="shared" si="0"/>
        <v>0.44999999999999996</v>
      </c>
      <c r="S50" s="90">
        <f t="shared" si="1"/>
        <v>0.49999999999999994</v>
      </c>
    </row>
    <row r="51" spans="2:19" ht="13" x14ac:dyDescent="0.15">
      <c r="B51" s="91" t="s">
        <v>47</v>
      </c>
      <c r="C51" s="92" t="s">
        <v>3</v>
      </c>
      <c r="D51" s="92" t="s">
        <v>10</v>
      </c>
      <c r="E51" s="92">
        <v>2</v>
      </c>
      <c r="F51" s="93">
        <f>INDEX(I50:S50,MATCH(MAX(I51:S51),I51:S51,0))</f>
        <v>0</v>
      </c>
      <c r="G51" s="65"/>
      <c r="H51" s="89"/>
      <c r="I51" s="94">
        <f t="dataTable" ref="I51:S51" dt2D="1" dtr="0" r1="F51" r2="F50" ca="1"/>
        <v>85967467.984933108</v>
      </c>
      <c r="J51" s="94">
        <v>85967467.984933108</v>
      </c>
      <c r="K51" s="94">
        <v>85967467.984933108</v>
      </c>
      <c r="L51" s="94">
        <v>85967467.984933108</v>
      </c>
      <c r="M51" s="94">
        <v>85967467.984933108</v>
      </c>
      <c r="N51" s="94">
        <v>85967467.984933108</v>
      </c>
      <c r="O51" s="94">
        <v>85967467.984933108</v>
      </c>
      <c r="P51" s="94">
        <v>85967467.984933108</v>
      </c>
      <c r="Q51" s="94">
        <v>85967467.984933108</v>
      </c>
      <c r="R51" s="94">
        <v>85967467.984933108</v>
      </c>
      <c r="S51" s="94">
        <v>85967467.984933108</v>
      </c>
    </row>
    <row r="52" spans="2:19" ht="13" x14ac:dyDescent="0.15">
      <c r="B52" s="91" t="s">
        <v>47</v>
      </c>
      <c r="C52" s="92"/>
      <c r="D52" s="92"/>
      <c r="E52" s="92"/>
      <c r="F52" s="93"/>
      <c r="G52" s="65"/>
      <c r="H52" s="89">
        <f>Strategy!$E$12</f>
        <v>85967467.984933108</v>
      </c>
      <c r="I52" s="90">
        <v>0</v>
      </c>
      <c r="J52" s="90">
        <f>+I52+5%</f>
        <v>0.05</v>
      </c>
      <c r="K52" s="90">
        <f t="shared" si="0"/>
        <v>0.1</v>
      </c>
      <c r="L52" s="90">
        <f t="shared" si="0"/>
        <v>0.15000000000000002</v>
      </c>
      <c r="M52" s="90">
        <f t="shared" si="0"/>
        <v>0.2</v>
      </c>
      <c r="N52" s="90">
        <f t="shared" si="0"/>
        <v>0.25</v>
      </c>
      <c r="O52" s="90">
        <f t="shared" si="0"/>
        <v>0.3</v>
      </c>
      <c r="P52" s="90">
        <f t="shared" si="0"/>
        <v>0.35</v>
      </c>
      <c r="Q52" s="90">
        <f t="shared" si="0"/>
        <v>0.39999999999999997</v>
      </c>
      <c r="R52" s="90">
        <f t="shared" si="0"/>
        <v>0.44999999999999996</v>
      </c>
      <c r="S52" s="90">
        <f t="shared" si="1"/>
        <v>0.49999999999999994</v>
      </c>
    </row>
    <row r="53" spans="2:19" ht="13" x14ac:dyDescent="0.15">
      <c r="B53" s="91" t="s">
        <v>47</v>
      </c>
      <c r="C53" s="92" t="s">
        <v>3</v>
      </c>
      <c r="D53" s="92" t="s">
        <v>10</v>
      </c>
      <c r="E53" s="92" t="s">
        <v>9</v>
      </c>
      <c r="F53" s="93">
        <f>INDEX(I52:S52,MATCH(MAX(I53:S53),I53:S53,0))</f>
        <v>0</v>
      </c>
      <c r="G53" s="65"/>
      <c r="H53" s="89"/>
      <c r="I53" s="94">
        <f t="dataTable" ref="I53:S53" dt2D="1" dtr="0" r1="F53" r2="F52" ca="1"/>
        <v>85967467.984933108</v>
      </c>
      <c r="J53" s="94">
        <v>85967467.984933108</v>
      </c>
      <c r="K53" s="94">
        <v>85967467.984933108</v>
      </c>
      <c r="L53" s="94">
        <v>85967467.984933108</v>
      </c>
      <c r="M53" s="94">
        <v>85967467.984933108</v>
      </c>
      <c r="N53" s="94">
        <v>85967467.984933108</v>
      </c>
      <c r="O53" s="94">
        <v>85967467.984933108</v>
      </c>
      <c r="P53" s="94">
        <v>85967467.984933108</v>
      </c>
      <c r="Q53" s="94">
        <v>85967467.984933108</v>
      </c>
      <c r="R53" s="94">
        <v>85967467.984933108</v>
      </c>
      <c r="S53" s="94">
        <v>85967467.984933108</v>
      </c>
    </row>
    <row r="54" spans="2:19" ht="13" x14ac:dyDescent="0.15">
      <c r="B54" s="91" t="s">
        <v>189</v>
      </c>
      <c r="C54" s="92"/>
      <c r="D54" s="92"/>
      <c r="E54" s="92"/>
      <c r="F54" s="93"/>
      <c r="G54" s="65"/>
      <c r="H54" s="89">
        <f>Strategy!$E$12</f>
        <v>85967467.984933108</v>
      </c>
      <c r="I54" s="90" t="s">
        <v>49</v>
      </c>
      <c r="J54" s="90" t="str">
        <f>Dropdowns!C8</f>
        <v>Low</v>
      </c>
      <c r="K54" s="90" t="str">
        <f>Dropdowns!C9</f>
        <v>High</v>
      </c>
      <c r="L54" s="65"/>
      <c r="M54" s="65"/>
      <c r="N54" s="65"/>
      <c r="O54" s="65"/>
      <c r="P54" s="65"/>
      <c r="Q54" s="65"/>
      <c r="R54" s="65"/>
      <c r="S54" s="65"/>
    </row>
    <row r="55" spans="2:19" ht="13" x14ac:dyDescent="0.15">
      <c r="B55" s="95" t="s">
        <v>189</v>
      </c>
      <c r="C55" s="92" t="s">
        <v>1</v>
      </c>
      <c r="D55" s="92" t="s">
        <v>85</v>
      </c>
      <c r="E55" s="92" t="s">
        <v>85</v>
      </c>
      <c r="F55" s="93" t="str">
        <f>INDEX(I54:S54,MATCH(MAX(I55:S55),I55:S55,0))</f>
        <v>None</v>
      </c>
      <c r="G55" s="65"/>
      <c r="H55" s="89"/>
      <c r="I55" s="94">
        <f t="dataTable" ref="I55:K55" dt2D="1" dtr="0" r1="F55" r2="F54" ca="1"/>
        <v>85967467.984933108</v>
      </c>
      <c r="J55" s="94">
        <v>85224200.568033844</v>
      </c>
      <c r="K55" s="94">
        <v>85725744.171726152</v>
      </c>
      <c r="L55" s="65"/>
      <c r="M55" s="65"/>
      <c r="N55" s="65"/>
      <c r="O55" s="65"/>
      <c r="P55" s="65"/>
      <c r="Q55" s="65"/>
      <c r="R55" s="65"/>
      <c r="S55" s="65"/>
    </row>
    <row r="56" spans="2:19" ht="13" x14ac:dyDescent="0.15">
      <c r="B56" s="95" t="s">
        <v>189</v>
      </c>
      <c r="C56" s="92"/>
      <c r="D56" s="92"/>
      <c r="E56" s="92"/>
      <c r="F56" s="93"/>
      <c r="G56" s="65"/>
      <c r="H56" s="89">
        <f>Strategy!$E$12</f>
        <v>85967467.984933108</v>
      </c>
      <c r="I56" s="90" t="s">
        <v>49</v>
      </c>
      <c r="J56" s="90" t="str">
        <f>J54</f>
        <v>Low</v>
      </c>
      <c r="K56" s="90" t="str">
        <f>K54</f>
        <v>High</v>
      </c>
      <c r="L56" s="65"/>
      <c r="M56" s="65"/>
      <c r="N56" s="65"/>
      <c r="O56" s="65"/>
      <c r="P56" s="65"/>
      <c r="Q56" s="65"/>
      <c r="R56" s="65"/>
      <c r="S56" s="65"/>
    </row>
    <row r="57" spans="2:19" ht="13" x14ac:dyDescent="0.15">
      <c r="B57" s="95" t="s">
        <v>189</v>
      </c>
      <c r="C57" s="92" t="s">
        <v>2</v>
      </c>
      <c r="D57" s="92" t="s">
        <v>85</v>
      </c>
      <c r="E57" s="92" t="s">
        <v>85</v>
      </c>
      <c r="F57" s="93" t="str">
        <f>INDEX(I56:S56,MATCH(MAX(I57:S57),I57:S57,0))</f>
        <v>Low</v>
      </c>
      <c r="G57" s="65"/>
      <c r="H57" s="89"/>
      <c r="I57" s="94">
        <f t="dataTable" ref="I57:K57" dt2D="1" dtr="0" r1="F57" r2="F56" ca="1"/>
        <v>85739626.862588629</v>
      </c>
      <c r="J57" s="94">
        <v>85967467.984933108</v>
      </c>
      <c r="K57" s="94">
        <v>85236246.071982741</v>
      </c>
      <c r="L57" s="65"/>
      <c r="M57" s="65"/>
      <c r="N57" s="65"/>
      <c r="O57" s="65"/>
      <c r="P57" s="65"/>
      <c r="Q57" s="65"/>
      <c r="R57" s="65"/>
      <c r="S57" s="65"/>
    </row>
    <row r="58" spans="2:19" ht="13" x14ac:dyDescent="0.15">
      <c r="B58" s="95" t="s">
        <v>189</v>
      </c>
      <c r="C58" s="92"/>
      <c r="D58" s="92"/>
      <c r="E58" s="92"/>
      <c r="F58" s="93"/>
      <c r="G58" s="65"/>
      <c r="H58" s="89">
        <f>Strategy!$E$12</f>
        <v>85967467.984933108</v>
      </c>
      <c r="I58" s="90" t="s">
        <v>49</v>
      </c>
      <c r="J58" s="90" t="str">
        <f>J56</f>
        <v>Low</v>
      </c>
      <c r="K58" s="90" t="str">
        <f>K56</f>
        <v>High</v>
      </c>
      <c r="L58" s="65"/>
      <c r="M58" s="65"/>
      <c r="N58" s="65"/>
      <c r="O58" s="65"/>
      <c r="P58" s="65"/>
      <c r="Q58" s="65"/>
      <c r="R58" s="65"/>
      <c r="S58" s="65"/>
    </row>
    <row r="59" spans="2:19" ht="13" x14ac:dyDescent="0.15">
      <c r="B59" s="95" t="s">
        <v>189</v>
      </c>
      <c r="C59" s="92" t="s">
        <v>3</v>
      </c>
      <c r="D59" s="92" t="s">
        <v>85</v>
      </c>
      <c r="E59" s="92" t="s">
        <v>85</v>
      </c>
      <c r="F59" s="93" t="str">
        <f>INDEX(I58:S58,MATCH(MAX(I59:S59),I59:S59,0))</f>
        <v>High</v>
      </c>
      <c r="G59" s="65"/>
      <c r="H59" s="89"/>
      <c r="I59" s="94">
        <f t="dataTable" ref="I59:K59" dt2D="1" dtr="0" r1="F59" r2="F58" ca="1"/>
        <v>85427749.882660389</v>
      </c>
      <c r="J59" s="94">
        <v>85503834.693353981</v>
      </c>
      <c r="K59" s="94">
        <v>85967467.984933108</v>
      </c>
      <c r="L59" s="65"/>
      <c r="M59" s="65"/>
      <c r="N59" s="65"/>
      <c r="O59" s="65"/>
      <c r="P59" s="65"/>
      <c r="Q59" s="65"/>
      <c r="R59" s="65"/>
      <c r="S59" s="65"/>
    </row>
    <row r="60" spans="2:19" ht="13" x14ac:dyDescent="0.15">
      <c r="B60" s="96" t="s">
        <v>44</v>
      </c>
      <c r="C60" s="92"/>
      <c r="D60" s="92"/>
      <c r="E60" s="92"/>
      <c r="F60" s="93"/>
      <c r="G60" s="65"/>
      <c r="H60" s="89">
        <f>Strategy!$E$12</f>
        <v>85967467.984933108</v>
      </c>
      <c r="I60" s="90" t="s">
        <v>49</v>
      </c>
      <c r="J60" s="90" t="s">
        <v>50</v>
      </c>
      <c r="K60" s="90" t="s">
        <v>51</v>
      </c>
      <c r="L60" s="90" t="s">
        <v>52</v>
      </c>
      <c r="M60" s="65"/>
      <c r="N60" s="65"/>
      <c r="O60" s="65"/>
      <c r="P60" s="65"/>
      <c r="Q60" s="65"/>
      <c r="R60" s="65"/>
      <c r="S60" s="65"/>
    </row>
    <row r="61" spans="2:19" ht="26" x14ac:dyDescent="0.15">
      <c r="B61" s="96" t="s">
        <v>44</v>
      </c>
      <c r="C61" s="92" t="s">
        <v>1</v>
      </c>
      <c r="D61" s="92" t="s">
        <v>85</v>
      </c>
      <c r="E61" s="92" t="s">
        <v>85</v>
      </c>
      <c r="F61" s="93" t="str">
        <f>INDEX(I60:S60,MATCH(MAX(I61:S61),I61:S61,0))</f>
        <v>3x2 casual</v>
      </c>
      <c r="G61" s="65"/>
      <c r="H61" s="89"/>
      <c r="I61" s="94">
        <f t="dataTable" ref="I61:L61" dt2D="1" dtr="0" r1="F61" r2="F60" ca="1"/>
        <v>85708014.13190189</v>
      </c>
      <c r="J61" s="94">
        <v>79384471.111459345</v>
      </c>
      <c r="K61" s="94">
        <v>85967467.984933108</v>
      </c>
      <c r="L61" s="94">
        <v>79503779.44007051</v>
      </c>
      <c r="M61" s="65"/>
      <c r="N61" s="65"/>
      <c r="O61" s="65"/>
      <c r="P61" s="65"/>
      <c r="Q61" s="65"/>
      <c r="R61" s="65"/>
      <c r="S61" s="65"/>
    </row>
    <row r="62" spans="2:19" ht="13" x14ac:dyDescent="0.15">
      <c r="B62" s="96" t="s">
        <v>44</v>
      </c>
      <c r="C62" s="92"/>
      <c r="D62" s="92"/>
      <c r="E62" s="92"/>
      <c r="F62" s="93"/>
      <c r="G62" s="65"/>
      <c r="H62" s="89">
        <f>Strategy!$E$12</f>
        <v>85967467.984933108</v>
      </c>
      <c r="I62" s="90" t="s">
        <v>49</v>
      </c>
      <c r="J62" s="90" t="s">
        <v>50</v>
      </c>
      <c r="K62" s="90" t="s">
        <v>51</v>
      </c>
      <c r="L62" s="90" t="s">
        <v>52</v>
      </c>
      <c r="M62" s="65"/>
      <c r="N62" s="65"/>
      <c r="O62" s="65"/>
      <c r="P62" s="65"/>
      <c r="Q62" s="65"/>
      <c r="R62" s="65"/>
      <c r="S62" s="65"/>
    </row>
    <row r="63" spans="2:19" ht="13" x14ac:dyDescent="0.15">
      <c r="B63" s="96" t="s">
        <v>44</v>
      </c>
      <c r="C63" s="92" t="s">
        <v>2</v>
      </c>
      <c r="D63" s="92" t="s">
        <v>85</v>
      </c>
      <c r="E63" s="92" t="s">
        <v>85</v>
      </c>
      <c r="F63" s="93" t="str">
        <f>INDEX(I62:S62,MATCH(MAX(I63:S63),I63:S63,0))</f>
        <v>None</v>
      </c>
      <c r="G63" s="65"/>
      <c r="H63" s="89"/>
      <c r="I63" s="94">
        <f t="dataTable" ref="I63:L63" dt2D="1" dtr="0" r1="F63" r2="F62" ca="1"/>
        <v>85967467.984933108</v>
      </c>
      <c r="J63" s="94">
        <v>78856575.499798983</v>
      </c>
      <c r="K63" s="94">
        <v>84950065.624633104</v>
      </c>
      <c r="L63" s="94">
        <v>77440973.511877507</v>
      </c>
      <c r="M63" s="65"/>
      <c r="N63" s="65"/>
      <c r="O63" s="65"/>
      <c r="P63" s="65"/>
      <c r="Q63" s="65"/>
      <c r="R63" s="65"/>
      <c r="S63" s="65"/>
    </row>
    <row r="64" spans="2:19" ht="13" x14ac:dyDescent="0.15">
      <c r="B64" s="96" t="s">
        <v>44</v>
      </c>
      <c r="C64" s="92"/>
      <c r="D64" s="92"/>
      <c r="E64" s="92"/>
      <c r="F64" s="93"/>
      <c r="G64" s="65"/>
      <c r="H64" s="89">
        <f>Strategy!$E$12</f>
        <v>85967467.984933108</v>
      </c>
      <c r="I64" s="90" t="s">
        <v>49</v>
      </c>
      <c r="J64" s="90" t="s">
        <v>50</v>
      </c>
      <c r="K64" s="90" t="s">
        <v>51</v>
      </c>
      <c r="L64" s="90" t="s">
        <v>52</v>
      </c>
      <c r="M64" s="65"/>
      <c r="N64" s="65"/>
      <c r="O64" s="65"/>
      <c r="P64" s="65"/>
      <c r="Q64" s="65"/>
      <c r="R64" s="65"/>
      <c r="S64" s="65"/>
    </row>
    <row r="65" spans="2:19" ht="13" x14ac:dyDescent="0.15">
      <c r="B65" s="96" t="s">
        <v>44</v>
      </c>
      <c r="C65" s="92" t="s">
        <v>3</v>
      </c>
      <c r="D65" s="92" t="s">
        <v>85</v>
      </c>
      <c r="E65" s="92" t="s">
        <v>85</v>
      </c>
      <c r="F65" s="93" t="str">
        <f>INDEX(I64:S64,MATCH(MAX(I65:S65),I65:S65,0))</f>
        <v>None</v>
      </c>
      <c r="G65" s="65"/>
      <c r="H65" s="89"/>
      <c r="I65" s="94">
        <f t="dataTable" ref="I65:L65" dt2D="1" dtr="0" r1="F65" r2="F64" ca="1"/>
        <v>85967467.984933108</v>
      </c>
      <c r="J65" s="94">
        <v>81274199.224693596</v>
      </c>
      <c r="K65" s="94">
        <v>85664085.231193617</v>
      </c>
      <c r="L65" s="94">
        <v>80022023.223712683</v>
      </c>
      <c r="M65" s="65"/>
      <c r="N65" s="65"/>
      <c r="O65" s="65"/>
      <c r="P65" s="65"/>
      <c r="Q65" s="65"/>
      <c r="R65" s="65"/>
      <c r="S65" s="65"/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Example">
    <tabColor theme="6"/>
    <pageSetUpPr fitToPage="1"/>
  </sheetPr>
  <dimension ref="A1:W25"/>
  <sheetViews>
    <sheetView showGridLines="0" zoomScale="160" zoomScaleNormal="160" workbookViewId="0">
      <pane xSplit="3" ySplit="6" topLeftCell="D7" activePane="bottomRight" state="frozen"/>
      <selection pane="topRight"/>
      <selection pane="bottomLeft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3" width="9.33203125" style="1" customWidth="1"/>
    <col min="4" max="4" width="2.33203125" style="1" customWidth="1"/>
    <col min="5" max="7" width="9.33203125" style="1" customWidth="1"/>
    <col min="8" max="8" width="10" style="1" bestFit="1" customWidth="1"/>
    <col min="9" max="9" width="2.33203125" style="1" customWidth="1"/>
    <col min="10" max="13" width="9.33203125" style="1" customWidth="1"/>
    <col min="14" max="14" width="2.33203125" style="1" customWidth="1"/>
    <col min="15" max="18" width="9.33203125" style="1" customWidth="1"/>
    <col min="19" max="16384" width="8.6640625" style="1"/>
  </cols>
  <sheetData>
    <row r="1" spans="1:23" ht="24" x14ac:dyDescent="0.15">
      <c r="A1" s="6" t="s">
        <v>37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3" x14ac:dyDescent="0.15">
      <c r="A2" s="7" t="s">
        <v>87</v>
      </c>
      <c r="E2" s="77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3" x14ac:dyDescent="0.15"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r="4" spans="1:23" x14ac:dyDescent="0.15">
      <c r="E4" s="63" t="s">
        <v>82</v>
      </c>
      <c r="F4" s="64"/>
      <c r="G4" s="64"/>
      <c r="H4" s="65"/>
      <c r="I4" s="65"/>
      <c r="J4" s="63" t="s">
        <v>42</v>
      </c>
      <c r="K4" s="64"/>
      <c r="L4" s="64"/>
      <c r="M4" s="64"/>
      <c r="N4" s="65"/>
      <c r="O4" s="63" t="s">
        <v>12</v>
      </c>
      <c r="P4" s="64"/>
      <c r="Q4" s="64"/>
      <c r="R4" s="64"/>
    </row>
    <row r="5" spans="1:23" ht="13" x14ac:dyDescent="0.15">
      <c r="B5" s="30" t="s">
        <v>0</v>
      </c>
      <c r="C5" s="31"/>
      <c r="D5" s="8"/>
      <c r="E5" s="78">
        <f>SUMPRODUCT(E7:E14,'Flow-through'!AH7:AH14)/'Flow-through'!AH5</f>
        <v>0.31130267827458674</v>
      </c>
      <c r="F5" s="78">
        <f>SUMPRODUCT(F7:F14,'Flow-through'!AI7:AI14)/'Flow-through'!AI5</f>
        <v>0.38400752183984305</v>
      </c>
      <c r="G5" s="78">
        <f>SUMPRODUCT(G7:G14,'Flow-through'!AJ7:AJ14)/'Flow-through'!AJ5</f>
        <v>0.39348225875656972</v>
      </c>
      <c r="H5" s="65"/>
      <c r="I5" s="65"/>
      <c r="J5" s="79">
        <f>SUM(J6:J14)</f>
        <v>1.2105360988434919</v>
      </c>
      <c r="K5" s="79">
        <f>SUM(K6:K14)</f>
        <v>1.4187775617576046</v>
      </c>
      <c r="L5" s="79">
        <f>SUM(L6:L14)</f>
        <v>1.2524937260725464</v>
      </c>
      <c r="M5" s="80">
        <f>SUM(J5:L5)</f>
        <v>3.8818073866736427</v>
      </c>
      <c r="N5" s="65"/>
      <c r="O5" s="66">
        <f>SUM(O6:O14)</f>
        <v>1762337.2935619971</v>
      </c>
      <c r="P5" s="66">
        <f>SUM(P6:P14)</f>
        <v>2593865.2557857926</v>
      </c>
      <c r="Q5" s="66">
        <f>SUM(Q6:Q14)</f>
        <v>1626215.4561702295</v>
      </c>
      <c r="R5" s="67">
        <f>SUM(R6:R14)</f>
        <v>5982418.0055180183</v>
      </c>
    </row>
    <row r="6" spans="1:23" ht="13" x14ac:dyDescent="0.15">
      <c r="B6" s="10" t="s">
        <v>5</v>
      </c>
      <c r="C6" s="10" t="s">
        <v>7</v>
      </c>
      <c r="E6" s="69" t="s">
        <v>1</v>
      </c>
      <c r="F6" s="69" t="s">
        <v>2</v>
      </c>
      <c r="G6" s="69" t="s">
        <v>3</v>
      </c>
      <c r="H6" s="65"/>
      <c r="I6" s="65"/>
      <c r="J6" s="69" t="s">
        <v>1</v>
      </c>
      <c r="K6" s="69" t="s">
        <v>2</v>
      </c>
      <c r="L6" s="69" t="s">
        <v>3</v>
      </c>
      <c r="M6" s="70" t="s">
        <v>0</v>
      </c>
      <c r="N6" s="65"/>
      <c r="O6" s="69" t="s">
        <v>1</v>
      </c>
      <c r="P6" s="69" t="s">
        <v>2</v>
      </c>
      <c r="Q6" s="69" t="s">
        <v>3</v>
      </c>
      <c r="R6" s="70" t="s">
        <v>0</v>
      </c>
    </row>
    <row r="7" spans="1:23" ht="13" x14ac:dyDescent="0.15">
      <c r="B7" s="12" t="s">
        <v>4</v>
      </c>
      <c r="C7" s="12" t="s">
        <v>8</v>
      </c>
      <c r="D7" s="29"/>
      <c r="E7" s="81">
        <f>MIN(1,+Baseline!E7+Strategy!E23+CHOOSE(Dropdowns!C$15,Impact!F$7,Impact!F$8,0,Impact!F$10))</f>
        <v>0.25</v>
      </c>
      <c r="F7" s="81">
        <f>MIN(1,+Baseline!F7+Strategy!G23+CHOOSE(Dropdowns!D$15,Impact!G$7,Impact!G$8,0,Impact!G$10))</f>
        <v>0.25</v>
      </c>
      <c r="G7" s="81">
        <f>MIN(1,+Baseline!G7+Strategy!I23+CHOOSE(Dropdowns!E$15,Impact!H$7,Impact!H$8,0,Impact!H$10))</f>
        <v>0.25</v>
      </c>
      <c r="H7" s="65"/>
      <c r="I7" s="65"/>
      <c r="J7" s="82">
        <f>Baseline!I7*(1+CHOOSE(Dropdowns!C$15,Impact!J$7,Impact!J$8,0,Impact!J$10)+E$5*Impact!J$18)</f>
        <v>0.65387197508988115</v>
      </c>
      <c r="K7" s="82">
        <f>Baseline!J7*(1+CHOOSE(Dropdowns!D$15,Impact!K$7,Impact!K$8,0,Impact!K$10)+F$5*Impact!K$18)</f>
        <v>0.39557403112848472</v>
      </c>
      <c r="L7" s="82">
        <f>Baseline!K7*(1+CHOOSE(Dropdowns!E$15,Impact!L$7,Impact!L$8,0,Impact!L$10)+G$5*Impact!L$18)</f>
        <v>0.30811588525911793</v>
      </c>
      <c r="M7" s="83">
        <f>SUM(J7:L7)</f>
        <v>1.3575618914774839</v>
      </c>
      <c r="N7" s="65"/>
      <c r="O7" s="71">
        <f>MIN(Workings!E$23*Workings!J7*(1-E7*Impact!Z21),'Flow-through'!X7)</f>
        <v>835330.96915334451</v>
      </c>
      <c r="P7" s="71">
        <f>MIN(Workings!F$23*Workings!K7*(1-F7*Impact!AA21),'Flow-through'!Y7)</f>
        <v>647129.35406887962</v>
      </c>
      <c r="Q7" s="71">
        <f>MIN(Workings!G$23*Workings!L7*(1-G7*Impact!AB21),'Flow-through'!Z7)</f>
        <v>528466.48065476853</v>
      </c>
      <c r="R7" s="72">
        <f t="shared" ref="R7:R14" si="0">SUM(O7:Q7)</f>
        <v>2010926.8038769928</v>
      </c>
      <c r="T7" s="40"/>
      <c r="U7" s="40"/>
      <c r="V7" s="40"/>
      <c r="W7" s="40"/>
    </row>
    <row r="8" spans="1:23" ht="13" x14ac:dyDescent="0.15">
      <c r="B8" s="12" t="s">
        <v>4</v>
      </c>
      <c r="C8" s="12">
        <v>1</v>
      </c>
      <c r="D8" s="29"/>
      <c r="E8" s="81">
        <f>MIN(1,+Baseline!E8+Strategy!E24+CHOOSE(Dropdowns!C$15,Impact!F$7,Impact!F$8,0,Impact!F$10))</f>
        <v>0.35</v>
      </c>
      <c r="F8" s="81">
        <f>MIN(1,+Baseline!F8+Strategy!G24+CHOOSE(Dropdowns!D$15,Impact!G$7,Impact!G$8,0,Impact!G$10))</f>
        <v>0.35</v>
      </c>
      <c r="G8" s="81">
        <f>MIN(1,+Baseline!G8+Strategy!I24+CHOOSE(Dropdowns!E$15,Impact!H$7,Impact!H$8,0,Impact!H$10))</f>
        <v>0.35</v>
      </c>
      <c r="H8" s="65"/>
      <c r="I8" s="65"/>
      <c r="J8" s="82">
        <f>Baseline!I8*(1+CHOOSE(Dropdowns!C$15,Impact!J$7,Impact!J$8,0,Impact!J$10)+E$5*Impact!J$18)</f>
        <v>5.3893499651533679E-2</v>
      </c>
      <c r="K8" s="82">
        <f>Baseline!J8*(1+CHOOSE(Dropdowns!D$15,Impact!K$7,Impact!K$8,0,Impact!K$10)+F$5*Impact!K$18)</f>
        <v>0.14065117663008506</v>
      </c>
      <c r="L8" s="82">
        <f>Baseline!K8*(1+CHOOSE(Dropdowns!E$15,Impact!L$7,Impact!L$8,0,Impact!L$10)+G$5*Impact!L$18)</f>
        <v>0.28997594260925069</v>
      </c>
      <c r="M8" s="83">
        <f t="shared" ref="M8:M14" si="1">SUM(J8:L8)</f>
        <v>0.48452061889086939</v>
      </c>
      <c r="N8" s="65"/>
      <c r="O8" s="71">
        <f>MIN(Workings!E$23*Workings!J8*(1-E8*Impact!Z22),'Flow-through'!X8)</f>
        <v>121452.79111853112</v>
      </c>
      <c r="P8" s="71">
        <f>MIN(Workings!F$23*Workings!K8*(1-F8*Impact!AA22),'Flow-through'!Y8)</f>
        <v>234703.76552531528</v>
      </c>
      <c r="Q8" s="71">
        <f>MIN(Workings!G$23*Workings!L8*(1-G8*Impact!AB22),'Flow-through'!Z8)</f>
        <v>548925.51197220967</v>
      </c>
      <c r="R8" s="72">
        <f t="shared" si="0"/>
        <v>905082.06861605612</v>
      </c>
      <c r="T8" s="40"/>
      <c r="U8" s="40"/>
      <c r="V8" s="40"/>
      <c r="W8" s="40"/>
    </row>
    <row r="9" spans="1:23" ht="13" x14ac:dyDescent="0.15">
      <c r="B9" s="12" t="s">
        <v>4</v>
      </c>
      <c r="C9" s="12">
        <v>2</v>
      </c>
      <c r="D9" s="29"/>
      <c r="E9" s="81">
        <f>MIN(1,+Baseline!E9+Strategy!E25+CHOOSE(Dropdowns!C$15,Impact!F$7,Impact!F$8,0,Impact!F$10))</f>
        <v>0.6</v>
      </c>
      <c r="F9" s="81">
        <f>MIN(1,+Baseline!F9+Strategy!G25+CHOOSE(Dropdowns!D$15,Impact!G$7,Impact!G$8,0,Impact!G$10))</f>
        <v>0.6</v>
      </c>
      <c r="G9" s="81">
        <f>MIN(1,+Baseline!G9+Strategy!I25+CHOOSE(Dropdowns!E$15,Impact!H$7,Impact!H$8,0,Impact!H$10))</f>
        <v>0.6</v>
      </c>
      <c r="H9" s="65"/>
      <c r="I9" s="65"/>
      <c r="J9" s="82">
        <f>Baseline!I9*(1+CHOOSE(Dropdowns!C$15,Impact!J$7,Impact!J$8,0,Impact!J$10)+E$5*Impact!J$18)</f>
        <v>9.4938178469048437E-2</v>
      </c>
      <c r="K9" s="82">
        <f>Baseline!J9*(1+CHOOSE(Dropdowns!D$15,Impact!K$7,Impact!K$8,0,Impact!K$10)+F$5*Impact!K$18)</f>
        <v>0.14497140161757327</v>
      </c>
      <c r="L9" s="82">
        <f>Baseline!K9*(1+CHOOSE(Dropdowns!E$15,Impact!L$7,Impact!L$8,0,Impact!L$10)+G$5*Impact!L$18)</f>
        <v>0.11471626836086825</v>
      </c>
      <c r="M9" s="83">
        <f t="shared" si="1"/>
        <v>0.35462584844748996</v>
      </c>
      <c r="N9" s="65"/>
      <c r="O9" s="71">
        <f>MIN(Workings!E$23*Workings!J9*(1-E9*Impact!Z23),'Flow-through'!X9)</f>
        <v>182199.19841489341</v>
      </c>
      <c r="P9" s="71">
        <f>MIN(Workings!F$23*Workings!K9*(1-F9*Impact!AA23),'Flow-through'!Y9)</f>
        <v>274054.80158510659</v>
      </c>
      <c r="Q9" s="71">
        <f>MIN(Workings!G$23*Workings!L9*(1-G9*Impact!AB23),'Flow-through'!Z9)</f>
        <v>0</v>
      </c>
      <c r="R9" s="72">
        <f t="shared" si="0"/>
        <v>456254</v>
      </c>
      <c r="T9" s="40"/>
      <c r="U9" s="40"/>
      <c r="V9" s="40"/>
      <c r="W9" s="40"/>
    </row>
    <row r="10" spans="1:23" ht="13" x14ac:dyDescent="0.15">
      <c r="B10" s="12" t="s">
        <v>4</v>
      </c>
      <c r="C10" s="12" t="s">
        <v>9</v>
      </c>
      <c r="D10" s="29"/>
      <c r="E10" s="81">
        <f>MIN(1,+Baseline!E10+Strategy!E26+CHOOSE(Dropdowns!C$15,Impact!F$7,Impact!F$8,0,Impact!F$10))</f>
        <v>1</v>
      </c>
      <c r="F10" s="81">
        <f>MIN(1,+Baseline!F10+Strategy!G26+CHOOSE(Dropdowns!D$15,Impact!G$7,Impact!G$8,0,Impact!G$10))</f>
        <v>1</v>
      </c>
      <c r="G10" s="81">
        <f>MIN(1,+Baseline!G10+Strategy!I26+CHOOSE(Dropdowns!E$15,Impact!H$7,Impact!H$8,0,Impact!H$10))</f>
        <v>1</v>
      </c>
      <c r="H10" s="65"/>
      <c r="I10" s="65"/>
      <c r="J10" s="82">
        <f>Baseline!I10*(1+CHOOSE(Dropdowns!C$15,Impact!J$7,Impact!J$8,0,Impact!J$10)+E$5*Impact!J$18)</f>
        <v>8.4701471664313743E-2</v>
      </c>
      <c r="K10" s="82">
        <f>Baseline!J10*(1+CHOOSE(Dropdowns!D$15,Impact!K$7,Impact!K$8,0,Impact!K$10)+F$5*Impact!K$18)</f>
        <v>0.11205370478878221</v>
      </c>
      <c r="L10" s="82">
        <f>Baseline!K10*(1+CHOOSE(Dropdowns!E$15,Impact!L$7,Impact!L$8,0,Impact!L$10)+G$5*Impact!L$18)</f>
        <v>7.513296984247915E-2</v>
      </c>
      <c r="M10" s="83">
        <f t="shared" si="1"/>
        <v>0.27188814629557512</v>
      </c>
      <c r="N10" s="65"/>
      <c r="O10" s="71">
        <f>MIN(Workings!E$23*Workings!J10*(1-E10*Impact!Z24),'Flow-through'!X10)</f>
        <v>153275.9952758498</v>
      </c>
      <c r="P10" s="71">
        <f>MIN(Workings!F$23*Workings!K10*(1-F10*Impact!AA24),'Flow-through'!Y10)</f>
        <v>232474.0047241502</v>
      </c>
      <c r="Q10" s="71">
        <f>MIN(Workings!G$23*Workings!L10*(1-G10*Impact!AB24),'Flow-through'!Z10)</f>
        <v>0</v>
      </c>
      <c r="R10" s="72">
        <f t="shared" si="0"/>
        <v>385750</v>
      </c>
      <c r="T10" s="40"/>
      <c r="U10" s="40"/>
      <c r="V10" s="40"/>
      <c r="W10" s="40"/>
    </row>
    <row r="11" spans="1:23" ht="13" x14ac:dyDescent="0.15">
      <c r="B11" s="12" t="s">
        <v>10</v>
      </c>
      <c r="C11" s="12" t="s">
        <v>8</v>
      </c>
      <c r="D11" s="29"/>
      <c r="E11" s="81">
        <f>MIN(1,+Baseline!E11+Strategy!E27+CHOOSE(Dropdowns!C$15,Impact!F$7,0,Impact!F$9,Impact!F$10))</f>
        <v>0.24674850432624451</v>
      </c>
      <c r="F11" s="81">
        <f>MIN(1,+Baseline!F11+Strategy!G27+CHOOSE(Dropdowns!D$15,Impact!G$7,0,Impact!G$9,Impact!G$10))</f>
        <v>0.44999999999999996</v>
      </c>
      <c r="G11" s="81">
        <f>MIN(1,+Baseline!G11+Strategy!I27+CHOOSE(Dropdowns!E$15,Impact!H$7,0,Impact!H$9,Impact!H$10))</f>
        <v>0.44999999999999996</v>
      </c>
      <c r="H11" s="65"/>
      <c r="I11" s="65"/>
      <c r="J11" s="82">
        <f>Baseline!I11*(1+CHOOSE(Dropdowns!C$15,Impact!J$7,0,Impact!J$9,Impact!J$10)+E$5*Impact!J$18)</f>
        <v>0.23253019576179335</v>
      </c>
      <c r="K11" s="82">
        <f>Baseline!J11*(1+CHOOSE(Dropdowns!D$15,Impact!K$7,0,Impact!K$9,Impact!K$10)+F$5*Impact!K$18)</f>
        <v>0.38128658050699754</v>
      </c>
      <c r="L11" s="82">
        <f>Baseline!K11*(1+CHOOSE(Dropdowns!E$15,Impact!L$7,0,Impact!L$9,Impact!L$10)+G$5*Impact!L$18)</f>
        <v>0.29393801354300425</v>
      </c>
      <c r="M11" s="83">
        <f t="shared" si="1"/>
        <v>0.90775478981179525</v>
      </c>
      <c r="N11" s="65"/>
      <c r="O11" s="71">
        <f>MIN(Workings!E$23*Workings!J11*(1-E11*Impact!Z25),'Flow-through'!X11)</f>
        <v>298554.7581050747</v>
      </c>
      <c r="P11" s="71">
        <f>MIN(Workings!F$23*Workings!K11*(1-F11*Impact!AA25),'Flow-through'!Y11)</f>
        <v>771396.1257876592</v>
      </c>
      <c r="Q11" s="71">
        <f>MIN(Workings!G$23*Workings!L11*(1-G11*Impact!AB25),'Flow-through'!Z11)</f>
        <v>315780.69287586235</v>
      </c>
      <c r="R11" s="72">
        <f t="shared" si="0"/>
        <v>1385731.5767685962</v>
      </c>
      <c r="T11" s="40"/>
      <c r="U11" s="40"/>
      <c r="V11" s="40"/>
      <c r="W11" s="40"/>
    </row>
    <row r="12" spans="1:23" ht="13" x14ac:dyDescent="0.15">
      <c r="B12" s="12" t="s">
        <v>10</v>
      </c>
      <c r="C12" s="12">
        <v>1</v>
      </c>
      <c r="D12" s="29"/>
      <c r="E12" s="81">
        <f>MIN(1,+Baseline!E12+Strategy!E28+CHOOSE(Dropdowns!C$15,Impact!F$7,0,Impact!F$9,Impact!F$10))</f>
        <v>0.59674850432624449</v>
      </c>
      <c r="F12" s="81">
        <f>MIN(1,+Baseline!F12+Strategy!G28+CHOOSE(Dropdowns!D$15,Impact!G$7,0,Impact!G$9,Impact!G$10))</f>
        <v>0.39999999999999997</v>
      </c>
      <c r="G12" s="81">
        <f>MIN(1,+Baseline!G12+Strategy!I28+CHOOSE(Dropdowns!E$15,Impact!H$7,0,Impact!H$9,Impact!H$10))</f>
        <v>0.39999999999999997</v>
      </c>
      <c r="H12" s="65"/>
      <c r="I12" s="65"/>
      <c r="J12" s="82">
        <f>Baseline!I12*(1+CHOOSE(Dropdowns!C$15,Impact!J$7,0,Impact!J$9,Impact!J$10)+E$5*Impact!J$18)</f>
        <v>3.2916640989746268E-2</v>
      </c>
      <c r="K12" s="82">
        <f>Baseline!J12*(1+CHOOSE(Dropdowns!D$15,Impact!K$7,0,Impact!K$9,Impact!K$10)+F$5*Impact!K$18)</f>
        <v>0.18978769439258833</v>
      </c>
      <c r="L12" s="82">
        <f>Baseline!K12*(1+CHOOSE(Dropdowns!E$15,Impact!L$7,0,Impact!L$9,Impact!L$10)+G$5*Impact!L$18)</f>
        <v>0.105364758528479</v>
      </c>
      <c r="M12" s="83">
        <f t="shared" si="1"/>
        <v>0.32806909391081357</v>
      </c>
      <c r="N12" s="65"/>
      <c r="O12" s="71">
        <f>MIN(Workings!E$23*Workings!J12*(1-E12*Impact!Z26),'Flow-through'!X12)</f>
        <v>95260.688805586207</v>
      </c>
      <c r="P12" s="71">
        <f>MIN(Workings!F$23*Workings!K12*(1-F12*Impact!AA26),'Flow-through'!Y12)</f>
        <v>381784.54631083831</v>
      </c>
      <c r="Q12" s="71">
        <f>MIN(Workings!G$23*Workings!L12*(1-G12*Impact!AB26),'Flow-through'!Z12)</f>
        <v>168600.4235341184</v>
      </c>
      <c r="R12" s="72">
        <f t="shared" si="0"/>
        <v>645645.65865054284</v>
      </c>
      <c r="T12" s="40"/>
      <c r="U12" s="40"/>
      <c r="V12" s="40"/>
      <c r="W12" s="40"/>
    </row>
    <row r="13" spans="1:23" ht="13" x14ac:dyDescent="0.15">
      <c r="B13" s="12" t="s">
        <v>10</v>
      </c>
      <c r="C13" s="12">
        <v>2</v>
      </c>
      <c r="D13" s="29"/>
      <c r="E13" s="81">
        <f>MIN(1,+Baseline!E13+Strategy!E29+CHOOSE(Dropdowns!C$15,Impact!F$7,0,Impact!F$9,Impact!F$10))</f>
        <v>0.79674850432624444</v>
      </c>
      <c r="F13" s="81">
        <f>MIN(1,+Baseline!F13+Strategy!G29+CHOOSE(Dropdowns!D$15,Impact!G$7,0,Impact!G$9,Impact!G$10))</f>
        <v>0.6</v>
      </c>
      <c r="G13" s="81">
        <f>MIN(1,+Baseline!G13+Strategy!I29+CHOOSE(Dropdowns!E$15,Impact!H$7,0,Impact!H$9,Impact!H$10))</f>
        <v>0.6</v>
      </c>
      <c r="H13" s="65"/>
      <c r="I13" s="65"/>
      <c r="J13" s="82">
        <f>Baseline!I13*(1+CHOOSE(Dropdowns!C$15,Impact!J$7,0,Impact!J$9,Impact!J$10)+E$5*Impact!J$18)</f>
        <v>1.1706209419795966E-2</v>
      </c>
      <c r="K13" s="82">
        <f>Baseline!J13*(1+CHOOSE(Dropdowns!D$15,Impact!K$7,0,Impact!K$9,Impact!K$10)+F$5*Impact!K$18)</f>
        <v>4.6442190177646801E-2</v>
      </c>
      <c r="L13" s="82">
        <f>Baseline!K13*(1+CHOOSE(Dropdowns!E$15,Impact!L$7,0,Impact!L$9,Impact!L$10)+G$5*Impact!L$18)</f>
        <v>3.4129588671908462E-2</v>
      </c>
      <c r="M13" s="83">
        <f t="shared" si="1"/>
        <v>9.2277988269351227E-2</v>
      </c>
      <c r="N13" s="65"/>
      <c r="O13" s="71">
        <f>MIN(Workings!E$23*Workings!J13*(1-E13*Impact!Z27),'Flow-through'!X13)</f>
        <v>22349.45060146281</v>
      </c>
      <c r="P13" s="71">
        <f>MIN(Workings!F$23*Workings!K13*(1-F13*Impact!AA27),'Flow-through'!Y13)</f>
        <v>44363.908769812202</v>
      </c>
      <c r="Q13" s="71">
        <f>MIN(Workings!G$23*Workings!L13*(1-G13*Impact!AB27),'Flow-through'!Z13)</f>
        <v>37315.729378289376</v>
      </c>
      <c r="R13" s="72">
        <f t="shared" si="0"/>
        <v>104029.0887495644</v>
      </c>
      <c r="T13" s="40"/>
      <c r="U13" s="40"/>
      <c r="V13" s="40"/>
      <c r="W13" s="40"/>
    </row>
    <row r="14" spans="1:23" ht="13" x14ac:dyDescent="0.15">
      <c r="B14" s="12" t="s">
        <v>10</v>
      </c>
      <c r="C14" s="12" t="s">
        <v>9</v>
      </c>
      <c r="D14" s="29"/>
      <c r="E14" s="81">
        <f>MIN(1,+Baseline!E14+Strategy!E30+CHOOSE(Dropdowns!C$15,Impact!F$7,0,Impact!F$9,Impact!F$10))</f>
        <v>1</v>
      </c>
      <c r="F14" s="81">
        <f>MIN(1,+Baseline!F14+Strategy!G30+CHOOSE(Dropdowns!D$15,Impact!G$7,0,Impact!G$9,Impact!G$10))</f>
        <v>1</v>
      </c>
      <c r="G14" s="81">
        <f>MIN(1,+Baseline!G14+Strategy!I30+CHOOSE(Dropdowns!E$15,Impact!H$7,0,Impact!H$9,Impact!H$10))</f>
        <v>1</v>
      </c>
      <c r="H14" s="65"/>
      <c r="I14" s="65"/>
      <c r="J14" s="82">
        <f>Baseline!I14*(1+CHOOSE(Dropdowns!C$15,Impact!J$7,0,Impact!J$9,Impact!J$10)+E$5*Impact!J$18)</f>
        <v>4.5977927797379206E-2</v>
      </c>
      <c r="K14" s="82">
        <f>Baseline!J14*(1+CHOOSE(Dropdowns!D$15,Impact!K$7,0,Impact!K$9,Impact!K$10)+F$5*Impact!K$18)</f>
        <v>8.010782515446695E-3</v>
      </c>
      <c r="L14" s="82">
        <f>Baseline!K14*(1+CHOOSE(Dropdowns!E$15,Impact!L$7,0,Impact!L$9,Impact!L$10)+G$5*Impact!L$18)</f>
        <v>3.1120299257438533E-2</v>
      </c>
      <c r="M14" s="83">
        <f t="shared" si="1"/>
        <v>8.5109009570264432E-2</v>
      </c>
      <c r="N14" s="65"/>
      <c r="O14" s="71">
        <f>MIN(Workings!E$23*Workings!J14*(1-E14*Impact!Z28),'Flow-through'!X14)</f>
        <v>53913.442087254756</v>
      </c>
      <c r="P14" s="71">
        <f>MIN(Workings!F$23*Workings!K14*(1-F14*Impact!AA28),'Flow-through'!Y14)</f>
        <v>7958.7490140305317</v>
      </c>
      <c r="Q14" s="71">
        <f>MIN(Workings!G$23*Workings!L14*(1-G14*Impact!AB28),'Flow-through'!Z14)</f>
        <v>27126.617754981362</v>
      </c>
      <c r="R14" s="72">
        <f t="shared" si="0"/>
        <v>88998.808856266653</v>
      </c>
      <c r="T14" s="40"/>
      <c r="U14" s="40"/>
      <c r="V14" s="40"/>
      <c r="W14" s="40"/>
    </row>
    <row r="15" spans="1:23" x14ac:dyDescent="0.15">
      <c r="E15" s="77" t="s">
        <v>94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1:23" x14ac:dyDescent="0.15">
      <c r="E16" s="77" t="s">
        <v>88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2:18" x14ac:dyDescent="0.15">
      <c r="E17" s="77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</row>
    <row r="18" spans="2:18" x14ac:dyDescent="0.15">
      <c r="E18" s="63" t="s">
        <v>55</v>
      </c>
      <c r="F18" s="64"/>
      <c r="G18" s="63"/>
      <c r="H18" s="63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2:18" x14ac:dyDescent="0.15">
      <c r="E19" s="68"/>
      <c r="F19" s="68"/>
      <c r="G19" s="68"/>
      <c r="H19" s="68"/>
      <c r="I19" s="65"/>
      <c r="J19" s="65"/>
      <c r="K19" s="65"/>
      <c r="L19" s="65"/>
      <c r="M19" s="65"/>
      <c r="N19" s="65"/>
      <c r="O19" s="65"/>
      <c r="P19" s="65"/>
      <c r="Q19" s="65"/>
      <c r="R19" s="65"/>
    </row>
    <row r="20" spans="2:18" ht="13" x14ac:dyDescent="0.15">
      <c r="B20" s="21" t="s">
        <v>43</v>
      </c>
      <c r="C20" s="3"/>
      <c r="E20" s="69" t="s">
        <v>1</v>
      </c>
      <c r="F20" s="69" t="s">
        <v>2</v>
      </c>
      <c r="G20" s="69" t="s">
        <v>3</v>
      </c>
      <c r="H20" s="70" t="s">
        <v>0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2:18" x14ac:dyDescent="0.15">
      <c r="B21" s="37" t="s">
        <v>54</v>
      </c>
      <c r="C21" s="38"/>
      <c r="E21" s="84">
        <f>Baseline!E19*(1+CHOOSE(Dropdowns!C$16,Impact!N$13,Impact!N$14,Impact!N$15)+Impact!N$18*E$5)</f>
        <v>4453765.5880662845</v>
      </c>
      <c r="F21" s="84">
        <f>Baseline!F19*(1+CHOOSE(Dropdowns!D$16,Impact!O$13,Impact!O$14,Impact!O$15)+Impact!O$18*F$5)</f>
        <v>4465927.9141932772</v>
      </c>
      <c r="G21" s="84">
        <f>Baseline!G19*(1+CHOOSE(Dropdowns!E$16,Impact!P$13,Impact!P$14,Impact!P$15)+Impact!P$18*G$5)</f>
        <v>3705283.7290096767</v>
      </c>
      <c r="H21" s="72">
        <f>SUM(E21:G21)</f>
        <v>12624977.231269239</v>
      </c>
      <c r="I21" s="65"/>
      <c r="J21" s="65"/>
      <c r="K21" s="65"/>
      <c r="L21" s="65"/>
      <c r="M21" s="65"/>
      <c r="N21" s="65"/>
      <c r="O21" s="65"/>
      <c r="P21" s="65"/>
      <c r="Q21" s="65"/>
      <c r="R21" s="65"/>
    </row>
    <row r="22" spans="2:18" x14ac:dyDescent="0.15">
      <c r="B22" s="37" t="s">
        <v>40</v>
      </c>
      <c r="C22" s="38"/>
      <c r="E22" s="85">
        <f>Baseline!E20+Impact!R$18*E$5+CHOOSE(Dropdowns!C$16,Impact!R$13,Impact!R$14,Impact!R$15)</f>
        <v>0.22006430236562871</v>
      </c>
      <c r="F22" s="85">
        <f>Baseline!F20+Impact!S$18*F$5+CHOOSE(Dropdowns!D$16,Impact!S$13,Impact!S$14,Impact!S$15)</f>
        <v>0.17020343333168855</v>
      </c>
      <c r="G22" s="85">
        <f>Baseline!G20+Impact!T$18*G$5+CHOOSE(Dropdowns!E$16,Impact!T$13,Impact!T$14,Impact!T$15)</f>
        <v>0.18627126528731086</v>
      </c>
      <c r="H22" s="86">
        <f>IFERROR(H23/H21,"")</f>
        <v>0.19250878041006589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2:18" x14ac:dyDescent="0.15">
      <c r="B23" s="37" t="s">
        <v>41</v>
      </c>
      <c r="C23" s="38"/>
      <c r="E23" s="87">
        <f>E22*E21</f>
        <v>980114.81703785097</v>
      </c>
      <c r="F23" s="87">
        <f>F22*F21</f>
        <v>760116.26400752238</v>
      </c>
      <c r="G23" s="87">
        <f>G22*G21</f>
        <v>690187.88845111791</v>
      </c>
      <c r="H23" s="72">
        <f>SUM(E23:G23)</f>
        <v>2430418.9694964914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2:18" x14ac:dyDescent="0.15"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</row>
    <row r="25" spans="2:18" x14ac:dyDescent="0.15"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  <pageSetUpPr fitToPage="1"/>
  </sheetPr>
  <dimension ref="A1:AT14"/>
  <sheetViews>
    <sheetView showGridLines="0" zoomScale="170" zoomScaleNormal="170" workbookViewId="0">
      <pane xSplit="3" ySplit="6" topLeftCell="D7" activePane="bottomRight" state="frozen"/>
      <selection activeCell="P17" sqref="P17"/>
      <selection pane="topRight" activeCell="P17" sqref="P17"/>
      <selection pane="bottomLeft" activeCell="P17" sqref="P17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3" width="10.5" style="1" customWidth="1"/>
    <col min="4" max="4" width="1.6640625" style="1" customWidth="1"/>
    <col min="5" max="8" width="10.5" style="1" customWidth="1"/>
    <col min="9" max="9" width="1.6640625" style="1" customWidth="1"/>
    <col min="10" max="12" width="10.5" style="1" customWidth="1"/>
    <col min="13" max="13" width="1.6640625" style="1" customWidth="1"/>
    <col min="14" max="17" width="10.5" style="1" customWidth="1"/>
    <col min="18" max="18" width="1.6640625" style="1" customWidth="1"/>
    <col min="19" max="22" width="10.5" style="1" customWidth="1"/>
    <col min="23" max="23" width="1.6640625" style="1" customWidth="1"/>
    <col min="24" max="27" width="10.5" style="1" customWidth="1"/>
    <col min="28" max="28" width="1.6640625" style="1" customWidth="1"/>
    <col min="29" max="32" width="10.5" style="1" customWidth="1"/>
    <col min="33" max="33" width="1.6640625" style="1" customWidth="1"/>
    <col min="34" max="37" width="10.5" style="1" customWidth="1"/>
    <col min="38" max="38" width="1.6640625" style="1" customWidth="1"/>
    <col min="39" max="46" width="10.5" style="1" customWidth="1"/>
    <col min="47" max="16384" width="8.6640625" style="1"/>
  </cols>
  <sheetData>
    <row r="1" spans="1:46" ht="24" x14ac:dyDescent="0.15">
      <c r="A1" s="6" t="s">
        <v>68</v>
      </c>
    </row>
    <row r="2" spans="1:46" x14ac:dyDescent="0.15">
      <c r="A2" s="7" t="s">
        <v>89</v>
      </c>
    </row>
    <row r="4" spans="1:46" x14ac:dyDescent="0.15">
      <c r="E4" s="63" t="s">
        <v>111</v>
      </c>
      <c r="F4" s="64"/>
      <c r="G4" s="64"/>
      <c r="H4" s="64"/>
      <c r="I4" s="65"/>
      <c r="J4" s="63" t="s">
        <v>15</v>
      </c>
      <c r="K4" s="64"/>
      <c r="L4" s="64"/>
      <c r="M4" s="65"/>
      <c r="N4" s="63" t="s">
        <v>127</v>
      </c>
      <c r="O4" s="64"/>
      <c r="P4" s="64"/>
      <c r="Q4" s="64"/>
      <c r="R4" s="65"/>
      <c r="S4" s="63" t="s">
        <v>16</v>
      </c>
      <c r="T4" s="64"/>
      <c r="U4" s="64"/>
      <c r="V4" s="64"/>
      <c r="W4" s="65"/>
      <c r="X4" s="63" t="s">
        <v>17</v>
      </c>
      <c r="Y4" s="64"/>
      <c r="Z4" s="64"/>
      <c r="AA4" s="64"/>
      <c r="AB4" s="65"/>
      <c r="AC4" s="63" t="s">
        <v>20</v>
      </c>
      <c r="AD4" s="64"/>
      <c r="AE4" s="64"/>
      <c r="AF4" s="64"/>
      <c r="AG4" s="65"/>
      <c r="AH4" s="63" t="s">
        <v>21</v>
      </c>
      <c r="AI4" s="64"/>
      <c r="AJ4" s="64"/>
      <c r="AK4" s="64"/>
      <c r="AL4" s="65"/>
      <c r="AM4" s="63" t="s">
        <v>95</v>
      </c>
      <c r="AN4" s="64"/>
      <c r="AO4" s="64"/>
      <c r="AP4" s="64"/>
      <c r="AQ4" s="64"/>
      <c r="AR4" s="64"/>
      <c r="AS4" s="64"/>
      <c r="AT4" s="64"/>
    </row>
    <row r="5" spans="1:46" ht="13" x14ac:dyDescent="0.15">
      <c r="B5" s="30" t="s">
        <v>0</v>
      </c>
      <c r="C5" s="31"/>
      <c r="E5" s="66">
        <f>SUM(E6:E14)</f>
        <v>43011851.845362887</v>
      </c>
      <c r="F5" s="66">
        <f>SUM(F6:F14)</f>
        <v>57998739.568052635</v>
      </c>
      <c r="G5" s="66">
        <f>SUM(G6:G14)</f>
        <v>40472333.103574812</v>
      </c>
      <c r="H5" s="67">
        <f>SUM(H6:H14)</f>
        <v>141482924.51699033</v>
      </c>
      <c r="I5" s="65"/>
      <c r="J5" s="68"/>
      <c r="K5" s="68"/>
      <c r="L5" s="68"/>
      <c r="M5" s="65"/>
      <c r="N5" s="66">
        <f>SUM(N6:N14)</f>
        <v>26635039.34308489</v>
      </c>
      <c r="O5" s="66">
        <f>SUM(O6:O14)</f>
        <v>32915697.906216737</v>
      </c>
      <c r="P5" s="66">
        <f>SUM(P6:P14)</f>
        <v>26416730.735631488</v>
      </c>
      <c r="Q5" s="67">
        <f>SUM(Q6:Q14)</f>
        <v>85967467.984933123</v>
      </c>
      <c r="R5" s="65"/>
      <c r="S5" s="66">
        <f>SUM(S6:S14)</f>
        <v>5681445.5462366454</v>
      </c>
      <c r="T5" s="66">
        <f>SUM(T6:T14)</f>
        <v>4112225.1188114295</v>
      </c>
      <c r="U5" s="66">
        <f>SUM(U6:U14)</f>
        <v>6685776.5690859174</v>
      </c>
      <c r="V5" s="67">
        <f>SUM(V6:V14)</f>
        <v>16479447.23413399</v>
      </c>
      <c r="W5" s="65"/>
      <c r="X5" s="66">
        <f>SUM(X6:X14)</f>
        <v>8023155</v>
      </c>
      <c r="Y5" s="66">
        <f>SUM(Y6:Y14)</f>
        <v>6260817.7064380031</v>
      </c>
      <c r="Z5" s="66">
        <f>SUM(Z6:Z14)</f>
        <v>3666952.450652211</v>
      </c>
      <c r="AA5" s="66">
        <f>SUM(AA6:AA14)</f>
        <v>2040736.994481981</v>
      </c>
      <c r="AB5" s="65"/>
      <c r="AC5" s="66">
        <f>SUM(AC6:AC14)</f>
        <v>90515799.920675144</v>
      </c>
      <c r="AD5" s="66">
        <f>SUM(AD6:AD14)</f>
        <v>69562206.123826906</v>
      </c>
      <c r="AE5" s="66">
        <f>SUM(AE6:AE14)</f>
        <v>40758733.336421601</v>
      </c>
      <c r="AF5" s="66">
        <f>SUM(AF6:AF14)</f>
        <v>21027779.169876039</v>
      </c>
      <c r="AG5" s="65"/>
      <c r="AH5" s="66">
        <f>SUM(AH6:AH14)</f>
        <v>65473609.814592816</v>
      </c>
      <c r="AI5" s="66">
        <f>SUM(AI6:AI14)</f>
        <v>49330071.601613283</v>
      </c>
      <c r="AJ5" s="66">
        <f>SUM(AJ6:AJ14)</f>
        <v>28515305.726184171</v>
      </c>
      <c r="AK5" s="66">
        <f>SUM(AK6:AK14)</f>
        <v>13805868.300560953</v>
      </c>
      <c r="AL5" s="65"/>
      <c r="AM5" s="66"/>
      <c r="AN5" s="66"/>
      <c r="AO5" s="66">
        <f>SUM(AO6:AO14)</f>
        <v>13805868.300560953</v>
      </c>
      <c r="AP5" s="66"/>
      <c r="AQ5" s="66"/>
      <c r="AR5" s="66"/>
      <c r="AS5" s="66">
        <f>SUM(AS6:AS14)</f>
        <v>6975412.1420634994</v>
      </c>
      <c r="AT5" s="66">
        <f>SUM(AT6:AT14)</f>
        <v>6830456.1584974565</v>
      </c>
    </row>
    <row r="6" spans="1:46" ht="26" x14ac:dyDescent="0.15">
      <c r="B6" s="10" t="s">
        <v>5</v>
      </c>
      <c r="C6" s="10" t="s">
        <v>7</v>
      </c>
      <c r="E6" s="69" t="s">
        <v>1</v>
      </c>
      <c r="F6" s="69" t="s">
        <v>2</v>
      </c>
      <c r="G6" s="69" t="s">
        <v>3</v>
      </c>
      <c r="H6" s="70" t="s">
        <v>0</v>
      </c>
      <c r="I6" s="65"/>
      <c r="J6" s="69" t="s">
        <v>1</v>
      </c>
      <c r="K6" s="69" t="s">
        <v>2</v>
      </c>
      <c r="L6" s="69" t="s">
        <v>3</v>
      </c>
      <c r="M6" s="65"/>
      <c r="N6" s="69" t="s">
        <v>1</v>
      </c>
      <c r="O6" s="69" t="s">
        <v>2</v>
      </c>
      <c r="P6" s="69" t="s">
        <v>3</v>
      </c>
      <c r="Q6" s="70" t="s">
        <v>0</v>
      </c>
      <c r="R6" s="65"/>
      <c r="S6" s="69" t="s">
        <v>1</v>
      </c>
      <c r="T6" s="69" t="s">
        <v>2</v>
      </c>
      <c r="U6" s="69" t="s">
        <v>3</v>
      </c>
      <c r="V6" s="70" t="s">
        <v>0</v>
      </c>
      <c r="W6" s="65"/>
      <c r="X6" s="69" t="s">
        <v>1</v>
      </c>
      <c r="Y6" s="69" t="s">
        <v>2</v>
      </c>
      <c r="Z6" s="69" t="s">
        <v>3</v>
      </c>
      <c r="AA6" s="69" t="s">
        <v>18</v>
      </c>
      <c r="AB6" s="65"/>
      <c r="AC6" s="69" t="s">
        <v>1</v>
      </c>
      <c r="AD6" s="69" t="s">
        <v>2</v>
      </c>
      <c r="AE6" s="69" t="s">
        <v>3</v>
      </c>
      <c r="AF6" s="69" t="s">
        <v>18</v>
      </c>
      <c r="AG6" s="65"/>
      <c r="AH6" s="69" t="s">
        <v>1</v>
      </c>
      <c r="AI6" s="69" t="s">
        <v>2</v>
      </c>
      <c r="AJ6" s="69" t="s">
        <v>3</v>
      </c>
      <c r="AK6" s="69" t="s">
        <v>18</v>
      </c>
      <c r="AL6" s="65"/>
      <c r="AM6" s="69" t="s">
        <v>23</v>
      </c>
      <c r="AN6" s="69" t="s">
        <v>25</v>
      </c>
      <c r="AO6" s="69" t="s">
        <v>28</v>
      </c>
      <c r="AP6" s="69" t="s">
        <v>24</v>
      </c>
      <c r="AQ6" s="69" t="s">
        <v>26</v>
      </c>
      <c r="AR6" s="69" t="s">
        <v>27</v>
      </c>
      <c r="AS6" s="69" t="s">
        <v>22</v>
      </c>
      <c r="AT6" s="69" t="s">
        <v>29</v>
      </c>
    </row>
    <row r="7" spans="1:46" ht="13" x14ac:dyDescent="0.15">
      <c r="B7" s="12" t="s">
        <v>4</v>
      </c>
      <c r="C7" s="12" t="s">
        <v>8</v>
      </c>
      <c r="E7" s="71">
        <f>Workings!O7*Baseline!$N7</f>
        <v>23148129.911424391</v>
      </c>
      <c r="F7" s="71">
        <f>Workings!P7*Baseline!$N7</f>
        <v>17932813.352610994</v>
      </c>
      <c r="G7" s="71">
        <f>Workings!Q7*Baseline!$N7</f>
        <v>14644507.626035558</v>
      </c>
      <c r="H7" s="72">
        <f t="shared" ref="H7:H14" si="0">SUM(E7:G7)</f>
        <v>55725450.890070945</v>
      </c>
      <c r="I7" s="65"/>
      <c r="J7" s="73">
        <f>Baseline!$N7*(1-Workings!E7)</f>
        <v>20.783495494204836</v>
      </c>
      <c r="K7" s="73">
        <f>Baseline!$N7*(1-Workings!F7)</f>
        <v>20.783495494204836</v>
      </c>
      <c r="L7" s="73">
        <f>Baseline!$N7*(1-Workings!G7)</f>
        <v>20.783495494204836</v>
      </c>
      <c r="M7" s="65"/>
      <c r="N7" s="71">
        <f>Workings!O7*J7</f>
        <v>17361097.433568295</v>
      </c>
      <c r="O7" s="71">
        <f>Workings!P7*K7</f>
        <v>13449610.014458245</v>
      </c>
      <c r="P7" s="71">
        <f>Workings!Q7*L7</f>
        <v>10983380.719526669</v>
      </c>
      <c r="Q7" s="72">
        <f t="shared" ref="Q7:Q14" si="1">SUM(N7:P7)</f>
        <v>41794088.167553209</v>
      </c>
      <c r="R7" s="65"/>
      <c r="S7" s="74">
        <f>(J7-Baseline!$O7)*Workings!O7</f>
        <v>6376840.1179029066</v>
      </c>
      <c r="T7" s="74">
        <f>(K7-Baseline!$O7)*Workings!P7</f>
        <v>4940126.2240781179</v>
      </c>
      <c r="U7" s="74">
        <f>(L7-Baseline!$O7)*Workings!Q7</f>
        <v>4034264.7157233027</v>
      </c>
      <c r="V7" s="72">
        <f t="shared" ref="V7:V14" si="2">SUM(S7:U7)</f>
        <v>15351231.057704326</v>
      </c>
      <c r="W7" s="65"/>
      <c r="X7" s="71">
        <f>Baseline!Q7</f>
        <v>2063218</v>
      </c>
      <c r="Y7" s="71">
        <f>X7-Workings!O7</f>
        <v>1227887.0308466554</v>
      </c>
      <c r="Z7" s="71">
        <f>Y7-Workings!P7</f>
        <v>580757.67677777575</v>
      </c>
      <c r="AA7" s="71">
        <f>Z7-Workings!Q7</f>
        <v>52291.196123007219</v>
      </c>
      <c r="AB7" s="65"/>
      <c r="AC7" s="71">
        <f>X7*Baseline!$O7</f>
        <v>27130464.746545512</v>
      </c>
      <c r="AD7" s="71">
        <f>Y7*Baseline!$O7</f>
        <v>16146207.430880122</v>
      </c>
      <c r="AE7" s="71">
        <f>Z7*Baseline!$O7</f>
        <v>7636723.6404999942</v>
      </c>
      <c r="AF7" s="71">
        <f>AA7*Baseline!$O7</f>
        <v>687607.63669662864</v>
      </c>
      <c r="AG7" s="65"/>
      <c r="AH7" s="71">
        <f t="shared" ref="AH7:AK14" si="3">X7*$AN7</f>
        <v>27130464.746545512</v>
      </c>
      <c r="AI7" s="71">
        <f t="shared" si="3"/>
        <v>16146207.430880122</v>
      </c>
      <c r="AJ7" s="71">
        <f t="shared" si="3"/>
        <v>7636723.6404999942</v>
      </c>
      <c r="AK7" s="71">
        <f t="shared" si="3"/>
        <v>687607.63669662864</v>
      </c>
      <c r="AL7" s="65"/>
      <c r="AM7" s="75">
        <f>Baseline!P7</f>
        <v>0</v>
      </c>
      <c r="AN7" s="73">
        <f>Baseline!O7*(1-AM7)</f>
        <v>13.14958707540624</v>
      </c>
      <c r="AO7" s="76">
        <f t="shared" ref="AO7:AO14" si="4">AK7</f>
        <v>687607.63669662864</v>
      </c>
      <c r="AP7" s="75">
        <f>AM8</f>
        <v>0.5</v>
      </c>
      <c r="AQ7" s="73">
        <f>Baseline!O7*(1-AP7)</f>
        <v>6.5747935377031199</v>
      </c>
      <c r="AR7" s="73">
        <f t="shared" ref="AR7:AR14" si="5">AN7-AQ7</f>
        <v>6.5747935377031199</v>
      </c>
      <c r="AS7" s="71">
        <f t="shared" ref="AS7:AS14" si="6">AA7*AQ7</f>
        <v>343803.81834831432</v>
      </c>
      <c r="AT7" s="71">
        <f t="shared" ref="AT7:AT14" si="7">AO7-AS7</f>
        <v>343803.81834831432</v>
      </c>
    </row>
    <row r="8" spans="1:46" ht="13" x14ac:dyDescent="0.15">
      <c r="B8" s="12" t="s">
        <v>4</v>
      </c>
      <c r="C8" s="12">
        <v>1</v>
      </c>
      <c r="E8" s="71">
        <f>Workings!O8*Baseline!$N8</f>
        <v>3438587.6618169216</v>
      </c>
      <c r="F8" s="71">
        <f>Workings!P8*Baseline!$N8</f>
        <v>6644964.3922113394</v>
      </c>
      <c r="G8" s="71">
        <f>Workings!Q8*Baseline!$N8</f>
        <v>15541252.492765317</v>
      </c>
      <c r="H8" s="72">
        <f t="shared" si="0"/>
        <v>25624804.54679358</v>
      </c>
      <c r="I8" s="65"/>
      <c r="J8" s="73">
        <f>Baseline!$N8*(1-Workings!E8)</f>
        <v>18.402886912657976</v>
      </c>
      <c r="K8" s="73">
        <f>Baseline!$N8*(1-Workings!F8)</f>
        <v>18.402886912657976</v>
      </c>
      <c r="L8" s="73">
        <f>Baseline!$N8*(1-Workings!G8)</f>
        <v>18.402886912657976</v>
      </c>
      <c r="M8" s="65"/>
      <c r="N8" s="71">
        <f>Workings!O8*J8</f>
        <v>2235081.9801809993</v>
      </c>
      <c r="O8" s="71">
        <f>Workings!P8*K8</f>
        <v>4319226.8549373709</v>
      </c>
      <c r="P8" s="71">
        <f>Workings!Q8*L8</f>
        <v>10101814.120297456</v>
      </c>
      <c r="Q8" s="72">
        <f t="shared" si="1"/>
        <v>16656122.955415826</v>
      </c>
      <c r="R8" s="65"/>
      <c r="S8" s="74">
        <f>(J8-Baseline!$O8)*Workings!O8</f>
        <v>582643.50964546646</v>
      </c>
      <c r="T8" s="74">
        <f>(K8-Baseline!$O8)*Workings!P8</f>
        <v>1125940.5766905539</v>
      </c>
      <c r="U8" s="74">
        <f>(L8-Baseline!$O8)*Workings!Q8</f>
        <v>2633351.4766020374</v>
      </c>
      <c r="V8" s="72">
        <f t="shared" si="2"/>
        <v>4341935.5629380578</v>
      </c>
      <c r="W8" s="65"/>
      <c r="X8" s="71">
        <f>Baseline!Q8</f>
        <v>928516</v>
      </c>
      <c r="Y8" s="71">
        <f>X8-Workings!O8</f>
        <v>807063.20888146886</v>
      </c>
      <c r="Z8" s="71">
        <f>Y8-Workings!P8</f>
        <v>572359.44335615356</v>
      </c>
      <c r="AA8" s="71">
        <f>Z8-Workings!Q8</f>
        <v>23433.931383943884</v>
      </c>
      <c r="AB8" s="65"/>
      <c r="AC8" s="71">
        <f>X8*Baseline!$O8</f>
        <v>12633020.161803979</v>
      </c>
      <c r="AD8" s="71">
        <f>Y8*Baseline!$O8</f>
        <v>10980581.691268446</v>
      </c>
      <c r="AE8" s="71">
        <f>Z8*Baseline!$O8</f>
        <v>7787295.4130216278</v>
      </c>
      <c r="AF8" s="71">
        <f>AA8*Baseline!$O8</f>
        <v>318832.7693262088</v>
      </c>
      <c r="AG8" s="65"/>
      <c r="AH8" s="71">
        <f t="shared" si="3"/>
        <v>6316510.0809019897</v>
      </c>
      <c r="AI8" s="71">
        <f t="shared" si="3"/>
        <v>5490290.845634223</v>
      </c>
      <c r="AJ8" s="71">
        <f t="shared" si="3"/>
        <v>3893647.7065108139</v>
      </c>
      <c r="AK8" s="71">
        <f t="shared" si="3"/>
        <v>159416.3846631044</v>
      </c>
      <c r="AL8" s="65"/>
      <c r="AM8" s="75">
        <f>Baseline!P8</f>
        <v>0.5</v>
      </c>
      <c r="AN8" s="73">
        <f>Baseline!O8*(1-AM8)</f>
        <v>6.8028015466636971</v>
      </c>
      <c r="AO8" s="76">
        <f t="shared" si="4"/>
        <v>159416.3846631044</v>
      </c>
      <c r="AP8" s="75">
        <f>AM9</f>
        <v>0.7</v>
      </c>
      <c r="AQ8" s="73">
        <f>Baseline!O8*(1-AP8)</f>
        <v>4.0816809279982191</v>
      </c>
      <c r="AR8" s="73">
        <f t="shared" si="5"/>
        <v>2.7211206186654779</v>
      </c>
      <c r="AS8" s="71">
        <f t="shared" si="6"/>
        <v>95649.830797862669</v>
      </c>
      <c r="AT8" s="71">
        <f t="shared" si="7"/>
        <v>63766.553865241731</v>
      </c>
    </row>
    <row r="9" spans="1:46" ht="13" x14ac:dyDescent="0.15">
      <c r="B9" s="12" t="s">
        <v>4</v>
      </c>
      <c r="C9" s="12">
        <v>2</v>
      </c>
      <c r="E9" s="71">
        <f>Workings!O9*Baseline!$N9</f>
        <v>4702843.2255825419</v>
      </c>
      <c r="F9" s="71">
        <f>Workings!P9*Baseline!$N9</f>
        <v>7073778.4704080969</v>
      </c>
      <c r="G9" s="71">
        <f>Workings!Q9*Baseline!$N9</f>
        <v>0</v>
      </c>
      <c r="H9" s="72">
        <f t="shared" si="0"/>
        <v>11776621.695990639</v>
      </c>
      <c r="I9" s="65"/>
      <c r="J9" s="73">
        <f>Baseline!$N9*(1-Workings!E9)</f>
        <v>10.324618914894458</v>
      </c>
      <c r="K9" s="73">
        <f>Baseline!$N9*(1-Workings!F9)</f>
        <v>10.324618914894458</v>
      </c>
      <c r="L9" s="73">
        <f>Baseline!$N9*(1-Workings!G9)</f>
        <v>10.324618914894458</v>
      </c>
      <c r="M9" s="65"/>
      <c r="N9" s="71">
        <f>Workings!O9*J9</f>
        <v>1881137.2902330169</v>
      </c>
      <c r="O9" s="71">
        <f>Workings!P9*K9</f>
        <v>2829511.3881632392</v>
      </c>
      <c r="P9" s="71">
        <f>Workings!Q9*L9</f>
        <v>0</v>
      </c>
      <c r="Q9" s="72">
        <f t="shared" si="1"/>
        <v>4710648.6783962566</v>
      </c>
      <c r="R9" s="65"/>
      <c r="S9" s="74">
        <f>(J9-Baseline!$O9)*Workings!O9</f>
        <v>-350152.95393886272</v>
      </c>
      <c r="T9" s="74">
        <f>(K9-Baseline!$O9)*Workings!P9</f>
        <v>-526682.32984009595</v>
      </c>
      <c r="U9" s="74">
        <f>(L9-Baseline!$O9)*Workings!Q9</f>
        <v>0</v>
      </c>
      <c r="V9" s="72">
        <f t="shared" si="2"/>
        <v>-876835.28377895872</v>
      </c>
      <c r="W9" s="65"/>
      <c r="X9" s="71">
        <f>Baseline!Q9</f>
        <v>456254</v>
      </c>
      <c r="Y9" s="71">
        <f>X9-Workings!O9</f>
        <v>274054.80158510659</v>
      </c>
      <c r="Z9" s="71">
        <f>Y9-Workings!P9</f>
        <v>0</v>
      </c>
      <c r="AA9" s="71">
        <f>Z9-Workings!Q9</f>
        <v>0</v>
      </c>
      <c r="AB9" s="65"/>
      <c r="AC9" s="71">
        <f>X9*Baseline!$O9</f>
        <v>5587483.9621752147</v>
      </c>
      <c r="AD9" s="71">
        <f>Y9*Baseline!$O9</f>
        <v>3356193.7180033349</v>
      </c>
      <c r="AE9" s="71">
        <f>Z9*Baseline!$O9</f>
        <v>0</v>
      </c>
      <c r="AF9" s="71">
        <f>AA9*Baseline!$O9</f>
        <v>0</v>
      </c>
      <c r="AG9" s="65"/>
      <c r="AH9" s="71">
        <f t="shared" si="3"/>
        <v>1676245.1886525645</v>
      </c>
      <c r="AI9" s="71">
        <f t="shared" si="3"/>
        <v>1006858.1154010007</v>
      </c>
      <c r="AJ9" s="71">
        <f t="shared" si="3"/>
        <v>0</v>
      </c>
      <c r="AK9" s="71">
        <f t="shared" si="3"/>
        <v>0</v>
      </c>
      <c r="AL9" s="65"/>
      <c r="AM9" s="75">
        <f>Baseline!P9</f>
        <v>0.7</v>
      </c>
      <c r="AN9" s="73">
        <f>Baseline!O9*(1-AM9)</f>
        <v>3.6739298475247661</v>
      </c>
      <c r="AO9" s="76">
        <f t="shared" si="4"/>
        <v>0</v>
      </c>
      <c r="AP9" s="75">
        <f>AM10</f>
        <v>0.9</v>
      </c>
      <c r="AQ9" s="73">
        <f>Baseline!O9*(1-AP9)</f>
        <v>1.2246432825082549</v>
      </c>
      <c r="AR9" s="73">
        <f t="shared" si="5"/>
        <v>2.4492865650165112</v>
      </c>
      <c r="AS9" s="71">
        <f t="shared" si="6"/>
        <v>0</v>
      </c>
      <c r="AT9" s="71">
        <f t="shared" si="7"/>
        <v>0</v>
      </c>
    </row>
    <row r="10" spans="1:46" ht="13" x14ac:dyDescent="0.15">
      <c r="B10" s="12" t="s">
        <v>4</v>
      </c>
      <c r="C10" s="12" t="s">
        <v>9</v>
      </c>
      <c r="E10" s="71">
        <f>Workings!O10*Baseline!$N10</f>
        <v>2653997.01808608</v>
      </c>
      <c r="F10" s="71">
        <f>Workings!P10*Baseline!$N10</f>
        <v>4025322.518441583</v>
      </c>
      <c r="G10" s="71">
        <f>Workings!Q10*Baseline!$N10</f>
        <v>0</v>
      </c>
      <c r="H10" s="72">
        <f t="shared" si="0"/>
        <v>6679319.5365276635</v>
      </c>
      <c r="I10" s="65"/>
      <c r="J10" s="73">
        <f>Baseline!$N10*(1-Workings!E10)</f>
        <v>0</v>
      </c>
      <c r="K10" s="73">
        <f>Baseline!$N10*(1-Workings!F10)</f>
        <v>0</v>
      </c>
      <c r="L10" s="73">
        <f>Baseline!$N10*(1-Workings!G10)</f>
        <v>0</v>
      </c>
      <c r="M10" s="65"/>
      <c r="N10" s="71">
        <f>Workings!O10*J10</f>
        <v>0</v>
      </c>
      <c r="O10" s="71">
        <f>Workings!P10*K10</f>
        <v>0</v>
      </c>
      <c r="P10" s="71">
        <f>Workings!Q10*L10</f>
        <v>0</v>
      </c>
      <c r="Q10" s="72">
        <f t="shared" si="1"/>
        <v>0</v>
      </c>
      <c r="R10" s="65"/>
      <c r="S10" s="74">
        <f>(J10-Baseline!$O10)*Workings!O10</f>
        <v>-1448075.3734752373</v>
      </c>
      <c r="T10" s="74">
        <f>(K10-Baseline!$O10)*Workings!P10</f>
        <v>-2196298.7786075654</v>
      </c>
      <c r="U10" s="74">
        <f>(L10-Baseline!$O10)*Workings!Q10</f>
        <v>0</v>
      </c>
      <c r="V10" s="72">
        <f t="shared" si="2"/>
        <v>-3644374.1520828027</v>
      </c>
      <c r="W10" s="65"/>
      <c r="X10" s="71">
        <f>Baseline!Q10</f>
        <v>385750</v>
      </c>
      <c r="Y10" s="71">
        <f>X10-Workings!O10</f>
        <v>232474.0047241502</v>
      </c>
      <c r="Z10" s="71">
        <f>Y10-Workings!P10</f>
        <v>0</v>
      </c>
      <c r="AA10" s="71">
        <f>Z10-Workings!Q10</f>
        <v>0</v>
      </c>
      <c r="AB10" s="65"/>
      <c r="AC10" s="71">
        <f>X10*Baseline!$O10</f>
        <v>3644374.1520828027</v>
      </c>
      <c r="AD10" s="71">
        <f>Y10*Baseline!$O10</f>
        <v>2196298.7786075654</v>
      </c>
      <c r="AE10" s="71">
        <f>Z10*Baseline!$O10</f>
        <v>0</v>
      </c>
      <c r="AF10" s="71">
        <f>AA10*Baseline!$O10</f>
        <v>0</v>
      </c>
      <c r="AG10" s="65"/>
      <c r="AH10" s="71">
        <f t="shared" si="3"/>
        <v>364437.4152082802</v>
      </c>
      <c r="AI10" s="71">
        <f t="shared" si="3"/>
        <v>219629.8778607565</v>
      </c>
      <c r="AJ10" s="71">
        <f t="shared" si="3"/>
        <v>0</v>
      </c>
      <c r="AK10" s="71">
        <f t="shared" si="3"/>
        <v>0</v>
      </c>
      <c r="AL10" s="65"/>
      <c r="AM10" s="75">
        <f>Baseline!P10</f>
        <v>0.9</v>
      </c>
      <c r="AN10" s="73">
        <f>Baseline!O10*(1-AM10)</f>
        <v>0.94475026625607317</v>
      </c>
      <c r="AO10" s="76">
        <f t="shared" si="4"/>
        <v>0</v>
      </c>
      <c r="AP10" s="75">
        <f>AM10</f>
        <v>0.9</v>
      </c>
      <c r="AQ10" s="73">
        <f>Baseline!O10*(1-AP10)</f>
        <v>0.94475026625607317</v>
      </c>
      <c r="AR10" s="73">
        <f t="shared" si="5"/>
        <v>0</v>
      </c>
      <c r="AS10" s="71">
        <f t="shared" si="6"/>
        <v>0</v>
      </c>
      <c r="AT10" s="71">
        <f t="shared" si="7"/>
        <v>0</v>
      </c>
    </row>
    <row r="11" spans="1:46" ht="13" x14ac:dyDescent="0.15">
      <c r="B11" s="12" t="s">
        <v>10</v>
      </c>
      <c r="C11" s="12" t="s">
        <v>8</v>
      </c>
      <c r="E11" s="71">
        <f>Workings!O11*Baseline!$N11</f>
        <v>5934459.4487729501</v>
      </c>
      <c r="F11" s="71">
        <f>Workings!P11*Baseline!$N11</f>
        <v>15333264.344815042</v>
      </c>
      <c r="G11" s="71">
        <f>Workings!Q11*Baseline!$N11</f>
        <v>6276864.3463310366</v>
      </c>
      <c r="H11" s="72">
        <f t="shared" si="0"/>
        <v>27544588.139919028</v>
      </c>
      <c r="I11" s="65"/>
      <c r="J11" s="73">
        <f>Baseline!$N11*(1-Workings!E11)</f>
        <v>14.972598273681621</v>
      </c>
      <c r="K11" s="73">
        <f>Baseline!$N11*(1-Workings!F11)</f>
        <v>10.932509391380702</v>
      </c>
      <c r="L11" s="73">
        <f>Baseline!$N11*(1-Workings!G11)</f>
        <v>10.932509391380702</v>
      </c>
      <c r="M11" s="65"/>
      <c r="N11" s="71">
        <f>Workings!O11*J11</f>
        <v>4470140.4558034753</v>
      </c>
      <c r="O11" s="71">
        <f>Workings!P11*K11</f>
        <v>8433295.3896482736</v>
      </c>
      <c r="P11" s="71">
        <f>Workings!Q11*L11</f>
        <v>3452275.3904820704</v>
      </c>
      <c r="Q11" s="72">
        <f t="shared" si="1"/>
        <v>16355711.23593382</v>
      </c>
      <c r="R11" s="65"/>
      <c r="S11" s="74">
        <f>(J11-Baseline!$O11)*Workings!O11</f>
        <v>1494435.1366191369</v>
      </c>
      <c r="T11" s="74">
        <f>(K11-Baseline!$O11)*Workings!P11</f>
        <v>744764.24958632735</v>
      </c>
      <c r="U11" s="74">
        <f>(L11-Baseline!$O11)*Workings!Q11</f>
        <v>304878.5998547785</v>
      </c>
      <c r="V11" s="72">
        <f t="shared" si="2"/>
        <v>2544077.9860602426</v>
      </c>
      <c r="W11" s="65"/>
      <c r="X11" s="71">
        <f>Baseline!Q11</f>
        <v>2400359</v>
      </c>
      <c r="Y11" s="71">
        <f>X11-Workings!O11</f>
        <v>2101804.2418949255</v>
      </c>
      <c r="Z11" s="71">
        <f>Y11-Workings!P11</f>
        <v>1330408.1161072664</v>
      </c>
      <c r="AA11" s="71">
        <f>Z11-Workings!Q11</f>
        <v>1014627.423231404</v>
      </c>
      <c r="AB11" s="65"/>
      <c r="AC11" s="71">
        <f>X11*Baseline!$O11</f>
        <v>23924458.915299363</v>
      </c>
      <c r="AD11" s="71">
        <f>Y11*Baseline!$O11</f>
        <v>20948753.596115027</v>
      </c>
      <c r="AE11" s="71">
        <f>Z11*Baseline!$O11</f>
        <v>13260222.456053082</v>
      </c>
      <c r="AF11" s="71">
        <f>AA11*Baseline!$O11</f>
        <v>10112825.66542579</v>
      </c>
      <c r="AG11" s="65"/>
      <c r="AH11" s="71">
        <f t="shared" si="3"/>
        <v>23924458.915299363</v>
      </c>
      <c r="AI11" s="71">
        <f t="shared" si="3"/>
        <v>20948753.596115027</v>
      </c>
      <c r="AJ11" s="71">
        <f t="shared" si="3"/>
        <v>13260222.456053082</v>
      </c>
      <c r="AK11" s="71">
        <f t="shared" si="3"/>
        <v>10112825.66542579</v>
      </c>
      <c r="AL11" s="65"/>
      <c r="AM11" s="75">
        <f>Baseline!P11</f>
        <v>0</v>
      </c>
      <c r="AN11" s="73">
        <f>Baseline!O11*(1-AM11)</f>
        <v>9.9670336459251985</v>
      </c>
      <c r="AO11" s="76">
        <f t="shared" si="4"/>
        <v>10112825.66542579</v>
      </c>
      <c r="AP11" s="75">
        <f>AM12</f>
        <v>0.5</v>
      </c>
      <c r="AQ11" s="73">
        <f>Baseline!O11*(1-AP11)</f>
        <v>4.9835168229625992</v>
      </c>
      <c r="AR11" s="73">
        <f t="shared" si="5"/>
        <v>4.9835168229625992</v>
      </c>
      <c r="AS11" s="71">
        <f t="shared" si="6"/>
        <v>5056412.8327128952</v>
      </c>
      <c r="AT11" s="71">
        <f t="shared" si="7"/>
        <v>5056412.8327128952</v>
      </c>
    </row>
    <row r="12" spans="1:46" ht="13" x14ac:dyDescent="0.15">
      <c r="B12" s="12" t="s">
        <v>10</v>
      </c>
      <c r="C12" s="12">
        <v>1</v>
      </c>
      <c r="E12" s="71">
        <f>Workings!O12*Baseline!$N12</f>
        <v>1444485.4169871991</v>
      </c>
      <c r="F12" s="71">
        <f>Workings!P12*Baseline!$N12</f>
        <v>5789189.8168254718</v>
      </c>
      <c r="G12" s="71">
        <f>Workings!Q12*Baseline!$N12</f>
        <v>2556572.4555060938</v>
      </c>
      <c r="H12" s="72">
        <f t="shared" si="0"/>
        <v>9790247.689318765</v>
      </c>
      <c r="I12" s="65"/>
      <c r="J12" s="73">
        <f>Baseline!$N12*(1-Workings!E12)</f>
        <v>6.1147038949907158</v>
      </c>
      <c r="K12" s="73">
        <f>Baseline!$N12*(1-Workings!F12)</f>
        <v>9.0980997624436206</v>
      </c>
      <c r="L12" s="73">
        <f>Baseline!$N12*(1-Workings!G12)</f>
        <v>9.0980997624436206</v>
      </c>
      <c r="M12" s="65"/>
      <c r="N12" s="71">
        <f>Workings!O12*J12</f>
        <v>582490.90487901645</v>
      </c>
      <c r="O12" s="71">
        <f>Workings!P12*K12</f>
        <v>3473513.8900952837</v>
      </c>
      <c r="P12" s="71">
        <f>Workings!Q12*L12</f>
        <v>1533943.4733036563</v>
      </c>
      <c r="Q12" s="72">
        <f t="shared" si="1"/>
        <v>5589948.2682779562</v>
      </c>
      <c r="R12" s="65"/>
      <c r="S12" s="74">
        <f>(J12-Baseline!$O12)*Workings!O12</f>
        <v>-232409.50749066172</v>
      </c>
      <c r="T12" s="74">
        <f>(K12-Baseline!$O12)*Workings!P12</f>
        <v>207566.64442694883</v>
      </c>
      <c r="U12" s="74">
        <f>(L12-Baseline!$O12)*Workings!Q12</f>
        <v>91663.80488708074</v>
      </c>
      <c r="V12" s="72">
        <f t="shared" si="2"/>
        <v>66820.941823367844</v>
      </c>
      <c r="W12" s="65"/>
      <c r="X12" s="71">
        <f>Baseline!Q12</f>
        <v>931284</v>
      </c>
      <c r="Y12" s="71">
        <f>X12-Workings!O12</f>
        <v>836023.31119441381</v>
      </c>
      <c r="Z12" s="71">
        <f>Y12-Workings!P12</f>
        <v>454238.7648835755</v>
      </c>
      <c r="AA12" s="71">
        <f>Z12-Workings!Q12</f>
        <v>285638.3413494571</v>
      </c>
      <c r="AB12" s="65"/>
      <c r="AC12" s="71">
        <f>X12*Baseline!$O12</f>
        <v>7966599.0782630192</v>
      </c>
      <c r="AD12" s="71">
        <f>Y12*Baseline!$O12</f>
        <v>7151698.6658933414</v>
      </c>
      <c r="AE12" s="71">
        <f>Z12*Baseline!$O12</f>
        <v>3885751.4202250065</v>
      </c>
      <c r="AF12" s="71">
        <f>AA12*Baseline!$O12</f>
        <v>2443471.7518084305</v>
      </c>
      <c r="AG12" s="65"/>
      <c r="AH12" s="71">
        <f t="shared" si="3"/>
        <v>3983299.5391315096</v>
      </c>
      <c r="AI12" s="71">
        <f t="shared" si="3"/>
        <v>3575849.3329466707</v>
      </c>
      <c r="AJ12" s="71">
        <f t="shared" si="3"/>
        <v>1942875.7101125033</v>
      </c>
      <c r="AK12" s="71">
        <f t="shared" si="3"/>
        <v>1221735.8759042153</v>
      </c>
      <c r="AL12" s="65"/>
      <c r="AM12" s="75">
        <f>Baseline!P12</f>
        <v>0.5</v>
      </c>
      <c r="AN12" s="73">
        <f>Baseline!O12*(1-AM12)</f>
        <v>4.277212471310051</v>
      </c>
      <c r="AO12" s="76">
        <f t="shared" si="4"/>
        <v>1221735.8759042153</v>
      </c>
      <c r="AP12" s="75">
        <f>AM13</f>
        <v>0.7</v>
      </c>
      <c r="AQ12" s="73">
        <f>Baseline!O12*(1-AP12)</f>
        <v>2.566327482786031</v>
      </c>
      <c r="AR12" s="73">
        <f t="shared" si="5"/>
        <v>1.71088498852402</v>
      </c>
      <c r="AS12" s="71">
        <f t="shared" si="6"/>
        <v>733041.5255425293</v>
      </c>
      <c r="AT12" s="71">
        <f t="shared" si="7"/>
        <v>488694.35036168597</v>
      </c>
    </row>
    <row r="13" spans="1:46" ht="13" x14ac:dyDescent="0.15">
      <c r="B13" s="12" t="s">
        <v>10</v>
      </c>
      <c r="C13" s="12">
        <v>2</v>
      </c>
      <c r="E13" s="71">
        <f>Workings!O13*Baseline!$N13</f>
        <v>517050.45550452755</v>
      </c>
      <c r="F13" s="71">
        <f>Workings!P13*Baseline!$N13</f>
        <v>1026350.9222858188</v>
      </c>
      <c r="G13" s="71">
        <f>Workings!Q13*Baseline!$N13</f>
        <v>863292.58005408733</v>
      </c>
      <c r="H13" s="72">
        <f t="shared" si="0"/>
        <v>2406693.9578444334</v>
      </c>
      <c r="I13" s="65"/>
      <c r="J13" s="73">
        <f>Baseline!$N13*(1-Workings!E13)</f>
        <v>4.7021862100365643</v>
      </c>
      <c r="K13" s="73">
        <f>Baseline!$N13*(1-Workings!F13)</f>
        <v>9.2539269036114149</v>
      </c>
      <c r="L13" s="73">
        <f>Baseline!$N13*(1-Workings!G13)</f>
        <v>9.2539269036114149</v>
      </c>
      <c r="M13" s="65"/>
      <c r="N13" s="71">
        <f>Workings!O13*J13</f>
        <v>105091.27842009182</v>
      </c>
      <c r="O13" s="71">
        <f>Workings!P13*K13</f>
        <v>410540.36891432753</v>
      </c>
      <c r="P13" s="71">
        <f>Workings!Q13*L13</f>
        <v>345317.03202163492</v>
      </c>
      <c r="Q13" s="72">
        <f t="shared" si="1"/>
        <v>860948.67935605429</v>
      </c>
      <c r="R13" s="65"/>
      <c r="S13" s="74">
        <f>(J13-Baseline!$O13)*Workings!O13</f>
        <v>-150003.021247408</v>
      </c>
      <c r="T13" s="74">
        <f>(K13-Baseline!$O13)*Workings!P13</f>
        <v>-95824.661705592109</v>
      </c>
      <c r="U13" s="74">
        <f>(L13-Baseline!$O13)*Workings!Q13</f>
        <v>-80600.813659709936</v>
      </c>
      <c r="V13" s="72">
        <f t="shared" si="2"/>
        <v>-326428.49661271006</v>
      </c>
      <c r="W13" s="65"/>
      <c r="X13" s="71">
        <f>Baseline!Q13</f>
        <v>488551</v>
      </c>
      <c r="Y13" s="71">
        <f>X13-Workings!O13</f>
        <v>466201.5493985372</v>
      </c>
      <c r="Z13" s="71">
        <f>Y13-Workings!P13</f>
        <v>421837.640628725</v>
      </c>
      <c r="AA13" s="71">
        <f>Z13-Workings!Q13</f>
        <v>384521.91125043563</v>
      </c>
      <c r="AB13" s="65"/>
      <c r="AC13" s="71">
        <f>X13*Baseline!$O13</f>
        <v>5576270.1920153545</v>
      </c>
      <c r="AD13" s="71">
        <f>Y13*Baseline!$O13</f>
        <v>5321175.8923478546</v>
      </c>
      <c r="AE13" s="71">
        <f>Z13*Baseline!$O13</f>
        <v>4814810.8617279353</v>
      </c>
      <c r="AF13" s="71">
        <f>AA13*Baseline!$O13</f>
        <v>4388893.0160465902</v>
      </c>
      <c r="AG13" s="65"/>
      <c r="AH13" s="71">
        <f t="shared" si="3"/>
        <v>1672881.0576046065</v>
      </c>
      <c r="AI13" s="71">
        <f t="shared" si="3"/>
        <v>1596352.7677043567</v>
      </c>
      <c r="AJ13" s="71">
        <f t="shared" si="3"/>
        <v>1444443.2585183808</v>
      </c>
      <c r="AK13" s="71">
        <f t="shared" si="3"/>
        <v>1316667.9048139772</v>
      </c>
      <c r="AL13" s="65"/>
      <c r="AM13" s="75">
        <f>Baseline!P13</f>
        <v>0.7</v>
      </c>
      <c r="AN13" s="73">
        <f>Baseline!O13*(1-AM13)</f>
        <v>3.4241687308072373</v>
      </c>
      <c r="AO13" s="76">
        <f t="shared" si="4"/>
        <v>1316667.9048139772</v>
      </c>
      <c r="AP13" s="75">
        <f>AM14</f>
        <v>0.9</v>
      </c>
      <c r="AQ13" s="73">
        <f>Baseline!O13*(1-AP13)</f>
        <v>1.1413895769357454</v>
      </c>
      <c r="AR13" s="73">
        <f t="shared" si="5"/>
        <v>2.2827791538714921</v>
      </c>
      <c r="AS13" s="71">
        <f t="shared" si="6"/>
        <v>438889.30160465895</v>
      </c>
      <c r="AT13" s="71">
        <f t="shared" si="7"/>
        <v>877778.60320931824</v>
      </c>
    </row>
    <row r="14" spans="1:46" ht="13" x14ac:dyDescent="0.15">
      <c r="B14" s="12" t="s">
        <v>10</v>
      </c>
      <c r="C14" s="12" t="s">
        <v>9</v>
      </c>
      <c r="E14" s="71">
        <f>Workings!O14*Baseline!$N14</f>
        <v>1172298.707188271</v>
      </c>
      <c r="F14" s="71">
        <f>Workings!P14*Baseline!$N14</f>
        <v>173055.75045429266</v>
      </c>
      <c r="G14" s="71">
        <f>Workings!Q14*Baseline!$N14</f>
        <v>589843.60288271692</v>
      </c>
      <c r="H14" s="72">
        <f t="shared" si="0"/>
        <v>1935198.0605252804</v>
      </c>
      <c r="I14" s="65"/>
      <c r="J14" s="73">
        <f>Baseline!$N14*(1-Workings!E14)</f>
        <v>0</v>
      </c>
      <c r="K14" s="73">
        <f>Baseline!$N14*(1-Workings!F14)</f>
        <v>0</v>
      </c>
      <c r="L14" s="73">
        <f>Baseline!$N14*(1-Workings!G14)</f>
        <v>0</v>
      </c>
      <c r="M14" s="65"/>
      <c r="N14" s="71">
        <f>Workings!O14*J14</f>
        <v>0</v>
      </c>
      <c r="O14" s="71">
        <f>Workings!P14*K14</f>
        <v>0</v>
      </c>
      <c r="P14" s="71">
        <f>Workings!Q14*L14</f>
        <v>0</v>
      </c>
      <c r="Q14" s="72">
        <f t="shared" si="1"/>
        <v>0</v>
      </c>
      <c r="R14" s="65"/>
      <c r="S14" s="74">
        <f>(J14-Baseline!$O14)*Workings!O14</f>
        <v>-591832.36177869386</v>
      </c>
      <c r="T14" s="74">
        <f>(K14-Baseline!$O14)*Workings!P14</f>
        <v>-87366.805817264845</v>
      </c>
      <c r="U14" s="74">
        <f>(L14-Baseline!$O14)*Workings!Q14</f>
        <v>-297781.21432157198</v>
      </c>
      <c r="V14" s="72">
        <f t="shared" si="2"/>
        <v>-976980.38191753067</v>
      </c>
      <c r="W14" s="65"/>
      <c r="X14" s="71">
        <f>Baseline!Q14</f>
        <v>369223</v>
      </c>
      <c r="Y14" s="71">
        <f>X14-Workings!O14</f>
        <v>315309.55791274522</v>
      </c>
      <c r="Z14" s="71">
        <f>Y14-Workings!P14</f>
        <v>307350.80889871466</v>
      </c>
      <c r="AA14" s="71">
        <f>Z14-Workings!Q14</f>
        <v>280224.19114373327</v>
      </c>
      <c r="AB14" s="65"/>
      <c r="AC14" s="71">
        <f>X14*Baseline!$O14</f>
        <v>4053128.7124899188</v>
      </c>
      <c r="AD14" s="71">
        <f>Y14*Baseline!$O14</f>
        <v>3461296.3507112246</v>
      </c>
      <c r="AE14" s="71">
        <f>Z14*Baseline!$O14</f>
        <v>3373929.5448939595</v>
      </c>
      <c r="AF14" s="71">
        <f>AA14*Baseline!$O14</f>
        <v>3076148.3305723872</v>
      </c>
      <c r="AG14" s="65"/>
      <c r="AH14" s="71">
        <f t="shared" si="3"/>
        <v>405312.87124899181</v>
      </c>
      <c r="AI14" s="71">
        <f t="shared" si="3"/>
        <v>346129.63507112238</v>
      </c>
      <c r="AJ14" s="71">
        <f t="shared" si="3"/>
        <v>337392.9544893959</v>
      </c>
      <c r="AK14" s="71">
        <f t="shared" si="3"/>
        <v>307614.83305723866</v>
      </c>
      <c r="AL14" s="65"/>
      <c r="AM14" s="75">
        <f>Baseline!P14</f>
        <v>0.9</v>
      </c>
      <c r="AN14" s="73">
        <f>Baseline!O14*(1-AM14)</f>
        <v>1.0977454580266988</v>
      </c>
      <c r="AO14" s="76">
        <f t="shared" si="4"/>
        <v>307614.83305723866</v>
      </c>
      <c r="AP14" s="75">
        <f>AM14</f>
        <v>0.9</v>
      </c>
      <c r="AQ14" s="73">
        <f>Baseline!O14*(1-AP14)</f>
        <v>1.0977454580266988</v>
      </c>
      <c r="AR14" s="73">
        <f t="shared" si="5"/>
        <v>0</v>
      </c>
      <c r="AS14" s="71">
        <f t="shared" si="6"/>
        <v>307614.83305723866</v>
      </c>
      <c r="AT14" s="71">
        <f t="shared" si="7"/>
        <v>0</v>
      </c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  <pageSetUpPr fitToPage="1"/>
  </sheetPr>
  <dimension ref="A1:N14"/>
  <sheetViews>
    <sheetView showGridLines="0" zoomScale="170" zoomScaleNormal="17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8.6640625" defaultRowHeight="12" x14ac:dyDescent="0.15"/>
  <cols>
    <col min="1" max="1" width="0.83203125" style="1" customWidth="1"/>
    <col min="2" max="3" width="10.83203125" style="1" customWidth="1"/>
    <col min="4" max="4" width="2.33203125" style="1" customWidth="1"/>
    <col min="5" max="7" width="10.83203125" style="1" customWidth="1"/>
    <col min="8" max="8" width="2.33203125" style="1" customWidth="1"/>
    <col min="9" max="13" width="10.83203125" style="1" customWidth="1"/>
    <col min="14" max="14" width="9.5" style="1" bestFit="1" customWidth="1"/>
    <col min="15" max="16" width="8.6640625" style="1"/>
    <col min="17" max="17" width="9.1640625" style="1" bestFit="1" customWidth="1"/>
    <col min="18" max="25" width="8.6640625" style="1"/>
    <col min="26" max="26" width="10.5" style="1" customWidth="1"/>
    <col min="27" max="16384" width="8.6640625" style="1"/>
  </cols>
  <sheetData>
    <row r="1" spans="1:14" ht="24" x14ac:dyDescent="0.15">
      <c r="A1" s="6" t="s">
        <v>77</v>
      </c>
    </row>
    <row r="2" spans="1:14" x14ac:dyDescent="0.15">
      <c r="A2" s="7" t="s">
        <v>90</v>
      </c>
    </row>
    <row r="3" spans="1:14" x14ac:dyDescent="0.15">
      <c r="A3" s="7"/>
    </row>
    <row r="4" spans="1:14" x14ac:dyDescent="0.15">
      <c r="A4" s="7"/>
      <c r="E4" s="63" t="s">
        <v>31</v>
      </c>
      <c r="F4" s="64"/>
      <c r="G4" s="64"/>
      <c r="H4" s="65"/>
      <c r="I4" s="63" t="s">
        <v>38</v>
      </c>
      <c r="J4" s="63"/>
      <c r="K4" s="63"/>
      <c r="L4" s="63"/>
      <c r="M4" s="63"/>
    </row>
    <row r="5" spans="1:14" ht="13" x14ac:dyDescent="0.15">
      <c r="A5" s="7"/>
      <c r="B5" s="30" t="s">
        <v>0</v>
      </c>
      <c r="C5" s="31"/>
      <c r="E5" s="66">
        <f>SUM(E7:E14)</f>
        <v>5982418.0055180183</v>
      </c>
      <c r="F5" s="66">
        <f>SUM(F7:F14)</f>
        <v>85967467.984933123</v>
      </c>
      <c r="G5" s="66">
        <f>SUM(G7:G14)</f>
        <v>16479447.23413399</v>
      </c>
      <c r="H5" s="65"/>
      <c r="I5" s="66">
        <f>SUM(I7:I14)</f>
        <v>8023155</v>
      </c>
      <c r="J5" s="66">
        <f>SUM(J7:J14)</f>
        <v>2040736.994481981</v>
      </c>
      <c r="K5" s="66">
        <f>SUM(K7:K14)</f>
        <v>13805868.300560953</v>
      </c>
      <c r="L5" s="66">
        <f>SUM(L7:L14)</f>
        <v>6975412.1420634994</v>
      </c>
      <c r="M5" s="66">
        <f>SUM(M7:M14)</f>
        <v>6830456.1584974565</v>
      </c>
      <c r="N5" s="43"/>
    </row>
    <row r="6" spans="1:14" ht="26" x14ac:dyDescent="0.15">
      <c r="A6" s="7"/>
      <c r="B6" s="10" t="s">
        <v>5</v>
      </c>
      <c r="C6" s="10" t="s">
        <v>7</v>
      </c>
      <c r="E6" s="69" t="s">
        <v>12</v>
      </c>
      <c r="F6" s="69" t="s">
        <v>13</v>
      </c>
      <c r="G6" s="69" t="s">
        <v>16</v>
      </c>
      <c r="H6" s="65"/>
      <c r="I6" s="69" t="s">
        <v>33</v>
      </c>
      <c r="J6" s="69" t="s">
        <v>34</v>
      </c>
      <c r="K6" s="69" t="s">
        <v>35</v>
      </c>
      <c r="L6" s="69" t="s">
        <v>30</v>
      </c>
      <c r="M6" s="69" t="s">
        <v>76</v>
      </c>
    </row>
    <row r="7" spans="1:14" ht="13" x14ac:dyDescent="0.15">
      <c r="B7" s="12" t="s">
        <v>4</v>
      </c>
      <c r="C7" s="12" t="s">
        <v>8</v>
      </c>
      <c r="E7" s="71">
        <f>Workings!R7</f>
        <v>2010926.8038769928</v>
      </c>
      <c r="F7" s="71">
        <f>'Flow-through'!Q7</f>
        <v>41794088.167553209</v>
      </c>
      <c r="G7" s="71">
        <f>'Flow-through'!V7</f>
        <v>15351231.057704326</v>
      </c>
      <c r="H7" s="65"/>
      <c r="I7" s="74">
        <f>'Flow-through'!X7</f>
        <v>2063218</v>
      </c>
      <c r="J7" s="74">
        <f>'Flow-through'!AA7</f>
        <v>52291.196123007219</v>
      </c>
      <c r="K7" s="74">
        <f>'Flow-through'!AK7</f>
        <v>687607.63669662864</v>
      </c>
      <c r="L7" s="74">
        <f>'Flow-through'!AS7</f>
        <v>343803.81834831432</v>
      </c>
      <c r="M7" s="74">
        <f>'Flow-through'!AT7</f>
        <v>343803.81834831432</v>
      </c>
    </row>
    <row r="8" spans="1:14" ht="13" x14ac:dyDescent="0.15">
      <c r="B8" s="12" t="s">
        <v>4</v>
      </c>
      <c r="C8" s="12">
        <v>1</v>
      </c>
      <c r="E8" s="71">
        <f>Workings!R8</f>
        <v>905082.06861605612</v>
      </c>
      <c r="F8" s="71">
        <f>'Flow-through'!Q8</f>
        <v>16656122.955415826</v>
      </c>
      <c r="G8" s="71">
        <f>'Flow-through'!V8</f>
        <v>4341935.5629380578</v>
      </c>
      <c r="H8" s="65"/>
      <c r="I8" s="74">
        <f>'Flow-through'!X8</f>
        <v>928516</v>
      </c>
      <c r="J8" s="74">
        <f>'Flow-through'!AA8</f>
        <v>23433.931383943884</v>
      </c>
      <c r="K8" s="74">
        <f>'Flow-through'!AK8</f>
        <v>159416.3846631044</v>
      </c>
      <c r="L8" s="74">
        <f>'Flow-through'!AS8</f>
        <v>95649.830797862669</v>
      </c>
      <c r="M8" s="74">
        <f>'Flow-through'!AT8</f>
        <v>63766.553865241731</v>
      </c>
    </row>
    <row r="9" spans="1:14" ht="13" x14ac:dyDescent="0.15">
      <c r="B9" s="12" t="s">
        <v>4</v>
      </c>
      <c r="C9" s="12">
        <v>2</v>
      </c>
      <c r="E9" s="71">
        <f>Workings!R9</f>
        <v>456254</v>
      </c>
      <c r="F9" s="71">
        <f>'Flow-through'!Q9</f>
        <v>4710648.6783962566</v>
      </c>
      <c r="G9" s="71">
        <f>'Flow-through'!V9</f>
        <v>-876835.28377895872</v>
      </c>
      <c r="H9" s="65"/>
      <c r="I9" s="74">
        <f>'Flow-through'!X9</f>
        <v>456254</v>
      </c>
      <c r="J9" s="74">
        <f>'Flow-through'!AA9</f>
        <v>0</v>
      </c>
      <c r="K9" s="74">
        <f>'Flow-through'!AK9</f>
        <v>0</v>
      </c>
      <c r="L9" s="74">
        <f>'Flow-through'!AS9</f>
        <v>0</v>
      </c>
      <c r="M9" s="74">
        <f>'Flow-through'!AT9</f>
        <v>0</v>
      </c>
    </row>
    <row r="10" spans="1:14" ht="13" x14ac:dyDescent="0.15">
      <c r="B10" s="12" t="s">
        <v>4</v>
      </c>
      <c r="C10" s="12" t="s">
        <v>9</v>
      </c>
      <c r="E10" s="71">
        <f>Workings!R10</f>
        <v>385750</v>
      </c>
      <c r="F10" s="71">
        <f>'Flow-through'!Q10</f>
        <v>0</v>
      </c>
      <c r="G10" s="71">
        <f>'Flow-through'!V10</f>
        <v>-3644374.1520828027</v>
      </c>
      <c r="H10" s="65"/>
      <c r="I10" s="74">
        <f>'Flow-through'!X10</f>
        <v>385750</v>
      </c>
      <c r="J10" s="74">
        <f>'Flow-through'!AA10</f>
        <v>0</v>
      </c>
      <c r="K10" s="74">
        <f>'Flow-through'!AK10</f>
        <v>0</v>
      </c>
      <c r="L10" s="74">
        <f>'Flow-through'!AS10</f>
        <v>0</v>
      </c>
      <c r="M10" s="74">
        <f>'Flow-through'!AT10</f>
        <v>0</v>
      </c>
    </row>
    <row r="11" spans="1:14" ht="13" x14ac:dyDescent="0.15">
      <c r="B11" s="12" t="s">
        <v>10</v>
      </c>
      <c r="C11" s="12" t="s">
        <v>8</v>
      </c>
      <c r="E11" s="71">
        <f>Workings!R11</f>
        <v>1385731.5767685962</v>
      </c>
      <c r="F11" s="71">
        <f>'Flow-through'!Q11</f>
        <v>16355711.23593382</v>
      </c>
      <c r="G11" s="71">
        <f>'Flow-through'!V11</f>
        <v>2544077.9860602426</v>
      </c>
      <c r="H11" s="65"/>
      <c r="I11" s="74">
        <f>'Flow-through'!X11</f>
        <v>2400359</v>
      </c>
      <c r="J11" s="74">
        <f>'Flow-through'!AA11</f>
        <v>1014627.423231404</v>
      </c>
      <c r="K11" s="74">
        <f>'Flow-through'!AK11</f>
        <v>10112825.66542579</v>
      </c>
      <c r="L11" s="74">
        <f>'Flow-through'!AS11</f>
        <v>5056412.8327128952</v>
      </c>
      <c r="M11" s="74">
        <f>'Flow-through'!AT11</f>
        <v>5056412.8327128952</v>
      </c>
    </row>
    <row r="12" spans="1:14" ht="13" x14ac:dyDescent="0.15">
      <c r="B12" s="12" t="s">
        <v>10</v>
      </c>
      <c r="C12" s="12">
        <v>1</v>
      </c>
      <c r="E12" s="71">
        <f>Workings!R12</f>
        <v>645645.65865054284</v>
      </c>
      <c r="F12" s="71">
        <f>'Flow-through'!Q12</f>
        <v>5589948.2682779562</v>
      </c>
      <c r="G12" s="71">
        <f>'Flow-through'!V12</f>
        <v>66820.941823367844</v>
      </c>
      <c r="H12" s="65"/>
      <c r="I12" s="74">
        <f>'Flow-through'!X12</f>
        <v>931284</v>
      </c>
      <c r="J12" s="74">
        <f>'Flow-through'!AA12</f>
        <v>285638.3413494571</v>
      </c>
      <c r="K12" s="74">
        <f>'Flow-through'!AK12</f>
        <v>1221735.8759042153</v>
      </c>
      <c r="L12" s="74">
        <f>'Flow-through'!AS12</f>
        <v>733041.5255425293</v>
      </c>
      <c r="M12" s="74">
        <f>'Flow-through'!AT12</f>
        <v>488694.35036168597</v>
      </c>
    </row>
    <row r="13" spans="1:14" ht="13" x14ac:dyDescent="0.15">
      <c r="B13" s="12" t="s">
        <v>10</v>
      </c>
      <c r="C13" s="12">
        <v>2</v>
      </c>
      <c r="E13" s="71">
        <f>Workings!R13</f>
        <v>104029.0887495644</v>
      </c>
      <c r="F13" s="71">
        <f>'Flow-through'!Q13</f>
        <v>860948.67935605429</v>
      </c>
      <c r="G13" s="71">
        <f>'Flow-through'!V13</f>
        <v>-326428.49661271006</v>
      </c>
      <c r="H13" s="65"/>
      <c r="I13" s="74">
        <f>'Flow-through'!X13</f>
        <v>488551</v>
      </c>
      <c r="J13" s="74">
        <f>'Flow-through'!AA13</f>
        <v>384521.91125043563</v>
      </c>
      <c r="K13" s="74">
        <f>'Flow-through'!AK13</f>
        <v>1316667.9048139772</v>
      </c>
      <c r="L13" s="74">
        <f>'Flow-through'!AS13</f>
        <v>438889.30160465895</v>
      </c>
      <c r="M13" s="74">
        <f>'Flow-through'!AT13</f>
        <v>877778.60320931824</v>
      </c>
    </row>
    <row r="14" spans="1:14" ht="13" x14ac:dyDescent="0.15">
      <c r="B14" s="12" t="s">
        <v>10</v>
      </c>
      <c r="C14" s="12" t="s">
        <v>9</v>
      </c>
      <c r="E14" s="71">
        <f>Workings!R14</f>
        <v>88998.808856266653</v>
      </c>
      <c r="F14" s="71">
        <f>'Flow-through'!Q14</f>
        <v>0</v>
      </c>
      <c r="G14" s="71">
        <f>'Flow-through'!V14</f>
        <v>-976980.38191753067</v>
      </c>
      <c r="H14" s="65"/>
      <c r="I14" s="74">
        <f>'Flow-through'!X14</f>
        <v>369223</v>
      </c>
      <c r="J14" s="74">
        <f>'Flow-through'!AA14</f>
        <v>280224.19114373327</v>
      </c>
      <c r="K14" s="74">
        <f>'Flow-through'!AK14</f>
        <v>307614.83305723866</v>
      </c>
      <c r="L14" s="74">
        <f>'Flow-through'!AS14</f>
        <v>307614.83305723866</v>
      </c>
      <c r="M14" s="74">
        <f>'Flow-through'!AT14</f>
        <v>0</v>
      </c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23"/>
  <sheetViews>
    <sheetView showGridLines="0" workbookViewId="0"/>
  </sheetViews>
  <sheetFormatPr baseColWidth="10" defaultColWidth="8.6640625" defaultRowHeight="12" x14ac:dyDescent="0.15"/>
  <cols>
    <col min="1" max="1" width="0.83203125" style="1" customWidth="1"/>
    <col min="2" max="5" width="20.1640625" style="1" customWidth="1"/>
    <col min="6" max="6" width="9" style="1" bestFit="1" customWidth="1"/>
    <col min="7" max="10" width="8.6640625" style="1"/>
    <col min="11" max="11" width="9.1640625" style="1" bestFit="1" customWidth="1"/>
    <col min="12" max="12" width="8.6640625" style="1"/>
    <col min="13" max="13" width="9.33203125" style="1" bestFit="1" customWidth="1"/>
    <col min="14" max="15" width="8.6640625" style="1"/>
    <col min="16" max="16" width="9.1640625" style="1" bestFit="1" customWidth="1"/>
    <col min="17" max="24" width="8.6640625" style="1"/>
    <col min="25" max="25" width="10.5" style="1" customWidth="1"/>
    <col min="26" max="16384" width="8.6640625" style="1"/>
  </cols>
  <sheetData>
    <row r="1" spans="1:5" ht="24" x14ac:dyDescent="0.15">
      <c r="A1" s="6" t="s">
        <v>107</v>
      </c>
    </row>
    <row r="4" spans="1:5" x14ac:dyDescent="0.15">
      <c r="B4" s="35" t="s">
        <v>46</v>
      </c>
    </row>
    <row r="6" spans="1:5" ht="13" x14ac:dyDescent="0.15">
      <c r="B6" s="10" t="s">
        <v>48</v>
      </c>
      <c r="C6" s="10" t="s">
        <v>45</v>
      </c>
      <c r="D6" s="10" t="s">
        <v>12</v>
      </c>
    </row>
    <row r="7" spans="1:5" ht="13" x14ac:dyDescent="0.15">
      <c r="B7" s="28" t="s">
        <v>49</v>
      </c>
      <c r="C7" s="28" t="s">
        <v>49</v>
      </c>
      <c r="D7" s="28" t="b">
        <v>1</v>
      </c>
    </row>
    <row r="8" spans="1:5" ht="13" x14ac:dyDescent="0.15">
      <c r="B8" s="28" t="s">
        <v>50</v>
      </c>
      <c r="C8" s="28" t="s">
        <v>70</v>
      </c>
      <c r="D8" s="28" t="b">
        <v>0</v>
      </c>
    </row>
    <row r="9" spans="1:5" ht="13" x14ac:dyDescent="0.15">
      <c r="B9" s="28" t="s">
        <v>51</v>
      </c>
      <c r="C9" s="28" t="s">
        <v>71</v>
      </c>
    </row>
    <row r="10" spans="1:5" ht="13" x14ac:dyDescent="0.15">
      <c r="B10" s="28" t="s">
        <v>52</v>
      </c>
    </row>
    <row r="11" spans="1:5" x14ac:dyDescent="0.15">
      <c r="B11" s="36"/>
    </row>
    <row r="12" spans="1:5" x14ac:dyDescent="0.15">
      <c r="B12" s="34" t="s">
        <v>64</v>
      </c>
    </row>
    <row r="14" spans="1:5" ht="13" x14ac:dyDescent="0.15">
      <c r="B14" s="21" t="s">
        <v>53</v>
      </c>
      <c r="C14" s="4" t="s">
        <v>1</v>
      </c>
      <c r="D14" s="4" t="s">
        <v>2</v>
      </c>
      <c r="E14" s="4" t="s">
        <v>3</v>
      </c>
    </row>
    <row r="15" spans="1:5" ht="13" x14ac:dyDescent="0.15">
      <c r="B15" s="51" t="s">
        <v>44</v>
      </c>
      <c r="C15" s="32">
        <f>IFERROR(MATCH(Strategy!E21,$B$7:$B$10, 0),1)</f>
        <v>3</v>
      </c>
      <c r="D15" s="32">
        <f>IFERROR(MATCH(Strategy!G21,$B$7:$B$10, 0),1)</f>
        <v>1</v>
      </c>
      <c r="E15" s="32">
        <f>IFERROR(MATCH(Strategy!I21,$B$7:$B$10, 0),1)</f>
        <v>1</v>
      </c>
    </row>
    <row r="16" spans="1:5" ht="13" x14ac:dyDescent="0.15">
      <c r="B16" s="51" t="s">
        <v>45</v>
      </c>
      <c r="C16" s="32">
        <f>IFERROR(MATCH(Strategy!E20,$C$7:$C$9, 0),1)</f>
        <v>1</v>
      </c>
      <c r="D16" s="32">
        <f>IFERROR(MATCH(Strategy!G20,$C$7:$C$9, 0),1)</f>
        <v>2</v>
      </c>
      <c r="E16" s="32">
        <f>IFERROR(MATCH(Strategy!I20,$C$7:$C$9, 0),1)</f>
        <v>3</v>
      </c>
    </row>
    <row r="18" spans="2:5" x14ac:dyDescent="0.15">
      <c r="B18" s="21" t="s">
        <v>73</v>
      </c>
      <c r="C18" s="22" t="s">
        <v>101</v>
      </c>
      <c r="D18" s="22" t="s">
        <v>103</v>
      </c>
      <c r="E18" s="22" t="s">
        <v>104</v>
      </c>
    </row>
    <row r="19" spans="2:5" ht="13" x14ac:dyDescent="0.15">
      <c r="B19" s="51" t="s">
        <v>12</v>
      </c>
      <c r="C19" s="50">
        <v>1</v>
      </c>
      <c r="D19" s="50">
        <v>0</v>
      </c>
      <c r="E19" s="50">
        <v>0</v>
      </c>
    </row>
    <row r="20" spans="2:5" ht="13" x14ac:dyDescent="0.15">
      <c r="B20" s="51" t="s">
        <v>74</v>
      </c>
      <c r="C20" s="50">
        <v>0</v>
      </c>
      <c r="D20" s="50">
        <v>1</v>
      </c>
      <c r="E20" s="50">
        <v>1</v>
      </c>
    </row>
    <row r="21" spans="2:5" ht="13" x14ac:dyDescent="0.15">
      <c r="B21" s="51" t="s">
        <v>13</v>
      </c>
      <c r="C21" s="50">
        <v>0</v>
      </c>
      <c r="D21" s="50">
        <v>1</v>
      </c>
      <c r="E21" s="50">
        <v>0</v>
      </c>
    </row>
    <row r="22" spans="2:5" ht="13" x14ac:dyDescent="0.15">
      <c r="B22" s="51" t="s">
        <v>75</v>
      </c>
      <c r="C22" s="50">
        <v>0</v>
      </c>
      <c r="D22" s="50">
        <v>0</v>
      </c>
      <c r="E22" s="50">
        <v>1</v>
      </c>
    </row>
    <row r="23" spans="2:5" ht="13" x14ac:dyDescent="0.15">
      <c r="B23" s="51" t="s">
        <v>16</v>
      </c>
      <c r="C23" s="50">
        <v>0</v>
      </c>
      <c r="D23" s="50">
        <v>0</v>
      </c>
      <c r="E23" s="50">
        <v>0</v>
      </c>
    </row>
  </sheetData>
  <sheetProtection formatCells="0" formatColumns="0" formatRows="0" insertColumns="0" insertRows="0" insertHyperlinks="0" autoFilter="0" pivotTables="0"/>
  <dataValidations count="1">
    <dataValidation type="decimal" allowBlank="1" showInputMessage="1" showErrorMessage="1" sqref="C19:E23" xr:uid="{00000000-0002-0000-0900-000000000000}">
      <formula1>-1</formula1>
      <formula2>1</formula2>
    </dataValidation>
  </dataValidations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6ff11606-8849-4a84-9ad1-23a895ea78bd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61326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Copy of 522710c2 edits.xlsx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766753</RISPersonID>
    <MetaInfo xmlns="http://schemas.microsoft.com/sharepoint/v3" xsi:nil="true"/>
    <ContentTypeId xmlns="http://schemas.microsoft.com/sharepoint/v3">0x00041BB9609029574BB48B0D67EE7C5EF0</ContentTypeId>
  </documentManagement>
</p:properties>
</file>

<file path=customXml/itemProps1.xml><?xml version="1.0" encoding="utf-8"?>
<ds:datastoreItem xmlns:ds="http://schemas.openxmlformats.org/officeDocument/2006/customXml" ds:itemID="{BC7467FB-24D3-4696-AEA0-A91E4406050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8EA4358-66B0-476C-992E-510B35F70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9DE5C1-858B-4C65-ADC1-A89945A3B37E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sharepoint/v3"/>
    <ds:schemaRef ds:uri="http://purl.org/dc/elements/1.1/"/>
    <ds:schemaRef ds:uri="http://schemas.microsoft.com/office/infopath/2007/PartnerControls"/>
    <ds:schemaRef ds:uri="60B91B04-2990-4B57-B48B-0D67EE7C5E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Copyright</vt:lpstr>
      <vt:lpstr>Instructions</vt:lpstr>
      <vt:lpstr>Strategy</vt:lpstr>
      <vt:lpstr>Baseline</vt:lpstr>
      <vt:lpstr>Impact</vt:lpstr>
      <vt:lpstr>Optimization</vt:lpstr>
      <vt:lpstr>Workings</vt:lpstr>
      <vt:lpstr>Flow-through</vt:lpstr>
      <vt:lpstr>Results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522710c2 edits_9f22313f-14eb-4992-9460-30c764b4f250.xlsx</dc:title>
  <dc:creator>evo</dc:creator>
  <cp:keywords>evo</cp:keywords>
  <cp:lastModifiedBy>Hai Che</cp:lastModifiedBy>
  <cp:lastPrinted>2021-06-20T13:15:49Z</cp:lastPrinted>
  <dcterms:created xsi:type="dcterms:W3CDTF">2019-02-09T07:21:09Z</dcterms:created>
  <dcterms:modified xsi:type="dcterms:W3CDTF">2024-05-29T15:28:56Z</dcterms:modified>
</cp:coreProperties>
</file>