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Ya\study\univ\2к\2с\емпі\"/>
    </mc:Choice>
  </mc:AlternateContent>
  <xr:revisionPtr revIDLastSave="0" documentId="13_ncr:1_{EE349F01-2DC7-4AF5-B1AE-3BFA281B972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Частина 1" sheetId="1" r:id="rId1"/>
    <sheet name="Частина 2" sheetId="2" r:id="rId2"/>
    <sheet name="Частина 3" sheetId="3" r:id="rId3"/>
    <sheet name="Додаток" sheetId="4" r:id="rId4"/>
  </sheets>
  <definedNames>
    <definedName name="_xlnm._FilterDatabase" localSheetId="1" hidden="1">'Частина 2'!$H$5:$H$34</definedName>
    <definedName name="_xlchart.v1.0" hidden="1">'Частина 1'!$H$6:$H$35</definedName>
    <definedName name="_xlchart.v1.1" hidden="1">'Частина 1'!$B$6:$B$35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2" l="1"/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E4" i="3" l="1"/>
  <c r="B4" i="3"/>
  <c r="E5" i="3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I18" i="3" s="1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5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5" i="3"/>
  <c r="H5" i="3" s="1"/>
  <c r="B5" i="2"/>
  <c r="H5" i="2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8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6" i="2"/>
  <c r="O23" i="3" l="1"/>
  <c r="H23" i="3"/>
  <c r="O7" i="3"/>
  <c r="H7" i="3"/>
  <c r="O14" i="3"/>
  <c r="H14" i="3"/>
  <c r="O21" i="3"/>
  <c r="H21" i="3"/>
  <c r="O13" i="3"/>
  <c r="H13" i="3"/>
  <c r="O15" i="3"/>
  <c r="H15" i="3"/>
  <c r="O6" i="3"/>
  <c r="H6" i="3"/>
  <c r="O20" i="3"/>
  <c r="H20" i="3"/>
  <c r="O12" i="3"/>
  <c r="H12" i="3"/>
  <c r="O22" i="3"/>
  <c r="H22" i="3"/>
  <c r="O19" i="3"/>
  <c r="H19" i="3"/>
  <c r="O11" i="3"/>
  <c r="H11" i="3"/>
  <c r="O18" i="3"/>
  <c r="H18" i="3"/>
  <c r="O17" i="3"/>
  <c r="H17" i="3"/>
  <c r="O9" i="3"/>
  <c r="H9" i="3"/>
  <c r="O10" i="3"/>
  <c r="H10" i="3"/>
  <c r="O24" i="3"/>
  <c r="H24" i="3"/>
  <c r="O16" i="3"/>
  <c r="H16" i="3"/>
  <c r="O8" i="3"/>
  <c r="H8" i="3"/>
  <c r="I5" i="3"/>
  <c r="S7" i="3" s="1"/>
  <c r="S5" i="3"/>
  <c r="S4" i="3"/>
  <c r="K5" i="3"/>
  <c r="H17" i="2"/>
  <c r="H9" i="2"/>
  <c r="I19" i="2"/>
  <c r="H23" i="2"/>
  <c r="H15" i="2"/>
  <c r="H7" i="2"/>
  <c r="H16" i="2"/>
  <c r="H6" i="2"/>
  <c r="H21" i="2"/>
  <c r="H13" i="2"/>
  <c r="H22" i="2"/>
  <c r="H20" i="2"/>
  <c r="H12" i="2"/>
  <c r="H24" i="2"/>
  <c r="H19" i="2"/>
  <c r="H11" i="2"/>
  <c r="H8" i="2"/>
  <c r="H14" i="2"/>
  <c r="H18" i="2"/>
  <c r="H10" i="2"/>
  <c r="I16" i="2"/>
  <c r="I23" i="2"/>
  <c r="I15" i="2"/>
  <c r="I8" i="2"/>
  <c r="I22" i="2"/>
  <c r="I21" i="2"/>
  <c r="I13" i="2"/>
  <c r="I18" i="2"/>
  <c r="I14" i="2"/>
  <c r="I20" i="2"/>
  <c r="I12" i="2"/>
  <c r="I11" i="2"/>
  <c r="I10" i="2"/>
  <c r="I6" i="2"/>
  <c r="I17" i="2"/>
  <c r="I9" i="2"/>
  <c r="I24" i="2"/>
  <c r="I7" i="2"/>
  <c r="I5" i="2"/>
  <c r="O31" i="1"/>
  <c r="O30" i="1"/>
  <c r="O8" i="1"/>
  <c r="O5" i="3"/>
  <c r="S14" i="3" l="1"/>
  <c r="P5" i="3"/>
  <c r="P22" i="3"/>
  <c r="P14" i="3"/>
  <c r="P6" i="3"/>
  <c r="L15" i="3" l="1"/>
  <c r="L23" i="3"/>
  <c r="K11" i="3"/>
  <c r="K19" i="3"/>
  <c r="L13" i="3"/>
  <c r="L21" i="3"/>
  <c r="L7" i="3"/>
  <c r="K12" i="3"/>
  <c r="K20" i="3"/>
  <c r="M22" i="3"/>
  <c r="M14" i="3"/>
  <c r="L6" i="3"/>
  <c r="L20" i="3"/>
  <c r="L12" i="3"/>
  <c r="L5" i="3"/>
  <c r="L19" i="3"/>
  <c r="L11" i="3"/>
  <c r="L18" i="3"/>
  <c r="L10" i="3"/>
  <c r="L17" i="3"/>
  <c r="L9" i="3"/>
  <c r="L24" i="3"/>
  <c r="L16" i="3"/>
  <c r="L8" i="3"/>
  <c r="K16" i="3"/>
  <c r="K10" i="3"/>
  <c r="K18" i="3"/>
  <c r="P20" i="3"/>
  <c r="P12" i="3"/>
  <c r="K17" i="3"/>
  <c r="K9" i="3"/>
  <c r="K24" i="3"/>
  <c r="P19" i="3"/>
  <c r="K23" i="3"/>
  <c r="K15" i="3"/>
  <c r="K7" i="3"/>
  <c r="P18" i="3"/>
  <c r="P10" i="3"/>
  <c r="K22" i="3"/>
  <c r="K14" i="3"/>
  <c r="K6" i="3"/>
  <c r="K8" i="3"/>
  <c r="P17" i="3"/>
  <c r="P9" i="3"/>
  <c r="K21" i="3"/>
  <c r="K13" i="3"/>
  <c r="P24" i="3"/>
  <c r="P16" i="3"/>
  <c r="P8" i="3"/>
  <c r="S6" i="3"/>
  <c r="S10" i="3" l="1"/>
  <c r="S18" i="3" s="1"/>
  <c r="M11" i="3"/>
  <c r="P11" i="3"/>
  <c r="M7" i="3"/>
  <c r="P7" i="3"/>
  <c r="M21" i="3"/>
  <c r="P21" i="3"/>
  <c r="M15" i="3"/>
  <c r="P15" i="3"/>
  <c r="M13" i="3"/>
  <c r="P13" i="3"/>
  <c r="M23" i="3"/>
  <c r="P23" i="3"/>
  <c r="M6" i="3"/>
  <c r="L14" i="3"/>
  <c r="L22" i="3"/>
  <c r="S11" i="3" s="1"/>
  <c r="M19" i="3"/>
  <c r="M16" i="3"/>
  <c r="M17" i="3"/>
  <c r="M12" i="3"/>
  <c r="M10" i="3"/>
  <c r="M20" i="3"/>
  <c r="M9" i="3"/>
  <c r="M18" i="3"/>
  <c r="M5" i="3"/>
  <c r="M8" i="3"/>
  <c r="M24" i="3"/>
  <c r="S15" i="3" l="1"/>
  <c r="S12" i="3"/>
  <c r="S19" i="3"/>
  <c r="S24" i="3" s="1"/>
  <c r="W6" i="3" s="1"/>
  <c r="S23" i="3"/>
  <c r="U6" i="3" s="1"/>
  <c r="S20" i="3" l="1"/>
  <c r="S25" i="3" s="1"/>
  <c r="U18" i="3"/>
  <c r="V18" i="3" s="1"/>
  <c r="V6" i="3"/>
  <c r="U15" i="3"/>
  <c r="V15" i="3" s="1"/>
  <c r="U22" i="3"/>
  <c r="V22" i="3" s="1"/>
  <c r="U17" i="3"/>
  <c r="V17" i="3" s="1"/>
  <c r="U19" i="3"/>
  <c r="V19" i="3" s="1"/>
  <c r="U21" i="3"/>
  <c r="V21" i="3" s="1"/>
  <c r="U9" i="3"/>
  <c r="V9" i="3" s="1"/>
  <c r="U24" i="3"/>
  <c r="V24" i="3" s="1"/>
  <c r="U20" i="3"/>
  <c r="V20" i="3" s="1"/>
  <c r="U8" i="3"/>
  <c r="V8" i="3" s="1"/>
  <c r="U7" i="3"/>
  <c r="V7" i="3" s="1"/>
  <c r="U16" i="3"/>
  <c r="V16" i="3" s="1"/>
  <c r="U14" i="3"/>
  <c r="V14" i="3" s="1"/>
  <c r="U13" i="3"/>
  <c r="V13" i="3" s="1"/>
  <c r="U11" i="3"/>
  <c r="V11" i="3" s="1"/>
  <c r="U5" i="3"/>
  <c r="V5" i="3" s="1"/>
  <c r="U10" i="3"/>
  <c r="V10" i="3" s="1"/>
  <c r="U12" i="3"/>
  <c r="V12" i="3" s="1"/>
  <c r="U23" i="3"/>
  <c r="V23" i="3" s="1"/>
  <c r="W5" i="3"/>
  <c r="X5" i="3" s="1"/>
  <c r="X6" i="3"/>
  <c r="W8" i="3"/>
  <c r="X8" i="3" s="1"/>
  <c r="W16" i="3"/>
  <c r="X16" i="3" s="1"/>
  <c r="W24" i="3"/>
  <c r="X24" i="3" s="1"/>
  <c r="W9" i="3"/>
  <c r="X9" i="3" s="1"/>
  <c r="W17" i="3"/>
  <c r="X17" i="3" s="1"/>
  <c r="W7" i="3"/>
  <c r="X7" i="3" s="1"/>
  <c r="W23" i="3"/>
  <c r="X23" i="3" s="1"/>
  <c r="W10" i="3"/>
  <c r="X10" i="3" s="1"/>
  <c r="W18" i="3"/>
  <c r="X18" i="3" s="1"/>
  <c r="W15" i="3"/>
  <c r="X15" i="3" s="1"/>
  <c r="W11" i="3"/>
  <c r="X11" i="3" s="1"/>
  <c r="W19" i="3"/>
  <c r="X19" i="3" s="1"/>
  <c r="W12" i="3"/>
  <c r="X12" i="3" s="1"/>
  <c r="W20" i="3"/>
  <c r="X20" i="3" s="1"/>
  <c r="W13" i="3"/>
  <c r="X13" i="3" s="1"/>
  <c r="W21" i="3"/>
  <c r="X21" i="3" s="1"/>
  <c r="W14" i="3"/>
  <c r="X14" i="3" s="1"/>
  <c r="W22" i="3"/>
  <c r="X22" i="3" s="1"/>
  <c r="Y6" i="3" l="1"/>
  <c r="Z6" i="3" s="1"/>
  <c r="Y9" i="3"/>
  <c r="Z9" i="3" s="1"/>
  <c r="Y17" i="3"/>
  <c r="Z17" i="3" s="1"/>
  <c r="Y5" i="3"/>
  <c r="Z5" i="3" s="1"/>
  <c r="Y18" i="3"/>
  <c r="Z18" i="3" s="1"/>
  <c r="Y11" i="3"/>
  <c r="Z11" i="3" s="1"/>
  <c r="Y19" i="3"/>
  <c r="Z19" i="3" s="1"/>
  <c r="Y12" i="3"/>
  <c r="Z12" i="3" s="1"/>
  <c r="Y20" i="3"/>
  <c r="Z20" i="3" s="1"/>
  <c r="Y16" i="3"/>
  <c r="Z16" i="3" s="1"/>
  <c r="Y10" i="3"/>
  <c r="Y13" i="3"/>
  <c r="Y21" i="3"/>
  <c r="Z21" i="3" s="1"/>
  <c r="Y14" i="3"/>
  <c r="Z14" i="3" s="1"/>
  <c r="Y22" i="3"/>
  <c r="Z22" i="3" s="1"/>
  <c r="Y7" i="3"/>
  <c r="Z7" i="3" s="1"/>
  <c r="Y15" i="3"/>
  <c r="Z15" i="3" s="1"/>
  <c r="Y23" i="3"/>
  <c r="Z23" i="3" s="1"/>
  <c r="Y8" i="3"/>
  <c r="Z8" i="3" s="1"/>
  <c r="Y24" i="3"/>
  <c r="Z24" i="3" s="1"/>
  <c r="Z10" i="3"/>
  <c r="Z13" i="3"/>
  <c r="X36" i="3"/>
  <c r="V36" i="3"/>
  <c r="Z36" i="3" l="1"/>
  <c r="O5" i="2"/>
  <c r="O36" i="2" s="1"/>
  <c r="C6" i="1"/>
  <c r="M5" i="2" l="1"/>
  <c r="M36" i="2" s="1"/>
  <c r="L5" i="2"/>
  <c r="L36" i="2" s="1"/>
  <c r="P5" i="2"/>
  <c r="P36" i="2" s="1"/>
  <c r="C21" i="1"/>
  <c r="C23" i="1"/>
  <c r="C20" i="1"/>
  <c r="C18" i="1"/>
  <c r="C24" i="1"/>
  <c r="C19" i="1"/>
  <c r="C11" i="1"/>
  <c r="C8" i="1"/>
  <c r="C12" i="1"/>
  <c r="C17" i="1"/>
  <c r="C25" i="1"/>
  <c r="D6" i="1"/>
  <c r="C7" i="1"/>
  <c r="C9" i="1"/>
  <c r="C13" i="1"/>
  <c r="C14" i="1"/>
  <c r="C22" i="1"/>
  <c r="C16" i="1"/>
  <c r="C10" i="1"/>
  <c r="C15" i="1"/>
  <c r="T8" i="2" l="1"/>
  <c r="D24" i="1"/>
  <c r="D21" i="1"/>
  <c r="D9" i="1"/>
  <c r="D8" i="1"/>
  <c r="D20" i="1"/>
  <c r="D19" i="1"/>
  <c r="D25" i="1"/>
  <c r="D13" i="1"/>
  <c r="D17" i="1"/>
  <c r="D12" i="1"/>
  <c r="D18" i="1"/>
  <c r="D7" i="1"/>
  <c r="D11" i="1"/>
  <c r="D23" i="1"/>
  <c r="D16" i="1"/>
  <c r="D22" i="1"/>
  <c r="D15" i="1"/>
  <c r="D14" i="1"/>
  <c r="D10" i="1"/>
  <c r="O9" i="1" l="1"/>
  <c r="O10" i="1" s="1"/>
  <c r="T9" i="2"/>
  <c r="E6" i="1" l="1"/>
  <c r="G6" i="1" l="1"/>
  <c r="E22" i="1"/>
  <c r="G22" i="1" s="1"/>
  <c r="H22" i="1" s="1"/>
  <c r="E21" i="1"/>
  <c r="G21" i="1" s="1"/>
  <c r="H21" i="1" s="1"/>
  <c r="E9" i="1"/>
  <c r="G9" i="1" s="1"/>
  <c r="H9" i="1" s="1"/>
  <c r="E17" i="1"/>
  <c r="G17" i="1" s="1"/>
  <c r="H17" i="1" s="1"/>
  <c r="E8" i="1"/>
  <c r="G8" i="1" s="1"/>
  <c r="H8" i="1" s="1"/>
  <c r="E7" i="1"/>
  <c r="G7" i="1" s="1"/>
  <c r="H7" i="1" s="1"/>
  <c r="E24" i="1"/>
  <c r="G24" i="1" s="1"/>
  <c r="H24" i="1" s="1"/>
  <c r="E20" i="1"/>
  <c r="G20" i="1" s="1"/>
  <c r="H20" i="1" s="1"/>
  <c r="E10" i="1"/>
  <c r="G10" i="1" s="1"/>
  <c r="H10" i="1" s="1"/>
  <c r="E19" i="1"/>
  <c r="G19" i="1" s="1"/>
  <c r="H19" i="1" s="1"/>
  <c r="E14" i="1"/>
  <c r="G14" i="1" s="1"/>
  <c r="H14" i="1" s="1"/>
  <c r="E15" i="1"/>
  <c r="G15" i="1" s="1"/>
  <c r="H15" i="1" s="1"/>
  <c r="E25" i="1"/>
  <c r="G25" i="1" s="1"/>
  <c r="H25" i="1" s="1"/>
  <c r="E11" i="1"/>
  <c r="G11" i="1" s="1"/>
  <c r="H11" i="1" s="1"/>
  <c r="E16" i="1"/>
  <c r="G16" i="1" s="1"/>
  <c r="H16" i="1" s="1"/>
  <c r="E12" i="1"/>
  <c r="G12" i="1" s="1"/>
  <c r="H12" i="1" s="1"/>
  <c r="E13" i="1"/>
  <c r="G13" i="1" s="1"/>
  <c r="H13" i="1" s="1"/>
  <c r="E23" i="1"/>
  <c r="G23" i="1" s="1"/>
  <c r="H23" i="1" s="1"/>
  <c r="E18" i="1"/>
  <c r="G18" i="1" s="1"/>
  <c r="H18" i="1" s="1"/>
  <c r="H6" i="1" l="1"/>
  <c r="O14" i="1"/>
  <c r="O16" i="1" l="1"/>
  <c r="I22" i="1" s="1"/>
  <c r="L22" i="1" s="1"/>
  <c r="I18" i="1" l="1"/>
  <c r="L18" i="1" s="1"/>
  <c r="I19" i="1"/>
  <c r="J19" i="1" s="1"/>
  <c r="I24" i="1"/>
  <c r="L24" i="1" s="1"/>
  <c r="I11" i="1"/>
  <c r="L11" i="1" s="1"/>
  <c r="I15" i="1"/>
  <c r="L15" i="1" s="1"/>
  <c r="I8" i="1"/>
  <c r="L8" i="1" s="1"/>
  <c r="I16" i="1"/>
  <c r="L16" i="1" s="1"/>
  <c r="I9" i="1"/>
  <c r="L9" i="1" s="1"/>
  <c r="I23" i="1"/>
  <c r="K23" i="1" s="1"/>
  <c r="I12" i="1"/>
  <c r="L12" i="1" s="1"/>
  <c r="I10" i="1"/>
  <c r="L10" i="1" s="1"/>
  <c r="I17" i="1"/>
  <c r="L17" i="1" s="1"/>
  <c r="I20" i="1"/>
  <c r="L20" i="1" s="1"/>
  <c r="I7" i="1"/>
  <c r="J7" i="1" s="1"/>
  <c r="I25" i="1"/>
  <c r="J25" i="1" s="1"/>
  <c r="I21" i="1"/>
  <c r="L21" i="1" s="1"/>
  <c r="I13" i="1"/>
  <c r="L13" i="1" s="1"/>
  <c r="I6" i="1"/>
  <c r="K6" i="1" s="1"/>
  <c r="I14" i="1"/>
  <c r="L14" i="1" s="1"/>
  <c r="K19" i="1"/>
  <c r="K17" i="1"/>
  <c r="L6" i="1"/>
  <c r="J22" i="1"/>
  <c r="K22" i="1"/>
  <c r="K12" i="1"/>
  <c r="K15" i="1" l="1"/>
  <c r="J17" i="1"/>
  <c r="J12" i="1"/>
  <c r="J6" i="1"/>
  <c r="J10" i="1"/>
  <c r="J11" i="1"/>
  <c r="J23" i="1"/>
  <c r="J18" i="1"/>
  <c r="K18" i="1"/>
  <c r="K10" i="1"/>
  <c r="J16" i="1"/>
  <c r="K25" i="1"/>
  <c r="K16" i="1"/>
  <c r="K11" i="1"/>
  <c r="J15" i="1"/>
  <c r="L25" i="1"/>
  <c r="K24" i="1"/>
  <c r="J20" i="1"/>
  <c r="L19" i="1"/>
  <c r="L7" i="1"/>
  <c r="K8" i="1"/>
  <c r="K7" i="1"/>
  <c r="K20" i="1"/>
  <c r="K9" i="1"/>
  <c r="K13" i="1"/>
  <c r="J13" i="1"/>
  <c r="J9" i="1"/>
  <c r="L23" i="1"/>
  <c r="J14" i="1"/>
  <c r="J21" i="1"/>
  <c r="J24" i="1"/>
  <c r="K14" i="1"/>
  <c r="K21" i="1"/>
  <c r="J8" i="1"/>
  <c r="O17" i="1" l="1"/>
  <c r="O18" i="1" s="1"/>
  <c r="O24" i="1" s="1"/>
  <c r="O21" i="1" l="1"/>
  <c r="N22" i="1" s="1"/>
  <c r="N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C3" authorId="0" shapeId="0" xr:uid="{5331C326-9B7F-45BA-8585-A05C75E894BE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обрання метрики потрібно ввести в це поле її номер (наприклад, 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C3" authorId="0" shapeId="0" xr:uid="{4A55764C-0FF4-4686-86A7-FAA80652CAAC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обрання першої метрики потрібно ввести в це поле її номер (наприклад, 1)</t>
        </r>
      </text>
    </comment>
    <comment ref="F3" authorId="0" shapeId="0" xr:uid="{8A24EAF9-B073-4DBD-844B-1E6E12A07D4A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обрання другої метрики потрібно ввести в це поле її номер (наприклад, 1)</t>
        </r>
      </text>
    </comment>
    <comment ref="J3" authorId="0" shapeId="0" xr:uid="{FF6B6A8F-FA71-4D8B-A9B9-4D43AB251425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скоригування рангів потрібно скопіювати значення стовпців H:I та перенести їх до стовпців J:K, після чого натиснути на функцію сортування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C3" authorId="0" shapeId="0" xr:uid="{220B931D-4B0A-4D83-9963-8783B194A898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обрання першої метрики потрібно ввести в це поле її номер (наприклад, 1)</t>
        </r>
      </text>
    </comment>
    <comment ref="F3" authorId="0" shapeId="0" xr:uid="{65C7065F-D586-4ED3-8EAB-25D71BAA931C}">
      <text>
        <r>
          <rPr>
            <b/>
            <sz val="9"/>
            <color indexed="81"/>
            <rFont val="Tahoma"/>
            <charset val="1"/>
          </rPr>
          <t>Legion:</t>
        </r>
        <r>
          <rPr>
            <sz val="9"/>
            <color indexed="81"/>
            <rFont val="Tahoma"/>
            <charset val="1"/>
          </rPr>
          <t xml:space="preserve">
Для обрання другої метрики потрібно ввести в це поле її номер (наприклад, 1)</t>
        </r>
      </text>
    </comment>
  </commentList>
</comments>
</file>

<file path=xl/sharedStrings.xml><?xml version="1.0" encoding="utf-8"?>
<sst xmlns="http://schemas.openxmlformats.org/spreadsheetml/2006/main" count="55" uniqueCount="47">
  <si>
    <t>Частина 1. Первинний аналіз метрик</t>
  </si>
  <si>
    <t>LOC</t>
  </si>
  <si>
    <t>NOP</t>
  </si>
  <si>
    <t>HIT</t>
  </si>
  <si>
    <t>Прямі метрики</t>
  </si>
  <si>
    <t>Непрямі метрики</t>
  </si>
  <si>
    <t>Метрика:</t>
  </si>
  <si>
    <t>Перед видаленням аномалій:</t>
  </si>
  <si>
    <t>t</t>
  </si>
  <si>
    <t>Після видалення аномалій:</t>
  </si>
  <si>
    <t>N</t>
  </si>
  <si>
    <t>σ</t>
  </si>
  <si>
    <t>Перед видаленням аномалій</t>
  </si>
  <si>
    <t>Після видалення аномалій</t>
  </si>
  <si>
    <t>Метрика 1:</t>
  </si>
  <si>
    <t>Метрика 2:</t>
  </si>
  <si>
    <t>Q</t>
  </si>
  <si>
    <t>P</t>
  </si>
  <si>
    <t>Ранги метрик</t>
  </si>
  <si>
    <t>Скориговані ранги</t>
  </si>
  <si>
    <t>Сума</t>
  </si>
  <si>
    <t>Частина 3. Побудова кореляційного поля, лінії регресії та визначення її функції</t>
  </si>
  <si>
    <t>Інтервальне оцінювання</t>
  </si>
  <si>
    <t>Метрика 1</t>
  </si>
  <si>
    <t>Метрика 2</t>
  </si>
  <si>
    <t>b1</t>
  </si>
  <si>
    <t>Лінійний</t>
  </si>
  <si>
    <t>Експонен.</t>
  </si>
  <si>
    <t>Показник.</t>
  </si>
  <si>
    <t>b0</t>
  </si>
  <si>
    <t>Лінійний fi</t>
  </si>
  <si>
    <t>Експонен. fi</t>
  </si>
  <si>
    <t>Показник. fi</t>
  </si>
  <si>
    <t>SSE</t>
  </si>
  <si>
    <t>(mi-fi)^2</t>
  </si>
  <si>
    <t>Значущий?</t>
  </si>
  <si>
    <t>Sxy</t>
  </si>
  <si>
    <t>Sxx</t>
  </si>
  <si>
    <t>Sxlogy</t>
  </si>
  <si>
    <t>Slogxlogy</t>
  </si>
  <si>
    <t>Slogxlogx</t>
  </si>
  <si>
    <t>Частина 2. Побудова кореляційних полів пар прямих та непрямих метрик</t>
  </si>
  <si>
    <t>FOUT</t>
  </si>
  <si>
    <t>NOC</t>
  </si>
  <si>
    <t>WMC</t>
  </si>
  <si>
    <t>TCC</t>
  </si>
  <si>
    <t>BOvR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</si>
</sst>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Кореляційне поле</a:t>
            </a:r>
          </a:p>
        </c:rich>
      </c:tx>
      <c:layout>
        <c:manualLayout>
          <c:xMode val="edge"/>
          <c:yMode val="edge"/>
          <c:x val="0.348395669291338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'Частина 2'!$B$5:$B$34</c:f>
              <c:numCache>
                <c:formatCode>General</c:formatCode>
                <c:ptCount val="30"/>
                <c:pt idx="0">
                  <c:v>1305</c:v>
                </c:pt>
                <c:pt idx="1">
                  <c:v>1243</c:v>
                </c:pt>
                <c:pt idx="2">
                  <c:v>1846</c:v>
                </c:pt>
                <c:pt idx="3">
                  <c:v>930</c:v>
                </c:pt>
                <c:pt idx="4">
                  <c:v>1272</c:v>
                </c:pt>
                <c:pt idx="5">
                  <c:v>1006</c:v>
                </c:pt>
                <c:pt idx="6">
                  <c:v>1395</c:v>
                </c:pt>
                <c:pt idx="7">
                  <c:v>726</c:v>
                </c:pt>
                <c:pt idx="8">
                  <c:v>412</c:v>
                </c:pt>
                <c:pt idx="9">
                  <c:v>1471</c:v>
                </c:pt>
                <c:pt idx="10">
                  <c:v>770</c:v>
                </c:pt>
                <c:pt idx="11">
                  <c:v>2199</c:v>
                </c:pt>
                <c:pt idx="12">
                  <c:v>2399</c:v>
                </c:pt>
                <c:pt idx="13">
                  <c:v>2002</c:v>
                </c:pt>
                <c:pt idx="14">
                  <c:v>1043</c:v>
                </c:pt>
                <c:pt idx="15">
                  <c:v>830</c:v>
                </c:pt>
                <c:pt idx="16">
                  <c:v>471</c:v>
                </c:pt>
                <c:pt idx="17">
                  <c:v>662</c:v>
                </c:pt>
                <c:pt idx="18">
                  <c:v>157</c:v>
                </c:pt>
                <c:pt idx="19">
                  <c:v>568</c:v>
                </c:pt>
              </c:numCache>
            </c:numRef>
          </c:xVal>
          <c:yVal>
            <c:numRef>
              <c:f>'Частина 2'!$E$5:$E$34</c:f>
              <c:numCache>
                <c:formatCode>General</c:formatCode>
                <c:ptCount val="30"/>
                <c:pt idx="0">
                  <c:v>0.125</c:v>
                </c:pt>
                <c:pt idx="1">
                  <c:v>9.5000000000000001E-2</c:v>
                </c:pt>
                <c:pt idx="2">
                  <c:v>0.254</c:v>
                </c:pt>
                <c:pt idx="3">
                  <c:v>0.28299999999999997</c:v>
                </c:pt>
                <c:pt idx="4">
                  <c:v>0</c:v>
                </c:pt>
                <c:pt idx="5">
                  <c:v>5.2999999999999999E-2</c:v>
                </c:pt>
                <c:pt idx="6">
                  <c:v>0</c:v>
                </c:pt>
                <c:pt idx="7">
                  <c:v>0.48199999999999998</c:v>
                </c:pt>
                <c:pt idx="8">
                  <c:v>0.52900000000000003</c:v>
                </c:pt>
                <c:pt idx="9">
                  <c:v>0.38600000000000001</c:v>
                </c:pt>
                <c:pt idx="10">
                  <c:v>0.45</c:v>
                </c:pt>
                <c:pt idx="11">
                  <c:v>0.58599999999999997</c:v>
                </c:pt>
                <c:pt idx="12">
                  <c:v>0.39400000000000002</c:v>
                </c:pt>
                <c:pt idx="13">
                  <c:v>0.56999999999999995</c:v>
                </c:pt>
                <c:pt idx="14">
                  <c:v>0.54</c:v>
                </c:pt>
                <c:pt idx="15">
                  <c:v>0.39</c:v>
                </c:pt>
                <c:pt idx="16">
                  <c:v>0.35</c:v>
                </c:pt>
                <c:pt idx="17">
                  <c:v>0.54300000000000004</c:v>
                </c:pt>
                <c:pt idx="18">
                  <c:v>0.53800000000000003</c:v>
                </c:pt>
                <c:pt idx="19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9-46B1-86E3-BB46F634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Лінійне</a:t>
            </a:r>
            <a:r>
              <a:rPr lang="uk-UA" baseline="0">
                <a:solidFill>
                  <a:sysClr val="windowText" lastClr="000000"/>
                </a:solidFill>
              </a:rPr>
              <a:t> к</a:t>
            </a:r>
            <a:r>
              <a:rPr lang="uk-UA">
                <a:solidFill>
                  <a:sysClr val="windowText" lastClr="000000"/>
                </a:solidFill>
              </a:rPr>
              <a:t>ореляційне поле</a:t>
            </a:r>
          </a:p>
        </c:rich>
      </c:tx>
      <c:layout>
        <c:manualLayout>
          <c:xMode val="edge"/>
          <c:yMode val="edge"/>
          <c:x val="0.25484063712410165"/>
          <c:y val="3.2407225787168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78954060056416E-2"/>
                  <c:y val="0.1011747450253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'Частина 3'!$B$5:$B$24</c:f>
              <c:numCache>
                <c:formatCode>General</c:formatCode>
                <c:ptCount val="20"/>
                <c:pt idx="0">
                  <c:v>54</c:v>
                </c:pt>
                <c:pt idx="1">
                  <c:v>48</c:v>
                </c:pt>
                <c:pt idx="2">
                  <c:v>59</c:v>
                </c:pt>
                <c:pt idx="3">
                  <c:v>26</c:v>
                </c:pt>
                <c:pt idx="4">
                  <c:v>53</c:v>
                </c:pt>
                <c:pt idx="5">
                  <c:v>24</c:v>
                </c:pt>
                <c:pt idx="6">
                  <c:v>53</c:v>
                </c:pt>
                <c:pt idx="7">
                  <c:v>13</c:v>
                </c:pt>
                <c:pt idx="8">
                  <c:v>13</c:v>
                </c:pt>
                <c:pt idx="9">
                  <c:v>73</c:v>
                </c:pt>
                <c:pt idx="10">
                  <c:v>93</c:v>
                </c:pt>
                <c:pt idx="11">
                  <c:v>170</c:v>
                </c:pt>
                <c:pt idx="12">
                  <c:v>267</c:v>
                </c:pt>
                <c:pt idx="13">
                  <c:v>271</c:v>
                </c:pt>
                <c:pt idx="14">
                  <c:v>81</c:v>
                </c:pt>
                <c:pt idx="15">
                  <c:v>138</c:v>
                </c:pt>
                <c:pt idx="16">
                  <c:v>89</c:v>
                </c:pt>
                <c:pt idx="17">
                  <c:v>112</c:v>
                </c:pt>
                <c:pt idx="18">
                  <c:v>21</c:v>
                </c:pt>
                <c:pt idx="19">
                  <c:v>57</c:v>
                </c:pt>
              </c:numCache>
            </c:numRef>
          </c:xVal>
          <c:yVal>
            <c:numRef>
              <c:f>'Частина 3'!$E$5:$E$24</c:f>
              <c:numCache>
                <c:formatCode>General</c:formatCode>
                <c:ptCount val="20"/>
                <c:pt idx="0">
                  <c:v>0.125</c:v>
                </c:pt>
                <c:pt idx="1">
                  <c:v>9.5000000000000001E-2</c:v>
                </c:pt>
                <c:pt idx="2">
                  <c:v>0.254</c:v>
                </c:pt>
                <c:pt idx="3">
                  <c:v>0.28299999999999997</c:v>
                </c:pt>
                <c:pt idx="4">
                  <c:v>0</c:v>
                </c:pt>
                <c:pt idx="5">
                  <c:v>5.2999999999999999E-2</c:v>
                </c:pt>
                <c:pt idx="6">
                  <c:v>0</c:v>
                </c:pt>
                <c:pt idx="7">
                  <c:v>0.48199999999999998</c:v>
                </c:pt>
                <c:pt idx="8">
                  <c:v>0.52900000000000003</c:v>
                </c:pt>
                <c:pt idx="9">
                  <c:v>0.38600000000000001</c:v>
                </c:pt>
                <c:pt idx="10">
                  <c:v>0.45</c:v>
                </c:pt>
                <c:pt idx="11">
                  <c:v>0.58599999999999997</c:v>
                </c:pt>
                <c:pt idx="12">
                  <c:v>0.39400000000000002</c:v>
                </c:pt>
                <c:pt idx="13">
                  <c:v>0.56999999999999995</c:v>
                </c:pt>
                <c:pt idx="14">
                  <c:v>0.54</c:v>
                </c:pt>
                <c:pt idx="15">
                  <c:v>0.39</c:v>
                </c:pt>
                <c:pt idx="16">
                  <c:v>0.35</c:v>
                </c:pt>
                <c:pt idx="17">
                  <c:v>0.54300000000000004</c:v>
                </c:pt>
                <c:pt idx="18">
                  <c:v>0.53800000000000003</c:v>
                </c:pt>
                <c:pt idx="19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578-8A44-CEAA3CF3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Показникове</a:t>
            </a:r>
            <a:r>
              <a:rPr lang="uk-UA" baseline="0">
                <a:solidFill>
                  <a:sysClr val="windowText" lastClr="000000"/>
                </a:solidFill>
              </a:rPr>
              <a:t> к</a:t>
            </a:r>
            <a:r>
              <a:rPr lang="uk-UA">
                <a:solidFill>
                  <a:sysClr val="windowText" lastClr="000000"/>
                </a:solidFill>
              </a:rPr>
              <a:t>ореляційне поле</a:t>
            </a:r>
          </a:p>
        </c:rich>
      </c:tx>
      <c:layout>
        <c:manualLayout>
          <c:xMode val="edge"/>
          <c:yMode val="edge"/>
          <c:x val="0.19220249180470697"/>
          <c:y val="5.6216722909636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966404199475062E-2"/>
                  <c:y val="0.14894740666067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'Частина 3'!$H$5:$H$24</c:f>
              <c:numCache>
                <c:formatCode>General</c:formatCode>
                <c:ptCount val="20"/>
                <c:pt idx="0">
                  <c:v>1.7331972651065695</c:v>
                </c:pt>
                <c:pt idx="1">
                  <c:v>1.6821450763738317</c:v>
                </c:pt>
                <c:pt idx="2">
                  <c:v>1.7715874808812553</c:v>
                </c:pt>
                <c:pt idx="3">
                  <c:v>1.4166405073382811</c:v>
                </c:pt>
                <c:pt idx="4">
                  <c:v>1.725094521081469</c:v>
                </c:pt>
                <c:pt idx="5">
                  <c:v>1.3820170425748683</c:v>
                </c:pt>
                <c:pt idx="6">
                  <c:v>1.725094521081469</c:v>
                </c:pt>
                <c:pt idx="7">
                  <c:v>1.1172712956557642</c:v>
                </c:pt>
                <c:pt idx="8">
                  <c:v>1.1172712956557642</c:v>
                </c:pt>
                <c:pt idx="9">
                  <c:v>1.8639173769578605</c:v>
                </c:pt>
                <c:pt idx="10">
                  <c:v>1.9689496809813425</c:v>
                </c:pt>
                <c:pt idx="11">
                  <c:v>2.230704313612569</c:v>
                </c:pt>
                <c:pt idx="12">
                  <c:v>2.426673888021373</c:v>
                </c:pt>
                <c:pt idx="13">
                  <c:v>2.4331295175804857</c:v>
                </c:pt>
                <c:pt idx="14">
                  <c:v>1.909020854211156</c:v>
                </c:pt>
                <c:pt idx="15">
                  <c:v>2.1401936785786311</c:v>
                </c:pt>
                <c:pt idx="16">
                  <c:v>1.9498777040368747</c:v>
                </c:pt>
                <c:pt idx="17">
                  <c:v>2.0496056125949731</c:v>
                </c:pt>
                <c:pt idx="18">
                  <c:v>1.3242824552976926</c:v>
                </c:pt>
                <c:pt idx="19">
                  <c:v>1.7566361082458481</c:v>
                </c:pt>
              </c:numCache>
            </c:numRef>
          </c:xVal>
          <c:yVal>
            <c:numRef>
              <c:f>'Частина 3'!$I$5:$I$24</c:f>
              <c:numCache>
                <c:formatCode>General</c:formatCode>
                <c:ptCount val="20"/>
                <c:pt idx="0">
                  <c:v>-0.64781748188863753</c:v>
                </c:pt>
                <c:pt idx="1">
                  <c:v>-0.70996538863748193</c:v>
                </c:pt>
                <c:pt idx="2">
                  <c:v>-0.45099673797421219</c:v>
                </c:pt>
                <c:pt idx="3">
                  <c:v>-0.41680122603137726</c:v>
                </c:pt>
                <c:pt idx="4">
                  <c:v>-1</c:v>
                </c:pt>
                <c:pt idx="5">
                  <c:v>-0.81530856918240124</c:v>
                </c:pt>
                <c:pt idx="6">
                  <c:v>-1</c:v>
                </c:pt>
                <c:pt idx="7">
                  <c:v>-0.23507701535011155</c:v>
                </c:pt>
                <c:pt idx="8">
                  <c:v>-0.20134935455473107</c:v>
                </c:pt>
                <c:pt idx="9">
                  <c:v>-0.31336373073770663</c:v>
                </c:pt>
                <c:pt idx="10">
                  <c:v>-0.25963731050575611</c:v>
                </c:pt>
                <c:pt idx="11">
                  <c:v>-0.16367588429324834</c:v>
                </c:pt>
                <c:pt idx="12">
                  <c:v>-0.30627305107635305</c:v>
                </c:pt>
                <c:pt idx="13">
                  <c:v>-0.17392519729917361</c:v>
                </c:pt>
                <c:pt idx="14">
                  <c:v>-0.19382002601611281</c:v>
                </c:pt>
                <c:pt idx="15">
                  <c:v>-0.30980391997148632</c:v>
                </c:pt>
                <c:pt idx="16">
                  <c:v>-0.34678748622465638</c:v>
                </c:pt>
                <c:pt idx="17">
                  <c:v>-0.19178902707577791</c:v>
                </c:pt>
                <c:pt idx="18">
                  <c:v>-0.19517932127883766</c:v>
                </c:pt>
                <c:pt idx="19">
                  <c:v>-0.23582386760966931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E-42E7-94FC-7E4F1457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Експоненційне кореляційне поле</a:t>
            </a:r>
          </a:p>
        </c:rich>
      </c:tx>
      <c:layout>
        <c:manualLayout>
          <c:xMode val="edge"/>
          <c:yMode val="edge"/>
          <c:x val="0.15605955678670361"/>
          <c:y val="3.240719910011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646160298491431E-3"/>
                  <c:y val="0.22251153950583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'Частина 3'!$B$5:$B$24</c:f>
              <c:numCache>
                <c:formatCode>General</c:formatCode>
                <c:ptCount val="20"/>
                <c:pt idx="0">
                  <c:v>54</c:v>
                </c:pt>
                <c:pt idx="1">
                  <c:v>48</c:v>
                </c:pt>
                <c:pt idx="2">
                  <c:v>59</c:v>
                </c:pt>
                <c:pt idx="3">
                  <c:v>26</c:v>
                </c:pt>
                <c:pt idx="4">
                  <c:v>53</c:v>
                </c:pt>
                <c:pt idx="5">
                  <c:v>24</c:v>
                </c:pt>
                <c:pt idx="6">
                  <c:v>53</c:v>
                </c:pt>
                <c:pt idx="7">
                  <c:v>13</c:v>
                </c:pt>
                <c:pt idx="8">
                  <c:v>13</c:v>
                </c:pt>
                <c:pt idx="9">
                  <c:v>73</c:v>
                </c:pt>
                <c:pt idx="10">
                  <c:v>93</c:v>
                </c:pt>
                <c:pt idx="11">
                  <c:v>170</c:v>
                </c:pt>
                <c:pt idx="12">
                  <c:v>267</c:v>
                </c:pt>
                <c:pt idx="13">
                  <c:v>271</c:v>
                </c:pt>
                <c:pt idx="14">
                  <c:v>81</c:v>
                </c:pt>
                <c:pt idx="15">
                  <c:v>138</c:v>
                </c:pt>
                <c:pt idx="16">
                  <c:v>89</c:v>
                </c:pt>
                <c:pt idx="17">
                  <c:v>112</c:v>
                </c:pt>
                <c:pt idx="18">
                  <c:v>21</c:v>
                </c:pt>
                <c:pt idx="19">
                  <c:v>57</c:v>
                </c:pt>
              </c:numCache>
            </c:numRef>
          </c:xVal>
          <c:yVal>
            <c:numRef>
              <c:f>'Частина 3'!$I$5:$I$24</c:f>
              <c:numCache>
                <c:formatCode>General</c:formatCode>
                <c:ptCount val="20"/>
                <c:pt idx="0">
                  <c:v>-0.64781748188863753</c:v>
                </c:pt>
                <c:pt idx="1">
                  <c:v>-0.70996538863748193</c:v>
                </c:pt>
                <c:pt idx="2">
                  <c:v>-0.45099673797421219</c:v>
                </c:pt>
                <c:pt idx="3">
                  <c:v>-0.41680122603137726</c:v>
                </c:pt>
                <c:pt idx="4">
                  <c:v>-1</c:v>
                </c:pt>
                <c:pt idx="5">
                  <c:v>-0.81530856918240124</c:v>
                </c:pt>
                <c:pt idx="6">
                  <c:v>-1</c:v>
                </c:pt>
                <c:pt idx="7">
                  <c:v>-0.23507701535011155</c:v>
                </c:pt>
                <c:pt idx="8">
                  <c:v>-0.20134935455473107</c:v>
                </c:pt>
                <c:pt idx="9">
                  <c:v>-0.31336373073770663</c:v>
                </c:pt>
                <c:pt idx="10">
                  <c:v>-0.25963731050575611</c:v>
                </c:pt>
                <c:pt idx="11">
                  <c:v>-0.16367588429324834</c:v>
                </c:pt>
                <c:pt idx="12">
                  <c:v>-0.30627305107635305</c:v>
                </c:pt>
                <c:pt idx="13">
                  <c:v>-0.17392519729917361</c:v>
                </c:pt>
                <c:pt idx="14">
                  <c:v>-0.19382002601611281</c:v>
                </c:pt>
                <c:pt idx="15">
                  <c:v>-0.30980391997148632</c:v>
                </c:pt>
                <c:pt idx="16">
                  <c:v>-0.34678748622465638</c:v>
                </c:pt>
                <c:pt idx="17">
                  <c:v>-0.19178902707577791</c:v>
                </c:pt>
                <c:pt idx="18">
                  <c:v>-0.19517932127883766</c:v>
                </c:pt>
                <c:pt idx="19">
                  <c:v>-0.23582386760966931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4B86-8901-01B39335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313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uk-UA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Гістограма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 </a:t>
            </a:r>
            <a:r>
              <a:rPr lang="uk-UA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перед видаленням аномалій</a:t>
            </a:r>
            <a:endPara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00227203-FA52-4463-97A2-BEECA96E5946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330000013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uk-UA" sz="14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Гістограма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uk-UA" sz="1400" b="0" i="0" u="none" strike="noStrike" baseline="0">
                <a:solidFill>
                  <a:sysClr val="windowText" lastClr="000000"/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після видалення аномалій</a:t>
            </a:r>
            <a:endParaRPr lang="uk-UA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clusteredColumn" uniqueId="{B2046C43-1A4B-4E5A-9815-8ECD945CD1AB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330000013"/>
        <cx:tickLabels/>
      </cx:axis>
      <cx:axis id="1">
        <cx:valScaling/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281152</xdr:colOff>
      <xdr:row>4</xdr:row>
      <xdr:rowOff>88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D264DA-E44F-4E01-A1D0-BFA8443A87EE}"/>
                </a:ext>
              </a:extLst>
            </xdr:cNvPr>
            <xdr:cNvSpPr txBox="1"/>
          </xdr:nvSpPr>
          <xdr:spPr>
            <a:xfrm>
              <a:off x="894255" y="735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D264DA-E44F-4E01-A1D0-BFA8443A87EE}"/>
                </a:ext>
              </a:extLst>
            </xdr:cNvPr>
            <xdr:cNvSpPr txBox="1"/>
          </xdr:nvSpPr>
          <xdr:spPr>
            <a:xfrm>
              <a:off x="894255" y="735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7</xdr:row>
      <xdr:rowOff>15240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DD225D-A876-4C58-802E-7A9B609CAED6}"/>
                </a:ext>
              </a:extLst>
            </xdr:cNvPr>
            <xdr:cNvSpPr txBox="1"/>
          </xdr:nvSpPr>
          <xdr:spPr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DD225D-A876-4C58-802E-7A9B609CAED6}"/>
                </a:ext>
              </a:extLst>
            </xdr:cNvPr>
            <xdr:cNvSpPr txBox="1"/>
          </xdr:nvSpPr>
          <xdr:spPr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8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94A4093-5998-4144-AE34-EC01D9918209}"/>
                </a:ext>
              </a:extLst>
            </xdr:cNvPr>
            <xdr:cNvSpPr txBox="1"/>
          </xdr:nvSpPr>
          <xdr:spPr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94A4093-5998-4144-AE34-EC01D9918209}"/>
                </a:ext>
              </a:extLst>
            </xdr:cNvPr>
            <xdr:cNvSpPr txBox="1"/>
          </xdr:nvSpPr>
          <xdr:spPr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2</xdr:col>
      <xdr:colOff>53340</xdr:colOff>
      <xdr:row>4</xdr:row>
      <xdr:rowOff>0</xdr:rowOff>
    </xdr:from>
    <xdr:ext cx="515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F44CA7-3657-4797-8664-435A5AAB59BF}"/>
                </a:ext>
              </a:extLst>
            </xdr:cNvPr>
            <xdr:cNvSpPr txBox="1"/>
          </xdr:nvSpPr>
          <xdr:spPr>
            <a:xfrm>
              <a:off x="1272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F44CA7-3657-4797-8664-435A5AAB59BF}"/>
                </a:ext>
              </a:extLst>
            </xdr:cNvPr>
            <xdr:cNvSpPr txBox="1"/>
          </xdr:nvSpPr>
          <xdr:spPr>
            <a:xfrm>
              <a:off x="1272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(𝑥_𝑖−𝑥 ̅)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4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7EE6D2-2B56-47A4-B1A2-AE74813F4ECA}"/>
                </a:ext>
              </a:extLst>
            </xdr:cNvPr>
            <xdr:cNvSpPr txBox="1"/>
          </xdr:nvSpPr>
          <xdr:spPr>
            <a:xfrm>
              <a:off x="186690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27EE6D2-2B56-47A4-B1A2-AE74813F4ECA}"/>
                </a:ext>
              </a:extLst>
            </xdr:cNvPr>
            <xdr:cNvSpPr txBox="1"/>
          </xdr:nvSpPr>
          <xdr:spPr>
            <a:xfrm>
              <a:off x="186690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6</xdr:col>
      <xdr:colOff>113599</xdr:colOff>
      <xdr:row>4</xdr:row>
      <xdr:rowOff>7620</xdr:rowOff>
    </xdr:from>
    <xdr:ext cx="411395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51055CC-C604-4E6A-8506-F8FDB88F408E}"/>
                </a:ext>
              </a:extLst>
            </xdr:cNvPr>
            <xdr:cNvSpPr txBox="1"/>
          </xdr:nvSpPr>
          <xdr:spPr>
            <a:xfrm>
              <a:off x="3582013" y="559413"/>
              <a:ext cx="41139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uk-UA" sz="1100" b="0" i="1">
                            <a:latin typeface="Cambria Math" panose="02040503050406030204" pitchFamily="18" charset="0"/>
                          </a:rPr>
                          <m:t>Не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uk-UA" sz="1100" b="0" i="1">
                            <a:latin typeface="Cambria Math" panose="02040503050406030204" pitchFamily="18" charset="0"/>
                          </a:rPr>
                          <m:t>гр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51055CC-C604-4E6A-8506-F8FDB88F408E}"/>
                </a:ext>
              </a:extLst>
            </xdr:cNvPr>
            <xdr:cNvSpPr txBox="1"/>
          </xdr:nvSpPr>
          <xdr:spPr>
            <a:xfrm>
              <a:off x="3582013" y="559413"/>
              <a:ext cx="411395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uk-UA" sz="1100" b="0" i="0">
                  <a:latin typeface="Cambria Math" panose="02040503050406030204" pitchFamily="18" charset="0"/>
                </a:rPr>
                <a:t>Не 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〗_гр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15</xdr:row>
      <xdr:rowOff>15240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622B22A-B1B3-48C1-A42D-2656A0323BF5}"/>
                </a:ext>
              </a:extLst>
            </xdr:cNvPr>
            <xdr:cNvSpPr txBox="1"/>
          </xdr:nvSpPr>
          <xdr:spPr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622B22A-B1B3-48C1-A42D-2656A0323BF5}"/>
                </a:ext>
              </a:extLst>
            </xdr:cNvPr>
            <xdr:cNvSpPr txBox="1"/>
          </xdr:nvSpPr>
          <xdr:spPr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16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E8B8AA-A641-4215-A06B-E8458E29C163}"/>
                </a:ext>
              </a:extLst>
            </xdr:cNvPr>
            <xdr:cNvSpPr txBox="1"/>
          </xdr:nvSpPr>
          <xdr:spPr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E8B8AA-A641-4215-A06B-E8458E29C163}"/>
                </a:ext>
              </a:extLst>
            </xdr:cNvPr>
            <xdr:cNvSpPr txBox="1"/>
          </xdr:nvSpPr>
          <xdr:spPr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53340</xdr:colOff>
      <xdr:row>4</xdr:row>
      <xdr:rowOff>0</xdr:rowOff>
    </xdr:from>
    <xdr:ext cx="515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F531B75-E30D-479F-93EA-590C60936A31}"/>
                </a:ext>
              </a:extLst>
            </xdr:cNvPr>
            <xdr:cNvSpPr txBox="1"/>
          </xdr:nvSpPr>
          <xdr:spPr>
            <a:xfrm>
              <a:off x="4320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F531B75-E30D-479F-93EA-590C60936A31}"/>
                </a:ext>
              </a:extLst>
            </xdr:cNvPr>
            <xdr:cNvSpPr txBox="1"/>
          </xdr:nvSpPr>
          <xdr:spPr>
            <a:xfrm>
              <a:off x="4320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(𝑥_𝑖−𝑥 ̅)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9</xdr:col>
      <xdr:colOff>45720</xdr:colOff>
      <xdr:row>4</xdr:row>
      <xdr:rowOff>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145BC5-4E96-40F5-8AC1-217B5737F3AC}"/>
                </a:ext>
              </a:extLst>
            </xdr:cNvPr>
            <xdr:cNvSpPr txBox="1"/>
          </xdr:nvSpPr>
          <xdr:spPr>
            <a:xfrm>
              <a:off x="492252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145BC5-4E96-40F5-8AC1-217B5737F3AC}"/>
                </a:ext>
              </a:extLst>
            </xdr:cNvPr>
            <xdr:cNvSpPr txBox="1"/>
          </xdr:nvSpPr>
          <xdr:spPr>
            <a:xfrm>
              <a:off x="492252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231140</xdr:colOff>
      <xdr:row>20</xdr:row>
      <xdr:rowOff>12700</xdr:rowOff>
    </xdr:from>
    <xdr:ext cx="122533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8F17312-A405-4C89-8A38-D0F780F1CA1E}"/>
                </a:ext>
              </a:extLst>
            </xdr:cNvPr>
            <xdr:cNvSpPr txBox="1"/>
          </xdr:nvSpPr>
          <xdr:spPr>
            <a:xfrm>
              <a:off x="7768590" y="3511550"/>
              <a:ext cx="12253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8F17312-A405-4C89-8A38-D0F780F1CA1E}"/>
                </a:ext>
              </a:extLst>
            </xdr:cNvPr>
            <xdr:cNvSpPr txBox="1"/>
          </xdr:nvSpPr>
          <xdr:spPr>
            <a:xfrm>
              <a:off x="7768590" y="3511550"/>
              <a:ext cx="12253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</a:t>
              </a:r>
              <a:r>
                <a:rPr lang="uk-UA" sz="1100" b="0" i="0">
                  <a:latin typeface="Cambria Math" panose="02040503050406030204" pitchFamily="18" charset="0"/>
                </a:rPr>
                <a:t>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23</xdr:row>
      <xdr:rowOff>7620</xdr:rowOff>
    </xdr:from>
    <xdr:ext cx="12548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BA93676-3CCE-4679-B721-78974CA29420}"/>
                </a:ext>
              </a:extLst>
            </xdr:cNvPr>
            <xdr:cNvSpPr txBox="1"/>
          </xdr:nvSpPr>
          <xdr:spPr>
            <a:xfrm>
              <a:off x="7101840" y="9517380"/>
              <a:ext cx="12548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BA93676-3CCE-4679-B721-78974CA29420}"/>
                </a:ext>
              </a:extLst>
            </xdr:cNvPr>
            <xdr:cNvSpPr txBox="1"/>
          </xdr:nvSpPr>
          <xdr:spPr>
            <a:xfrm>
              <a:off x="7101840" y="9517380"/>
              <a:ext cx="12548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r>
                <a:rPr lang="uk-UA" sz="1100" b="0" i="0">
                  <a:latin typeface="Cambria Math" panose="02040503050406030204" pitchFamily="18" charset="0"/>
                </a:rPr>
                <a:t>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30480</xdr:colOff>
      <xdr:row>3</xdr:row>
      <xdr:rowOff>175260</xdr:rowOff>
    </xdr:from>
    <xdr:ext cx="5810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31C360E-3297-43B5-9227-B027230DD31D}"/>
                </a:ext>
              </a:extLst>
            </xdr:cNvPr>
            <xdr:cNvSpPr txBox="1"/>
          </xdr:nvSpPr>
          <xdr:spPr>
            <a:xfrm>
              <a:off x="5516880" y="675894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uk-UA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31C360E-3297-43B5-9227-B027230DD31D}"/>
                </a:ext>
              </a:extLst>
            </xdr:cNvPr>
            <xdr:cNvSpPr txBox="1"/>
          </xdr:nvSpPr>
          <xdr:spPr>
            <a:xfrm>
              <a:off x="5516880" y="6758940"/>
              <a:ext cx="5810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uk-UA" sz="1100" b="0" i="0">
                  <a:latin typeface="Cambria Math" panose="02040503050406030204" pitchFamily="18" charset="0"/>
                </a:rPr>
                <a:t>3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4</xdr:row>
      <xdr:rowOff>0</xdr:rowOff>
    </xdr:from>
    <xdr:ext cx="581057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74B9CAD-7100-495E-B943-FE7A7410540D}"/>
                </a:ext>
              </a:extLst>
            </xdr:cNvPr>
            <xdr:cNvSpPr txBox="1"/>
          </xdr:nvSpPr>
          <xdr:spPr>
            <a:xfrm>
              <a:off x="6172200" y="676656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uk-UA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74B9CAD-7100-495E-B943-FE7A7410540D}"/>
                </a:ext>
              </a:extLst>
            </xdr:cNvPr>
            <xdr:cNvSpPr txBox="1"/>
          </xdr:nvSpPr>
          <xdr:spPr>
            <a:xfrm>
              <a:off x="6172200" y="6766560"/>
              <a:ext cx="581057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̅)〗^</a:t>
              </a:r>
              <a:r>
                <a:rPr lang="uk-UA" sz="1100" b="0" i="0">
                  <a:latin typeface="Cambria Math" panose="02040503050406030204" pitchFamily="18" charset="0"/>
                </a:rPr>
                <a:t>4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8</xdr:row>
      <xdr:rowOff>15240</xdr:rowOff>
    </xdr:from>
    <xdr:ext cx="171027" cy="1710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4E44919-CA65-44C8-A625-4F50724B4EA6}"/>
            </a:ext>
          </a:extLst>
        </xdr:cNvPr>
        <xdr:cNvSpPr txBox="1"/>
      </xdr:nvSpPr>
      <xdr:spPr>
        <a:xfrm>
          <a:off x="8261773" y="1505373"/>
          <a:ext cx="171027" cy="171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uk-UA" sz="1100" i="0"/>
        </a:p>
      </xdr:txBody>
    </xdr:sp>
    <xdr:clientData/>
  </xdr:oneCellAnchor>
  <xdr:twoCellAnchor>
    <xdr:from>
      <xdr:col>16</xdr:col>
      <xdr:colOff>0</xdr:colOff>
      <xdr:row>4</xdr:row>
      <xdr:rowOff>7620</xdr:rowOff>
    </xdr:from>
    <xdr:to>
      <xdr:col>23</xdr:col>
      <xdr:colOff>304800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6563F168-112F-4B40-AD4B-6DABB7E579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1800" y="739140"/>
              <a:ext cx="4572000" cy="38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7</xdr:col>
      <xdr:colOff>249621</xdr:colOff>
      <xdr:row>4</xdr:row>
      <xdr:rowOff>3592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2E73242-E5F8-48A6-824D-03145BCCC11F}"/>
                </a:ext>
              </a:extLst>
            </xdr:cNvPr>
            <xdr:cNvSpPr txBox="1"/>
          </xdr:nvSpPr>
          <xdr:spPr>
            <a:xfrm>
              <a:off x="4331138" y="739316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2E73242-E5F8-48A6-824D-03145BCCC11F}"/>
                </a:ext>
              </a:extLst>
            </xdr:cNvPr>
            <xdr:cNvSpPr txBox="1"/>
          </xdr:nvSpPr>
          <xdr:spPr>
            <a:xfrm>
              <a:off x="4331138" y="739316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twoCellAnchor>
    <xdr:from>
      <xdr:col>23</xdr:col>
      <xdr:colOff>606767</xdr:colOff>
      <xdr:row>3</xdr:row>
      <xdr:rowOff>168819</xdr:rowOff>
    </xdr:from>
    <xdr:to>
      <xdr:col>31</xdr:col>
      <xdr:colOff>305470</xdr:colOff>
      <xdr:row>24</xdr:row>
      <xdr:rowOff>164155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872416D-170E-4125-A9D3-00BDFC07A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5767" y="717459"/>
              <a:ext cx="4575503" cy="3835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13</xdr:col>
      <xdr:colOff>165393</xdr:colOff>
      <xdr:row>29</xdr:row>
      <xdr:rowOff>6806</xdr:rowOff>
    </xdr:from>
    <xdr:ext cx="280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A81E03D-F20C-46E0-AEB1-B24BC68402A0}"/>
                </a:ext>
              </a:extLst>
            </xdr:cNvPr>
            <xdr:cNvSpPr txBox="1"/>
          </xdr:nvSpPr>
          <xdr:spPr>
            <a:xfrm>
              <a:off x="8101222" y="5313234"/>
              <a:ext cx="28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A81E03D-F20C-46E0-AEB1-B24BC68402A0}"/>
                </a:ext>
              </a:extLst>
            </xdr:cNvPr>
            <xdr:cNvSpPr txBox="1"/>
          </xdr:nvSpPr>
          <xdr:spPr>
            <a:xfrm>
              <a:off x="8101222" y="5313234"/>
              <a:ext cx="28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𝑚𝑖𝑛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172411</xdr:colOff>
      <xdr:row>30</xdr:row>
      <xdr:rowOff>3798</xdr:rowOff>
    </xdr:from>
    <xdr:ext cx="280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4BF5269-F395-41BE-9518-6AB2E2209F51}"/>
                </a:ext>
              </a:extLst>
            </xdr:cNvPr>
            <xdr:cNvSpPr txBox="1"/>
          </xdr:nvSpPr>
          <xdr:spPr>
            <a:xfrm>
              <a:off x="8108240" y="5493206"/>
              <a:ext cx="28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B4BF5269-F395-41BE-9518-6AB2E2209F51}"/>
                </a:ext>
              </a:extLst>
            </xdr:cNvPr>
            <xdr:cNvSpPr txBox="1"/>
          </xdr:nvSpPr>
          <xdr:spPr>
            <a:xfrm>
              <a:off x="8108240" y="5493206"/>
              <a:ext cx="280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𝑚𝑎𝑥</a:t>
              </a:r>
              <a:endParaRPr lang="uk-UA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312420</xdr:colOff>
      <xdr:row>3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4DE23-247D-4C90-A819-E4D6BDE6AE5E}"/>
                </a:ext>
              </a:extLst>
            </xdr:cNvPr>
            <xdr:cNvSpPr txBox="1"/>
          </xdr:nvSpPr>
          <xdr:spPr>
            <a:xfrm>
              <a:off x="922020" y="548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F4DE23-247D-4C90-A819-E4D6BDE6AE5E}"/>
                </a:ext>
              </a:extLst>
            </xdr:cNvPr>
            <xdr:cNvSpPr txBox="1"/>
          </xdr:nvSpPr>
          <xdr:spPr>
            <a:xfrm>
              <a:off x="922020" y="548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</xdr:row>
      <xdr:rowOff>175260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53BD6D2-04F7-46E7-8E92-A27971844472}"/>
                </a:ext>
              </a:extLst>
            </xdr:cNvPr>
            <xdr:cNvSpPr txBox="1"/>
          </xdr:nvSpPr>
          <xdr:spPr>
            <a:xfrm>
              <a:off x="3040380" y="5410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53BD6D2-04F7-46E7-8E92-A27971844472}"/>
                </a:ext>
              </a:extLst>
            </xdr:cNvPr>
            <xdr:cNvSpPr txBox="1"/>
          </xdr:nvSpPr>
          <xdr:spPr>
            <a:xfrm>
              <a:off x="3040380" y="5410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259080</xdr:colOff>
      <xdr:row>7</xdr:row>
      <xdr:rowOff>15240</xdr:rowOff>
    </xdr:from>
    <xdr:ext cx="2514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7E32B19-5EE1-4B98-A3F7-06161A3BDDE6}"/>
                </a:ext>
              </a:extLst>
            </xdr:cNvPr>
            <xdr:cNvSpPr txBox="1"/>
          </xdr:nvSpPr>
          <xdr:spPr>
            <a:xfrm>
              <a:off x="8999220" y="1112520"/>
              <a:ext cx="251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uk-U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7E32B19-5EE1-4B98-A3F7-06161A3BDDE6}"/>
                </a:ext>
              </a:extLst>
            </xdr:cNvPr>
            <xdr:cNvSpPr txBox="1"/>
          </xdr:nvSpPr>
          <xdr:spPr>
            <a:xfrm>
              <a:off x="8999220" y="1112520"/>
              <a:ext cx="251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uk-U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7</xdr:col>
      <xdr:colOff>152400</xdr:colOff>
      <xdr:row>3</xdr:row>
      <xdr:rowOff>0</xdr:rowOff>
    </xdr:from>
    <xdr:ext cx="4285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E3CF57E-CEA3-43F4-92C6-76B55CB6F34A}"/>
                </a:ext>
              </a:extLst>
            </xdr:cNvPr>
            <xdr:cNvSpPr txBox="1"/>
          </xdr:nvSpPr>
          <xdr:spPr>
            <a:xfrm>
              <a:off x="486918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𝑅𝑎𝑛𝑘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E3CF57E-CEA3-43F4-92C6-76B55CB6F34A}"/>
                </a:ext>
              </a:extLst>
            </xdr:cNvPr>
            <xdr:cNvSpPr txBox="1"/>
          </xdr:nvSpPr>
          <xdr:spPr>
            <a:xfrm>
              <a:off x="486918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137160</xdr:colOff>
      <xdr:row>2</xdr:row>
      <xdr:rowOff>175260</xdr:rowOff>
    </xdr:from>
    <xdr:ext cx="43268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D14020-F0AC-488D-9F15-B78F00261984}"/>
                </a:ext>
              </a:extLst>
            </xdr:cNvPr>
            <xdr:cNvSpPr txBox="1"/>
          </xdr:nvSpPr>
          <xdr:spPr>
            <a:xfrm>
              <a:off x="546354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𝑅𝑎𝑛𝑘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D14020-F0AC-488D-9F15-B78F00261984}"/>
                </a:ext>
              </a:extLst>
            </xdr:cNvPr>
            <xdr:cNvSpPr txBox="1"/>
          </xdr:nvSpPr>
          <xdr:spPr>
            <a:xfrm>
              <a:off x="546354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9</xdr:col>
      <xdr:colOff>129540</xdr:colOff>
      <xdr:row>3</xdr:row>
      <xdr:rowOff>0</xdr:rowOff>
    </xdr:from>
    <xdr:ext cx="4285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AA8F00-02EB-4A13-8F05-B9682EC2B7E2}"/>
                </a:ext>
              </a:extLst>
            </xdr:cNvPr>
            <xdr:cNvSpPr txBox="1"/>
          </xdr:nvSpPr>
          <xdr:spPr>
            <a:xfrm>
              <a:off x="606552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𝑅𝑎𝑛𝑘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AA8F00-02EB-4A13-8F05-B9682EC2B7E2}"/>
                </a:ext>
              </a:extLst>
            </xdr:cNvPr>
            <xdr:cNvSpPr txBox="1"/>
          </xdr:nvSpPr>
          <xdr:spPr>
            <a:xfrm>
              <a:off x="606552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121920</xdr:colOff>
      <xdr:row>2</xdr:row>
      <xdr:rowOff>175260</xdr:rowOff>
    </xdr:from>
    <xdr:ext cx="43268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A5C5192-AA91-4AB1-A639-5ED77231370C}"/>
                </a:ext>
              </a:extLst>
            </xdr:cNvPr>
            <xdr:cNvSpPr txBox="1"/>
          </xdr:nvSpPr>
          <xdr:spPr>
            <a:xfrm>
              <a:off x="666750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𝑅𝑎𝑛𝑘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A5C5192-AA91-4AB1-A639-5ED77231370C}"/>
                </a:ext>
              </a:extLst>
            </xdr:cNvPr>
            <xdr:cNvSpPr txBox="1"/>
          </xdr:nvSpPr>
          <xdr:spPr>
            <a:xfrm>
              <a:off x="666750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endParaRPr lang="uk-UA" sz="1100"/>
            </a:p>
          </xdr:txBody>
        </xdr:sp>
      </mc:Fallback>
    </mc:AlternateContent>
    <xdr:clientData/>
  </xdr:oneCellAnchor>
  <xdr:twoCellAnchor>
    <xdr:from>
      <xdr:col>18</xdr:col>
      <xdr:colOff>0</xdr:colOff>
      <xdr:row>13</xdr:row>
      <xdr:rowOff>0</xdr:rowOff>
    </xdr:from>
    <xdr:to>
      <xdr:col>25</xdr:col>
      <xdr:colOff>76200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8AF7BF-0E5A-4293-82F1-8741507D8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144780</xdr:colOff>
      <xdr:row>2</xdr:row>
      <xdr:rowOff>175260</xdr:rowOff>
    </xdr:from>
    <xdr:ext cx="23622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BE10C92-217D-4797-953F-BF2AA9FDC16F}"/>
                </a:ext>
              </a:extLst>
            </xdr:cNvPr>
            <xdr:cNvSpPr txBox="1"/>
          </xdr:nvSpPr>
          <xdr:spPr>
            <a:xfrm>
              <a:off x="7315200" y="54102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𝑡𝑖𝑒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BE10C92-217D-4797-953F-BF2AA9FDC16F}"/>
                </a:ext>
              </a:extLst>
            </xdr:cNvPr>
            <xdr:cNvSpPr txBox="1"/>
          </xdr:nvSpPr>
          <xdr:spPr>
            <a:xfrm>
              <a:off x="7315200" y="54102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𝑡𝑖𝑒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15</xdr:col>
      <xdr:colOff>160020</xdr:colOff>
      <xdr:row>2</xdr:row>
      <xdr:rowOff>167640</xdr:rowOff>
    </xdr:from>
    <xdr:ext cx="23622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1E99F26-F579-438F-8576-3CA3B6D41B09}"/>
                </a:ext>
              </a:extLst>
            </xdr:cNvPr>
            <xdr:cNvSpPr txBox="1"/>
          </xdr:nvSpPr>
          <xdr:spPr>
            <a:xfrm>
              <a:off x="7856220" y="53340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𝑡𝑖𝑒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1E99F26-F579-438F-8576-3CA3B6D41B09}"/>
                </a:ext>
              </a:extLst>
            </xdr:cNvPr>
            <xdr:cNvSpPr txBox="1"/>
          </xdr:nvSpPr>
          <xdr:spPr>
            <a:xfrm>
              <a:off x="7856220" y="53340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𝑡𝑖𝑒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297180</xdr:colOff>
      <xdr:row>6</xdr:row>
      <xdr:rowOff>0</xdr:rowOff>
    </xdr:from>
    <xdr:ext cx="236220" cy="175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9E9DF84-0042-4479-A061-FEE4CB060DFF}"/>
                </a:ext>
              </a:extLst>
            </xdr:cNvPr>
            <xdr:cNvSpPr txBox="1"/>
          </xdr:nvSpPr>
          <xdr:spPr>
            <a:xfrm>
              <a:off x="9037320" y="73152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9E9DF84-0042-4479-A061-FEE4CB060DFF}"/>
                </a:ext>
              </a:extLst>
            </xdr:cNvPr>
            <xdr:cNvSpPr txBox="1"/>
          </xdr:nvSpPr>
          <xdr:spPr>
            <a:xfrm>
              <a:off x="9037320" y="731520"/>
              <a:ext cx="23622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160020</xdr:colOff>
      <xdr:row>4</xdr:row>
      <xdr:rowOff>7620</xdr:rowOff>
    </xdr:from>
    <xdr:ext cx="541020" cy="1735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34C9A17-0C68-4853-B0ED-A10A59DF8496}"/>
                </a:ext>
              </a:extLst>
            </xdr:cNvPr>
            <xdr:cNvSpPr txBox="1"/>
          </xdr:nvSpPr>
          <xdr:spPr>
            <a:xfrm>
              <a:off x="8900160" y="1470660"/>
              <a:ext cx="541020" cy="1735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𝑐𝑟𝑖𝑡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34C9A17-0C68-4853-B0ED-A10A59DF8496}"/>
                </a:ext>
              </a:extLst>
            </xdr:cNvPr>
            <xdr:cNvSpPr txBox="1"/>
          </xdr:nvSpPr>
          <xdr:spPr>
            <a:xfrm>
              <a:off x="8900160" y="1470660"/>
              <a:ext cx="541020" cy="1735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uk-UA" sz="1100" b="0" i="0">
                  <a:latin typeface="Cambria Math" panose="02040503050406030204" pitchFamily="18" charset="0"/>
                </a:rPr>
                <a:t> ̂_</a:t>
              </a:r>
              <a:r>
                <a:rPr lang="en-US" sz="1100" b="0" i="0">
                  <a:latin typeface="Cambria Math" panose="02040503050406030204" pitchFamily="18" charset="0"/>
                </a:rPr>
                <a:t>𝑐𝑟𝑖𝑡</a:t>
              </a:r>
              <a:endParaRPr lang="uk-UA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37</xdr:row>
      <xdr:rowOff>0</xdr:rowOff>
    </xdr:from>
    <xdr:to>
      <xdr:col>8</xdr:col>
      <xdr:colOff>568960</xdr:colOff>
      <xdr:row>49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C8A32-83CF-47EF-88C8-FAC921D62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378460</xdr:colOff>
      <xdr:row>36</xdr:row>
      <xdr:rowOff>180340</xdr:rowOff>
    </xdr:from>
    <xdr:to>
      <xdr:col>22</xdr:col>
      <xdr:colOff>492760</xdr:colOff>
      <xdr:row>48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6C582-5CC2-4D73-A351-309EA3EF2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</xdr:colOff>
      <xdr:row>37</xdr:row>
      <xdr:rowOff>7620</xdr:rowOff>
    </xdr:from>
    <xdr:to>
      <xdr:col>17</xdr:col>
      <xdr:colOff>7620</xdr:colOff>
      <xdr:row>49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86A91-D680-4E17-850E-818D7272D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160020</xdr:colOff>
      <xdr:row>3</xdr:row>
      <xdr:rowOff>7620</xdr:rowOff>
    </xdr:from>
    <xdr:ext cx="3574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77BB383-FBA4-4868-9876-E284E7D8F4FD}"/>
                </a:ext>
              </a:extLst>
            </xdr:cNvPr>
            <xdr:cNvSpPr txBox="1"/>
          </xdr:nvSpPr>
          <xdr:spPr>
            <a:xfrm>
              <a:off x="3589020" y="556260"/>
              <a:ext cx="357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77BB383-FBA4-4868-9876-E284E7D8F4FD}"/>
                </a:ext>
              </a:extLst>
            </xdr:cNvPr>
            <xdr:cNvSpPr txBox="1"/>
          </xdr:nvSpPr>
          <xdr:spPr>
            <a:xfrm>
              <a:off x="3589020" y="556260"/>
              <a:ext cx="3574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log⁡〖</a:t>
              </a:r>
              <a:r>
                <a:rPr lang="en-US" sz="1100" b="0" i="0">
                  <a:latin typeface="Cambria Math" panose="02040503050406030204" pitchFamily="18" charset="0"/>
                </a:rPr>
                <a:t>𝑥_𝑖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121920</xdr:colOff>
      <xdr:row>3</xdr:row>
      <xdr:rowOff>7620</xdr:rowOff>
    </xdr:from>
    <xdr:ext cx="358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0E7A70B-BFB6-491B-90D2-858BAB8E4EEB}"/>
                </a:ext>
              </a:extLst>
            </xdr:cNvPr>
            <xdr:cNvSpPr txBox="1"/>
          </xdr:nvSpPr>
          <xdr:spPr>
            <a:xfrm>
              <a:off x="4160520" y="556260"/>
              <a:ext cx="358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0E7A70B-BFB6-491B-90D2-858BAB8E4EEB}"/>
                </a:ext>
              </a:extLst>
            </xdr:cNvPr>
            <xdr:cNvSpPr txBox="1"/>
          </xdr:nvSpPr>
          <xdr:spPr>
            <a:xfrm>
              <a:off x="4160520" y="556260"/>
              <a:ext cx="358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log⁡〖</a:t>
              </a:r>
              <a:r>
                <a:rPr lang="en-US" sz="1100" b="0" i="0">
                  <a:latin typeface="Cambria Math" panose="02040503050406030204" pitchFamily="18" charset="0"/>
                </a:rPr>
                <a:t>𝑦_𝑖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182880</xdr:colOff>
      <xdr:row>2</xdr:row>
      <xdr:rowOff>175260</xdr:rowOff>
    </xdr:from>
    <xdr:ext cx="2711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0AC2C0C-5C24-4D41-8086-52B08EE13A9D}"/>
                </a:ext>
              </a:extLst>
            </xdr:cNvPr>
            <xdr:cNvSpPr txBox="1"/>
          </xdr:nvSpPr>
          <xdr:spPr>
            <a:xfrm>
              <a:off x="4739640" y="541020"/>
              <a:ext cx="271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0AC2C0C-5C24-4D41-8086-52B08EE13A9D}"/>
                </a:ext>
              </a:extLst>
            </xdr:cNvPr>
            <xdr:cNvSpPr txBox="1"/>
          </xdr:nvSpPr>
          <xdr:spPr>
            <a:xfrm>
              <a:off x="4739640" y="541020"/>
              <a:ext cx="271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12</xdr:col>
      <xdr:colOff>83820</xdr:colOff>
      <xdr:row>3</xdr:row>
      <xdr:rowOff>7620</xdr:rowOff>
    </xdr:from>
    <xdr:ext cx="7075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18CD8B-0E54-48A0-8FBE-BC59AC19595B}"/>
                </a:ext>
              </a:extLst>
            </xdr:cNvPr>
            <xdr:cNvSpPr txBox="1"/>
          </xdr:nvSpPr>
          <xdr:spPr>
            <a:xfrm>
              <a:off x="5859780" y="556260"/>
              <a:ext cx="7075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18CD8B-0E54-48A0-8FBE-BC59AC19595B}"/>
                </a:ext>
              </a:extLst>
            </xdr:cNvPr>
            <xdr:cNvSpPr txBox="1"/>
          </xdr:nvSpPr>
          <xdr:spPr>
            <a:xfrm>
              <a:off x="5859780" y="556260"/>
              <a:ext cx="7075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log⁡〖</a:t>
              </a:r>
              <a:r>
                <a:rPr lang="en-US" sz="1100" b="0" i="0">
                  <a:latin typeface="Cambria Math" panose="02040503050406030204" pitchFamily="18" charset="0"/>
                </a:rPr>
                <a:t>𝑥_𝑖 〗  log⁡〖𝑦_𝑖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335280</xdr:colOff>
      <xdr:row>3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34448A-7B09-46AB-90A0-D757888D5FDC}"/>
                </a:ext>
              </a:extLst>
            </xdr:cNvPr>
            <xdr:cNvSpPr txBox="1"/>
          </xdr:nvSpPr>
          <xdr:spPr>
            <a:xfrm>
              <a:off x="7124700" y="201168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34448A-7B09-46AB-90A0-D757888D5FDC}"/>
                </a:ext>
              </a:extLst>
            </xdr:cNvPr>
            <xdr:cNvSpPr txBox="1"/>
          </xdr:nvSpPr>
          <xdr:spPr>
            <a:xfrm>
              <a:off x="7124700" y="201168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320040</xdr:colOff>
      <xdr:row>4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3E05B0B-7ACB-4570-BD8D-63CCDFE19C5D}"/>
                </a:ext>
              </a:extLst>
            </xdr:cNvPr>
            <xdr:cNvSpPr txBox="1"/>
          </xdr:nvSpPr>
          <xdr:spPr>
            <a:xfrm>
              <a:off x="7109460" y="21945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3E05B0B-7ACB-4570-BD8D-63CCDFE19C5D}"/>
                </a:ext>
              </a:extLst>
            </xdr:cNvPr>
            <xdr:cNvSpPr txBox="1"/>
          </xdr:nvSpPr>
          <xdr:spPr>
            <a:xfrm>
              <a:off x="7109460" y="21945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274320</xdr:colOff>
      <xdr:row>5</xdr:row>
      <xdr:rowOff>15241</xdr:rowOff>
    </xdr:from>
    <xdr:ext cx="320040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835AF65-3D6B-479D-8C4C-3075016D9D0A}"/>
                </a:ext>
              </a:extLst>
            </xdr:cNvPr>
            <xdr:cNvSpPr txBox="1"/>
          </xdr:nvSpPr>
          <xdr:spPr>
            <a:xfrm>
              <a:off x="7063740" y="2392681"/>
              <a:ext cx="32004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𝑙𝑜𝑔𝑥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835AF65-3D6B-479D-8C4C-3075016D9D0A}"/>
                </a:ext>
              </a:extLst>
            </xdr:cNvPr>
            <xdr:cNvSpPr txBox="1"/>
          </xdr:nvSpPr>
          <xdr:spPr>
            <a:xfrm>
              <a:off x="7063740" y="2392681"/>
              <a:ext cx="32004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𝑙𝑜𝑔𝑥</a:t>
              </a:r>
              <a:r>
                <a:rPr lang="uk-UA" sz="1100" b="0" i="0">
                  <a:latin typeface="Cambria Math" panose="02040503050406030204" pitchFamily="18" charset="0"/>
                </a:rPr>
                <a:t>)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274320</xdr:colOff>
      <xdr:row>6</xdr:row>
      <xdr:rowOff>7621</xdr:rowOff>
    </xdr:from>
    <xdr:ext cx="297180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60A97D1-AF1C-4435-A8D4-BC4BE6EFBD16}"/>
                </a:ext>
              </a:extLst>
            </xdr:cNvPr>
            <xdr:cNvSpPr txBox="1"/>
          </xdr:nvSpPr>
          <xdr:spPr>
            <a:xfrm>
              <a:off x="7063740" y="2567941"/>
              <a:ext cx="29718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𝑙𝑜𝑔𝑦</m:t>
                        </m:r>
                      </m:e>
                    </m:ac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60A97D1-AF1C-4435-A8D4-BC4BE6EFBD16}"/>
                </a:ext>
              </a:extLst>
            </xdr:cNvPr>
            <xdr:cNvSpPr txBox="1"/>
          </xdr:nvSpPr>
          <xdr:spPr>
            <a:xfrm>
              <a:off x="7063740" y="2567941"/>
              <a:ext cx="297180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𝑙𝑜𝑔𝑦</a:t>
              </a:r>
              <a:r>
                <a:rPr lang="uk-UA" sz="1100" b="0" i="0">
                  <a:latin typeface="Cambria Math" panose="02040503050406030204" pitchFamily="18" charset="0"/>
                </a:rPr>
                <a:t>)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11</xdr:col>
      <xdr:colOff>68580</xdr:colOff>
      <xdr:row>3</xdr:row>
      <xdr:rowOff>7620</xdr:rowOff>
    </xdr:from>
    <xdr:ext cx="5106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12FE007-9B39-41DD-AB2E-90E954DB8BEF}"/>
                </a:ext>
              </a:extLst>
            </xdr:cNvPr>
            <xdr:cNvSpPr txBox="1"/>
          </xdr:nvSpPr>
          <xdr:spPr>
            <a:xfrm>
              <a:off x="5234940" y="556260"/>
              <a:ext cx="510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12FE007-9B39-41DD-AB2E-90E954DB8BEF}"/>
                </a:ext>
              </a:extLst>
            </xdr:cNvPr>
            <xdr:cNvSpPr txBox="1"/>
          </xdr:nvSpPr>
          <xdr:spPr>
            <a:xfrm>
              <a:off x="5234940" y="556260"/>
              <a:ext cx="5106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𝑥_𝑖  log⁡〖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14</xdr:col>
      <xdr:colOff>205740</xdr:colOff>
      <xdr:row>3</xdr:row>
      <xdr:rowOff>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42BDBE-7578-40E5-AB9F-3315214C366E}"/>
                </a:ext>
              </a:extLst>
            </xdr:cNvPr>
            <xdr:cNvSpPr txBox="1"/>
          </xdr:nvSpPr>
          <xdr:spPr>
            <a:xfrm>
              <a:off x="7101840" y="54864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42BDBE-7578-40E5-AB9F-3315214C366E}"/>
                </a:ext>
              </a:extLst>
            </xdr:cNvPr>
            <xdr:cNvSpPr txBox="1"/>
          </xdr:nvSpPr>
          <xdr:spPr>
            <a:xfrm>
              <a:off x="7101840" y="54864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15</xdr:col>
      <xdr:colOff>99060</xdr:colOff>
      <xdr:row>3</xdr:row>
      <xdr:rowOff>0</xdr:rowOff>
    </xdr:from>
    <xdr:ext cx="38613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9537B0D-3AD7-46D0-85E1-A700C6394C5B}"/>
                </a:ext>
              </a:extLst>
            </xdr:cNvPr>
            <xdr:cNvSpPr txBox="1"/>
          </xdr:nvSpPr>
          <xdr:spPr>
            <a:xfrm>
              <a:off x="7513320" y="548640"/>
              <a:ext cx="38613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uk-U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9537B0D-3AD7-46D0-85E1-A700C6394C5B}"/>
                </a:ext>
              </a:extLst>
            </xdr:cNvPr>
            <xdr:cNvSpPr txBox="1"/>
          </xdr:nvSpPr>
          <xdr:spPr>
            <a:xfrm>
              <a:off x="7513320" y="548640"/>
              <a:ext cx="38613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𝑙𝑜𝑔𝑥</a:t>
              </a:r>
              <a:r>
                <a:rPr lang="uk-UA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zoomScale="70" zoomScaleNormal="70" workbookViewId="0">
      <selection activeCell="D3" sqref="D3"/>
    </sheetView>
  </sheetViews>
  <sheetFormatPr defaultRowHeight="14.4" x14ac:dyDescent="0.3"/>
  <cols>
    <col min="2" max="2" width="10" customWidth="1"/>
    <col min="6" max="6" width="5.88671875" customWidth="1"/>
    <col min="11" max="11" width="10" customWidth="1"/>
    <col min="12" max="12" width="11" bestFit="1" customWidth="1"/>
    <col min="15" max="15" width="15.33203125" customWidth="1"/>
    <col min="16" max="16" width="13.33203125" customWidth="1"/>
  </cols>
  <sheetData>
    <row r="2" spans="2:16" x14ac:dyDescent="0.3">
      <c r="B2" s="25" t="s">
        <v>0</v>
      </c>
      <c r="C2" s="25"/>
      <c r="D2" s="25"/>
      <c r="E2" s="25"/>
      <c r="F2" s="25"/>
      <c r="G2" s="25"/>
      <c r="H2" s="23"/>
      <c r="I2" s="23"/>
      <c r="J2" s="23"/>
      <c r="K2" s="23"/>
      <c r="L2" s="23"/>
      <c r="M2" s="23"/>
      <c r="N2" s="23"/>
      <c r="O2" s="23"/>
    </row>
    <row r="3" spans="2:16" x14ac:dyDescent="0.3">
      <c r="B3" t="s">
        <v>6</v>
      </c>
      <c r="C3">
        <v>1</v>
      </c>
    </row>
    <row r="4" spans="2:16" x14ac:dyDescent="0.3">
      <c r="B4" t="s">
        <v>12</v>
      </c>
      <c r="G4" t="s">
        <v>13</v>
      </c>
      <c r="N4" s="2" t="s">
        <v>7</v>
      </c>
      <c r="O4" s="2"/>
      <c r="P4" s="2"/>
    </row>
    <row r="5" spans="2:16" x14ac:dyDescent="0.3">
      <c r="B5" s="8"/>
      <c r="C5" s="12"/>
      <c r="D5" s="12"/>
      <c r="E5" s="9" t="s">
        <v>8</v>
      </c>
      <c r="G5" s="8"/>
      <c r="H5" s="8"/>
      <c r="I5" s="12"/>
      <c r="J5" s="12"/>
      <c r="K5" s="12"/>
      <c r="L5" s="12"/>
    </row>
    <row r="6" spans="2:16" x14ac:dyDescent="0.3">
      <c r="B6">
        <f xml:space="preserve"> IF($C$3=1, Додаток!$B5, IF($C$3=2,Додаток!$C5,IF($C$3=3,Додаток!$D5,IF($C$3=4,Додаток!$E5,IF($C$3=5,Додаток!$F5,IF($C$3=6,Додаток!$H5,IF($C$3=7,Додаток!$I5,IF($C$3=8,Додаток!$J5,IF($C$3=9,Додаток!$K5,IF($C$3=10,Додаток!$L5))))))))))</f>
        <v>1305</v>
      </c>
      <c r="C6">
        <f t="shared" ref="C6:C25" si="0">B6-$O$8</f>
        <v>169.65000000000009</v>
      </c>
      <c r="D6">
        <f>POWER(C6,2)</f>
        <v>28781.12250000003</v>
      </c>
      <c r="E6">
        <f t="shared" ref="E6:E25" si="1">ABS(C6)/$O$10</f>
        <v>0.27649808074918719</v>
      </c>
      <c r="G6" t="b">
        <f t="shared" ref="G6:G25" si="2">IF(E6&lt;1.96,TRUE,FALSE)</f>
        <v>1</v>
      </c>
      <c r="H6">
        <f t="shared" ref="H6:H25" si="3">IF(G6=TRUE,B6,NA())</f>
        <v>1305</v>
      </c>
      <c r="I6">
        <f t="shared" ref="I6:I25" si="4">IF(G6=TRUE,B6-$O$16,0)</f>
        <v>236.15789473684208</v>
      </c>
      <c r="J6">
        <f>POWER(I6,2)</f>
        <v>55770.551246537383</v>
      </c>
      <c r="K6">
        <f>POWER(I6,3)</f>
        <v>13170655.970695432</v>
      </c>
      <c r="L6">
        <f>POWER(I6,4)</f>
        <v>3110354386.3426523</v>
      </c>
      <c r="N6" s="3" t="s">
        <v>10</v>
      </c>
      <c r="O6">
        <v>20</v>
      </c>
    </row>
    <row r="7" spans="2:16" x14ac:dyDescent="0.3">
      <c r="B7">
        <f xml:space="preserve"> IF($C$3=1, Додаток!$B6, IF($C$3=2,Додаток!$C6,IF($C$3=3,Додаток!$D6,IF($C$3=4,Додаток!$E6,IF($C$3=5,Додаток!$F6,IF($C$3=6,Додаток!$H6,IF($C$3=7,Додаток!$I6,IF($C$3=8,Додаток!$J6,IF($C$3=9,Додаток!$K6,IF($C$3=10,Додаток!$L6))))))))))</f>
        <v>1243</v>
      </c>
      <c r="C7">
        <f t="shared" si="0"/>
        <v>107.65000000000009</v>
      </c>
      <c r="D7">
        <f t="shared" ref="D7:D25" si="5">POWER(C7,2)</f>
        <v>11588.522500000019</v>
      </c>
      <c r="E7">
        <f t="shared" si="1"/>
        <v>0.17544956317506638</v>
      </c>
      <c r="G7" t="b">
        <f t="shared" si="2"/>
        <v>1</v>
      </c>
      <c r="H7">
        <f t="shared" si="3"/>
        <v>1243</v>
      </c>
      <c r="I7">
        <f t="shared" si="4"/>
        <v>174.15789473684208</v>
      </c>
      <c r="J7">
        <f t="shared" ref="J7:J25" si="6">POWER(I7,2)</f>
        <v>30330.972299168967</v>
      </c>
      <c r="K7">
        <f t="shared" ref="K7:K25" si="7">POWER(I7,3)</f>
        <v>5282378.2809447423</v>
      </c>
      <c r="L7">
        <f t="shared" ref="L7:L25" si="8">POWER(I7,4)</f>
        <v>919967880.61295521</v>
      </c>
    </row>
    <row r="8" spans="2:16" x14ac:dyDescent="0.3">
      <c r="B8">
        <f xml:space="preserve"> IF($C$3=1, Додаток!$B7, IF($C$3=2,Додаток!$C7,IF($C$3=3,Додаток!$D7,IF($C$3=4,Додаток!$E7,IF($C$3=5,Додаток!$F7,IF($C$3=6,Додаток!$H7,IF($C$3=7,Додаток!$I7,IF($C$3=8,Додаток!$J7,IF($C$3=9,Додаток!$K7,IF($C$3=10,Додаток!$L7))))))))))</f>
        <v>1846</v>
      </c>
      <c r="C8">
        <f t="shared" si="0"/>
        <v>710.65000000000009</v>
      </c>
      <c r="D8">
        <f t="shared" si="5"/>
        <v>505023.4225000001</v>
      </c>
      <c r="E8">
        <f t="shared" si="1"/>
        <v>1.1582278873233705</v>
      </c>
      <c r="G8" t="b">
        <f t="shared" si="2"/>
        <v>1</v>
      </c>
      <c r="H8">
        <f>IF(G8=TRUE,B8,NA())</f>
        <v>1846</v>
      </c>
      <c r="I8">
        <f t="shared" si="4"/>
        <v>777.15789473684208</v>
      </c>
      <c r="J8">
        <f t="shared" si="6"/>
        <v>603974.39335180051</v>
      </c>
      <c r="K8">
        <f t="shared" si="7"/>
        <v>469383468.01224661</v>
      </c>
      <c r="L8">
        <f t="shared" si="8"/>
        <v>364785067824.67542</v>
      </c>
      <c r="O8">
        <f>SUM($B$6:$B$25)/$O$6</f>
        <v>1135.3499999999999</v>
      </c>
    </row>
    <row r="9" spans="2:16" x14ac:dyDescent="0.3">
      <c r="B9">
        <f xml:space="preserve"> IF($C$3=1, Додаток!$B8, IF($C$3=2,Додаток!$C8,IF($C$3=3,Додаток!$D8,IF($C$3=4,Додаток!$E8,IF($C$3=5,Додаток!$F8,IF($C$3=6,Додаток!$H8,IF($C$3=7,Додаток!$I8,IF($C$3=8,Додаток!$J8,IF($C$3=9,Додаток!$K8,IF($C$3=10,Додаток!$L8))))))))))</f>
        <v>930</v>
      </c>
      <c r="C9">
        <f t="shared" si="0"/>
        <v>-205.34999999999991</v>
      </c>
      <c r="D9">
        <f t="shared" si="5"/>
        <v>42168.622499999961</v>
      </c>
      <c r="E9">
        <f t="shared" si="1"/>
        <v>0.33468246909428551</v>
      </c>
      <c r="G9" t="b">
        <f t="shared" si="2"/>
        <v>1</v>
      </c>
      <c r="H9">
        <f t="shared" si="3"/>
        <v>930</v>
      </c>
      <c r="I9">
        <f t="shared" si="4"/>
        <v>-138.84210526315792</v>
      </c>
      <c r="J9">
        <f t="shared" si="6"/>
        <v>19277.130193905825</v>
      </c>
      <c r="K9">
        <f t="shared" si="7"/>
        <v>-2676477.3395538721</v>
      </c>
      <c r="L9">
        <f t="shared" si="8"/>
        <v>371607748.51279563</v>
      </c>
      <c r="O9">
        <f>SUM($D$6:$D$25)/($O$6-1)</f>
        <v>376464.02894736844</v>
      </c>
    </row>
    <row r="10" spans="2:16" x14ac:dyDescent="0.3">
      <c r="B10">
        <f xml:space="preserve"> IF($C$3=1, Додаток!$B9, IF($C$3=2,Додаток!$C9,IF($C$3=3,Додаток!$D9,IF($C$3=4,Додаток!$E9,IF($C$3=5,Додаток!$F9,IF($C$3=6,Додаток!$H9,IF($C$3=7,Додаток!$I9,IF($C$3=8,Додаток!$J9,IF($C$3=9,Додаток!$K9,IF($C$3=10,Додаток!$L9))))))))))</f>
        <v>1272</v>
      </c>
      <c r="C10">
        <f t="shared" si="0"/>
        <v>136.65000000000009</v>
      </c>
      <c r="D10">
        <f t="shared" si="5"/>
        <v>18673.222500000025</v>
      </c>
      <c r="E10">
        <f t="shared" si="1"/>
        <v>0.22271419236296158</v>
      </c>
      <c r="G10" t="b">
        <f t="shared" si="2"/>
        <v>1</v>
      </c>
      <c r="H10">
        <f t="shared" si="3"/>
        <v>1272</v>
      </c>
      <c r="I10">
        <f t="shared" si="4"/>
        <v>203.15789473684208</v>
      </c>
      <c r="J10">
        <f t="shared" si="6"/>
        <v>41273.13019390581</v>
      </c>
      <c r="K10">
        <f t="shared" si="7"/>
        <v>8384962.239393495</v>
      </c>
      <c r="L10">
        <f t="shared" si="8"/>
        <v>1703471276.0030994</v>
      </c>
      <c r="N10" s="4" t="s">
        <v>11</v>
      </c>
      <c r="O10">
        <f>SQRT($O$9)</f>
        <v>613.56664588891113</v>
      </c>
    </row>
    <row r="11" spans="2:16" x14ac:dyDescent="0.3">
      <c r="B11">
        <f xml:space="preserve"> IF($C$3=1, Додаток!$B10, IF($C$3=2,Додаток!$C10,IF($C$3=3,Додаток!$D10,IF($C$3=4,Додаток!$E10,IF($C$3=5,Додаток!$F10,IF($C$3=6,Додаток!$H10,IF($C$3=7,Додаток!$I10,IF($C$3=8,Додаток!$J10,IF($C$3=9,Додаток!$K10,IF($C$3=10,Додаток!$L10))))))))))</f>
        <v>1006</v>
      </c>
      <c r="C11">
        <f t="shared" si="0"/>
        <v>-129.34999999999991</v>
      </c>
      <c r="D11">
        <f t="shared" si="5"/>
        <v>16731.422499999975</v>
      </c>
      <c r="E11">
        <f t="shared" si="1"/>
        <v>0.21081654432600835</v>
      </c>
      <c r="G11" t="b">
        <f t="shared" si="2"/>
        <v>1</v>
      </c>
      <c r="H11">
        <f t="shared" si="3"/>
        <v>1006</v>
      </c>
      <c r="I11">
        <f t="shared" si="4"/>
        <v>-62.842105263157919</v>
      </c>
      <c r="J11">
        <f t="shared" si="6"/>
        <v>3949.1301939058203</v>
      </c>
      <c r="K11">
        <f t="shared" si="7"/>
        <v>-248171.65534334481</v>
      </c>
      <c r="L11">
        <f t="shared" si="8"/>
        <v>15595629.288418623</v>
      </c>
    </row>
    <row r="12" spans="2:16" x14ac:dyDescent="0.3">
      <c r="B12">
        <f xml:space="preserve"> IF($C$3=1, Додаток!$B11, IF($C$3=2,Додаток!$C11,IF($C$3=3,Додаток!$D11,IF($C$3=4,Додаток!$E11,IF($C$3=5,Додаток!$F11,IF($C$3=6,Додаток!$H11,IF($C$3=7,Додаток!$I11,IF($C$3=8,Додаток!$J11,IF($C$3=9,Додаток!$K11,IF($C$3=10,Додаток!$L11))))))))))</f>
        <v>1395</v>
      </c>
      <c r="C12">
        <f t="shared" si="0"/>
        <v>259.65000000000009</v>
      </c>
      <c r="D12">
        <f t="shared" si="5"/>
        <v>67418.122500000041</v>
      </c>
      <c r="E12">
        <f t="shared" si="1"/>
        <v>0.42318141271162063</v>
      </c>
      <c r="G12" t="b">
        <f t="shared" si="2"/>
        <v>1</v>
      </c>
      <c r="H12">
        <f t="shared" si="3"/>
        <v>1395</v>
      </c>
      <c r="I12">
        <f t="shared" si="4"/>
        <v>326.15789473684208</v>
      </c>
      <c r="J12">
        <f t="shared" si="6"/>
        <v>106378.97229916896</v>
      </c>
      <c r="K12">
        <f t="shared" si="7"/>
        <v>34696341.64936579</v>
      </c>
      <c r="L12">
        <f t="shared" si="8"/>
        <v>11316485747.427357</v>
      </c>
      <c r="N12" s="2" t="s">
        <v>9</v>
      </c>
      <c r="O12" s="2"/>
      <c r="P12" s="2"/>
    </row>
    <row r="13" spans="2:16" x14ac:dyDescent="0.3">
      <c r="B13">
        <f xml:space="preserve"> IF($C$3=1, Додаток!$B12, IF($C$3=2,Додаток!$C12,IF($C$3=3,Додаток!$D12,IF($C$3=4,Додаток!$E12,IF($C$3=5,Додаток!$F12,IF($C$3=6,Додаток!$H12,IF($C$3=7,Додаток!$I12,IF($C$3=8,Додаток!$J12,IF($C$3=9,Додаток!$K12,IF($C$3=10,Додаток!$L12))))))))))</f>
        <v>726</v>
      </c>
      <c r="C13">
        <f t="shared" si="0"/>
        <v>-409.34999999999991</v>
      </c>
      <c r="D13">
        <f t="shared" si="5"/>
        <v>167567.42249999993</v>
      </c>
      <c r="E13">
        <f t="shared" si="1"/>
        <v>0.66716468820913466</v>
      </c>
      <c r="G13" t="b">
        <f t="shared" si="2"/>
        <v>1</v>
      </c>
      <c r="H13">
        <f t="shared" si="3"/>
        <v>726</v>
      </c>
      <c r="I13">
        <f t="shared" si="4"/>
        <v>-342.84210526315792</v>
      </c>
      <c r="J13">
        <f t="shared" si="6"/>
        <v>117540.70914127426</v>
      </c>
      <c r="K13">
        <f t="shared" si="7"/>
        <v>-40297904.176118977</v>
      </c>
      <c r="L13">
        <f t="shared" si="8"/>
        <v>13815818305.433634</v>
      </c>
    </row>
    <row r="14" spans="2:16" x14ac:dyDescent="0.3">
      <c r="B14">
        <f xml:space="preserve"> IF($C$3=1, Додаток!$B13, IF($C$3=2,Додаток!$C13,IF($C$3=3,Додаток!$D13,IF($C$3=4,Додаток!$E13,IF($C$3=5,Додаток!$F13,IF($C$3=6,Додаток!$H13,IF($C$3=7,Додаток!$I13,IF($C$3=8,Додаток!$J13,IF($C$3=9,Додаток!$K13,IF($C$3=10,Додаток!$L13))))))))))</f>
        <v>412</v>
      </c>
      <c r="C14">
        <f t="shared" si="0"/>
        <v>-723.34999999999991</v>
      </c>
      <c r="D14">
        <f t="shared" si="5"/>
        <v>523235.22249999986</v>
      </c>
      <c r="E14">
        <f t="shared" si="1"/>
        <v>1.1789265352780691</v>
      </c>
      <c r="G14" t="b">
        <f t="shared" si="2"/>
        <v>1</v>
      </c>
      <c r="H14">
        <f t="shared" si="3"/>
        <v>412</v>
      </c>
      <c r="I14">
        <f t="shared" si="4"/>
        <v>-656.84210526315792</v>
      </c>
      <c r="J14">
        <f t="shared" si="6"/>
        <v>431441.55124653742</v>
      </c>
      <c r="K14">
        <f t="shared" si="7"/>
        <v>-283388976.81877828</v>
      </c>
      <c r="L14">
        <f t="shared" si="8"/>
        <v>186141812142.01859</v>
      </c>
      <c r="N14" s="3" t="s">
        <v>10</v>
      </c>
      <c r="O14">
        <f>COUNTIF($G$6:$G$35, TRUE)</f>
        <v>19</v>
      </c>
    </row>
    <row r="15" spans="2:16" x14ac:dyDescent="0.3">
      <c r="B15">
        <f xml:space="preserve"> IF($C$3=1, Додаток!$B14, IF($C$3=2,Додаток!$C14,IF($C$3=3,Додаток!$D14,IF($C$3=4,Додаток!$E14,IF($C$3=5,Додаток!$F14,IF($C$3=6,Додаток!$H14,IF($C$3=7,Додаток!$I14,IF($C$3=8,Додаток!$J14,IF($C$3=9,Додаток!$K14,IF($C$3=10,Додаток!$L14))))))))))</f>
        <v>1471</v>
      </c>
      <c r="C15">
        <f t="shared" si="0"/>
        <v>335.65000000000009</v>
      </c>
      <c r="D15">
        <f t="shared" si="5"/>
        <v>112660.92250000006</v>
      </c>
      <c r="E15">
        <f t="shared" si="1"/>
        <v>0.54704733747989776</v>
      </c>
      <c r="G15" t="b">
        <f t="shared" si="2"/>
        <v>1</v>
      </c>
      <c r="H15">
        <f t="shared" si="3"/>
        <v>1471</v>
      </c>
      <c r="I15">
        <f t="shared" si="4"/>
        <v>402.15789473684208</v>
      </c>
      <c r="J15">
        <f t="shared" si="6"/>
        <v>161730.97229916896</v>
      </c>
      <c r="K15">
        <f t="shared" si="7"/>
        <v>65041387.333576314</v>
      </c>
      <c r="L15">
        <f t="shared" si="8"/>
        <v>26156907400.83456</v>
      </c>
    </row>
    <row r="16" spans="2:16" x14ac:dyDescent="0.3">
      <c r="B16">
        <f xml:space="preserve"> IF($C$3=1, Додаток!$B15, IF($C$3=2,Додаток!$C15,IF($C$3=3,Додаток!$D15,IF($C$3=4,Додаток!$E15,IF($C$3=5,Додаток!$F15,IF($C$3=6,Додаток!$H15,IF($C$3=7,Додаток!$I15,IF($C$3=8,Додаток!$J15,IF($C$3=9,Додаток!$K15,IF($C$3=10,Додаток!$L15))))))))))</f>
        <v>770</v>
      </c>
      <c r="C16">
        <f t="shared" si="0"/>
        <v>-365.34999999999991</v>
      </c>
      <c r="D16">
        <f t="shared" si="5"/>
        <v>133480.62249999994</v>
      </c>
      <c r="E16">
        <f t="shared" si="1"/>
        <v>0.59545283702750051</v>
      </c>
      <c r="G16" t="b">
        <f t="shared" si="2"/>
        <v>1</v>
      </c>
      <c r="H16">
        <f t="shared" si="3"/>
        <v>770</v>
      </c>
      <c r="I16">
        <f t="shared" si="4"/>
        <v>-298.84210526315792</v>
      </c>
      <c r="J16">
        <f t="shared" si="6"/>
        <v>89306.603878116352</v>
      </c>
      <c r="K16">
        <f t="shared" si="7"/>
        <v>-26688573.516839195</v>
      </c>
      <c r="L16">
        <f t="shared" si="8"/>
        <v>7975669496.2427864</v>
      </c>
      <c r="O16">
        <f>SUMIFS($B$6:$B$25,$G$6:$G25,TRUE)/$O$14</f>
        <v>1068.8421052631579</v>
      </c>
    </row>
    <row r="17" spans="2:15" x14ac:dyDescent="0.3">
      <c r="B17">
        <f xml:space="preserve"> IF($C$3=1, Додаток!$B16, IF($C$3=2,Додаток!$C16,IF($C$3=3,Додаток!$D16,IF($C$3=4,Додаток!$E16,IF($C$3=5,Додаток!$F16,IF($C$3=6,Додаток!$H16,IF($C$3=7,Додаток!$I16,IF($C$3=8,Додаток!$J16,IF($C$3=9,Додаток!$K16,IF($C$3=10,Додаток!$L16))))))))))</f>
        <v>2199</v>
      </c>
      <c r="C17">
        <f t="shared" si="0"/>
        <v>1063.6500000000001</v>
      </c>
      <c r="D17">
        <f t="shared" si="5"/>
        <v>1131351.3225000002</v>
      </c>
      <c r="E17">
        <f t="shared" si="1"/>
        <v>1.733552511576026</v>
      </c>
      <c r="G17" t="b">
        <f t="shared" si="2"/>
        <v>1</v>
      </c>
      <c r="H17">
        <f t="shared" si="3"/>
        <v>2199</v>
      </c>
      <c r="I17">
        <f t="shared" si="4"/>
        <v>1130.1578947368421</v>
      </c>
      <c r="J17">
        <f t="shared" si="6"/>
        <v>1277256.8670360111</v>
      </c>
      <c r="K17">
        <f t="shared" si="7"/>
        <v>1443501931.8875928</v>
      </c>
      <c r="L17">
        <f t="shared" si="8"/>
        <v>1631385104390.6465</v>
      </c>
      <c r="O17">
        <f>SUM($J$6:$J$25)/($O$14-1)</f>
        <v>303997.918128655</v>
      </c>
    </row>
    <row r="18" spans="2:15" x14ac:dyDescent="0.3">
      <c r="B18">
        <f xml:space="preserve"> IF($C$3=1, Додаток!$B17, IF($C$3=2,Додаток!$C17,IF($C$3=3,Додаток!$D17,IF($C$3=4,Додаток!$E17,IF($C$3=5,Додаток!$F17,IF($C$3=6,Додаток!$H17,IF($C$3=7,Додаток!$I17,IF($C$3=8,Додаток!$J17,IF($C$3=9,Додаток!$K17,IF($C$3=10,Додаток!$L17))))))))))</f>
        <v>2399</v>
      </c>
      <c r="C18">
        <f t="shared" si="0"/>
        <v>1263.6500000000001</v>
      </c>
      <c r="D18">
        <f t="shared" si="5"/>
        <v>1596811.3225000002</v>
      </c>
      <c r="E18">
        <f t="shared" si="1"/>
        <v>2.0595154714925448</v>
      </c>
      <c r="G18" t="b">
        <f t="shared" si="2"/>
        <v>0</v>
      </c>
      <c r="H18" t="e">
        <f t="shared" si="3"/>
        <v>#N/A</v>
      </c>
      <c r="I18">
        <f t="shared" si="4"/>
        <v>0</v>
      </c>
      <c r="J18">
        <f t="shared" si="6"/>
        <v>0</v>
      </c>
      <c r="K18">
        <f t="shared" si="7"/>
        <v>0</v>
      </c>
      <c r="L18">
        <f t="shared" si="8"/>
        <v>0</v>
      </c>
      <c r="N18" s="4" t="s">
        <v>11</v>
      </c>
      <c r="O18">
        <f>SQRT($O$17)</f>
        <v>551.36006214510587</v>
      </c>
    </row>
    <row r="19" spans="2:15" x14ac:dyDescent="0.3">
      <c r="B19">
        <f xml:space="preserve"> IF($C$3=1, Додаток!$B18, IF($C$3=2,Додаток!$C18,IF($C$3=3,Додаток!$D18,IF($C$3=4,Додаток!$E18,IF($C$3=5,Додаток!$F18,IF($C$3=6,Додаток!$H18,IF($C$3=7,Додаток!$I18,IF($C$3=8,Додаток!$J18,IF($C$3=9,Додаток!$K18,IF($C$3=10,Додаток!$L18))))))))))</f>
        <v>2002</v>
      </c>
      <c r="C19">
        <f t="shared" si="0"/>
        <v>866.65000000000009</v>
      </c>
      <c r="D19">
        <f t="shared" si="5"/>
        <v>751082.22250000015</v>
      </c>
      <c r="E19">
        <f t="shared" si="1"/>
        <v>1.4124789960582551</v>
      </c>
      <c r="G19" t="b">
        <f t="shared" si="2"/>
        <v>1</v>
      </c>
      <c r="H19">
        <f t="shared" si="3"/>
        <v>2002</v>
      </c>
      <c r="I19">
        <f t="shared" si="4"/>
        <v>933.15789473684208</v>
      </c>
      <c r="J19">
        <f t="shared" si="6"/>
        <v>870783.65650969523</v>
      </c>
      <c r="K19">
        <f t="shared" si="7"/>
        <v>812578643.67983663</v>
      </c>
      <c r="L19">
        <f t="shared" si="8"/>
        <v>758264176444.3949</v>
      </c>
    </row>
    <row r="20" spans="2:15" x14ac:dyDescent="0.3">
      <c r="B20">
        <f xml:space="preserve"> IF($C$3=1, Додаток!$B19, IF($C$3=2,Додаток!$C19,IF($C$3=3,Додаток!$D19,IF($C$3=4,Додаток!$E19,IF($C$3=5,Додаток!$F19,IF($C$3=6,Додаток!$H19,IF($C$3=7,Додаток!$I19,IF($C$3=8,Додаток!$J19,IF($C$3=9,Додаток!$K19,IF($C$3=10,Додаток!$L19))))))))))</f>
        <v>1043</v>
      </c>
      <c r="C20">
        <f t="shared" si="0"/>
        <v>-92.349999999999909</v>
      </c>
      <c r="D20">
        <f t="shared" si="5"/>
        <v>8528.5224999999828</v>
      </c>
      <c r="E20">
        <f t="shared" si="1"/>
        <v>0.15051339674145239</v>
      </c>
      <c r="G20" t="b">
        <f t="shared" si="2"/>
        <v>1</v>
      </c>
      <c r="H20">
        <f t="shared" si="3"/>
        <v>1043</v>
      </c>
      <c r="I20">
        <f t="shared" si="4"/>
        <v>-25.842105263157919</v>
      </c>
      <c r="J20">
        <f t="shared" si="6"/>
        <v>667.81440443213421</v>
      </c>
      <c r="K20">
        <f t="shared" si="7"/>
        <v>-17257.730135588325</v>
      </c>
      <c r="L20">
        <f t="shared" si="8"/>
        <v>445976.0787670461</v>
      </c>
    </row>
    <row r="21" spans="2:15" x14ac:dyDescent="0.3">
      <c r="B21">
        <f xml:space="preserve"> IF($C$3=1, Додаток!$B20, IF($C$3=2,Додаток!$C20,IF($C$3=3,Додаток!$D20,IF($C$3=4,Додаток!$E20,IF($C$3=5,Додаток!$F20,IF($C$3=6,Додаток!$H20,IF($C$3=7,Додаток!$I20,IF($C$3=8,Додаток!$J20,IF($C$3=9,Додаток!$K20,IF($C$3=10,Додаток!$L20))))))))))</f>
        <v>830</v>
      </c>
      <c r="C21">
        <f t="shared" si="0"/>
        <v>-305.34999999999991</v>
      </c>
      <c r="D21">
        <f t="shared" si="5"/>
        <v>93238.622499999939</v>
      </c>
      <c r="E21">
        <f t="shared" si="1"/>
        <v>0.49766394905254485</v>
      </c>
      <c r="G21" t="b">
        <f t="shared" si="2"/>
        <v>1</v>
      </c>
      <c r="H21">
        <f t="shared" si="3"/>
        <v>830</v>
      </c>
      <c r="I21">
        <f t="shared" si="4"/>
        <v>-238.84210526315792</v>
      </c>
      <c r="J21">
        <f t="shared" si="6"/>
        <v>57045.551246537405</v>
      </c>
      <c r="K21">
        <f t="shared" si="7"/>
        <v>-13624879.555620356</v>
      </c>
      <c r="L21">
        <f t="shared" si="8"/>
        <v>3254194917.0213251</v>
      </c>
      <c r="O21">
        <f>SUM($K$6:$K$25)/($O$14*POWER($O$18,3))</f>
        <v>0.41458131666109049</v>
      </c>
    </row>
    <row r="22" spans="2:15" x14ac:dyDescent="0.3">
      <c r="B22">
        <f xml:space="preserve"> IF($C$3=1, Додаток!$B21, IF($C$3=2,Додаток!$C21,IF($C$3=3,Додаток!$D21,IF($C$3=4,Додаток!$E21,IF($C$3=5,Додаток!$F21,IF($C$3=6,Додаток!$H21,IF($C$3=7,Додаток!$I21,IF($C$3=8,Додаток!$J21,IF($C$3=9,Додаток!$K21,IF($C$3=10,Додаток!$L21))))))))))</f>
        <v>471</v>
      </c>
      <c r="C22">
        <f t="shared" si="0"/>
        <v>-664.34999999999991</v>
      </c>
      <c r="D22">
        <f t="shared" si="5"/>
        <v>441360.92249999987</v>
      </c>
      <c r="E22">
        <f t="shared" si="1"/>
        <v>1.0827674621026961</v>
      </c>
      <c r="G22" t="b">
        <f t="shared" si="2"/>
        <v>1</v>
      </c>
      <c r="H22">
        <f t="shared" si="3"/>
        <v>471</v>
      </c>
      <c r="I22">
        <f t="shared" si="4"/>
        <v>-597.84210526315792</v>
      </c>
      <c r="J22">
        <f t="shared" si="6"/>
        <v>357415.18282548478</v>
      </c>
      <c r="K22">
        <f t="shared" si="7"/>
        <v>-213677845.35340431</v>
      </c>
      <c r="L22">
        <f t="shared" si="8"/>
        <v>127745612914.17471</v>
      </c>
      <c r="N22" s="24" t="str">
        <f>IF($O$21&gt;0,"Позитивний перекіс",IF($O$21&lt;0, "Негативний перекіс", "Нормальний розподіл"))</f>
        <v>Позитивний перекіс</v>
      </c>
      <c r="O22" s="24"/>
    </row>
    <row r="23" spans="2:15" x14ac:dyDescent="0.3">
      <c r="B23">
        <f xml:space="preserve"> IF($C$3=1, Додаток!$B22, IF($C$3=2,Додаток!$C22,IF($C$3=3,Додаток!$D22,IF($C$3=4,Додаток!$E22,IF($C$3=5,Додаток!$F22,IF($C$3=6,Додаток!$H22,IF($C$3=7,Додаток!$I22,IF($C$3=8,Додаток!$J22,IF($C$3=9,Додаток!$K22,IF($C$3=10,Додаток!$L22))))))))))</f>
        <v>662</v>
      </c>
      <c r="C23">
        <f t="shared" si="0"/>
        <v>-473.34999999999991</v>
      </c>
      <c r="D23">
        <f t="shared" si="5"/>
        <v>224060.22249999992</v>
      </c>
      <c r="E23">
        <f t="shared" si="1"/>
        <v>0.77147283538242062</v>
      </c>
      <c r="G23" t="b">
        <f t="shared" si="2"/>
        <v>1</v>
      </c>
      <c r="H23">
        <f t="shared" si="3"/>
        <v>662</v>
      </c>
      <c r="I23">
        <f t="shared" si="4"/>
        <v>-406.84210526315792</v>
      </c>
      <c r="J23">
        <f t="shared" si="6"/>
        <v>165520.49861495846</v>
      </c>
      <c r="K23">
        <f t="shared" si="7"/>
        <v>-67340708.120717317</v>
      </c>
      <c r="L23">
        <f t="shared" si="8"/>
        <v>27397035461.744465</v>
      </c>
    </row>
    <row r="24" spans="2:15" x14ac:dyDescent="0.3">
      <c r="B24">
        <f xml:space="preserve"> IF($C$3=1, Додаток!$B23, IF($C$3=2,Додаток!$C23,IF($C$3=3,Додаток!$D23,IF($C$3=4,Додаток!$E23,IF($C$3=5,Додаток!$F23,IF($C$3=6,Додаток!$H23,IF($C$3=7,Додаток!$I23,IF($C$3=8,Додаток!$J23,IF($C$3=9,Додаток!$K23,IF($C$3=10,Додаток!$L23))))))))))</f>
        <v>157</v>
      </c>
      <c r="C24">
        <f t="shared" si="0"/>
        <v>-978.34999999999991</v>
      </c>
      <c r="D24">
        <f t="shared" si="5"/>
        <v>957168.7224999998</v>
      </c>
      <c r="E24">
        <f t="shared" si="1"/>
        <v>1.5945293091716306</v>
      </c>
      <c r="G24" t="b">
        <f t="shared" si="2"/>
        <v>1</v>
      </c>
      <c r="H24">
        <f t="shared" si="3"/>
        <v>157</v>
      </c>
      <c r="I24">
        <f t="shared" si="4"/>
        <v>-911.84210526315792</v>
      </c>
      <c r="J24">
        <f t="shared" si="6"/>
        <v>831456.02493074792</v>
      </c>
      <c r="K24">
        <f t="shared" si="7"/>
        <v>-758156612.20658994</v>
      </c>
      <c r="L24">
        <f t="shared" si="8"/>
        <v>691319121393.6405</v>
      </c>
      <c r="O24">
        <f>SUM($L$6:$L$25)/($O$14*POWER($O$18,4)) - 3</f>
        <v>-0.76829813097773769</v>
      </c>
    </row>
    <row r="25" spans="2:15" x14ac:dyDescent="0.3">
      <c r="B25">
        <f xml:space="preserve"> IF($C$3=1, Додаток!$B24, IF($C$3=2,Додаток!$C24,IF($C$3=3,Додаток!$D24,IF($C$3=4,Додаток!$E24,IF($C$3=5,Додаток!$F24,IF($C$3=6,Додаток!$H24,IF($C$3=7,Додаток!$I24,IF($C$3=8,Додаток!$J24,IF($C$3=9,Додаток!$K24,IF($C$3=10,Додаток!$L24))))))))))</f>
        <v>568</v>
      </c>
      <c r="C25">
        <f t="shared" si="0"/>
        <v>-567.34999999999991</v>
      </c>
      <c r="D25">
        <f t="shared" si="5"/>
        <v>321886.0224999999</v>
      </c>
      <c r="E25">
        <f t="shared" si="1"/>
        <v>0.92467542654318446</v>
      </c>
      <c r="G25" t="b">
        <f t="shared" si="2"/>
        <v>1</v>
      </c>
      <c r="H25">
        <f t="shared" si="3"/>
        <v>568</v>
      </c>
      <c r="I25">
        <f t="shared" si="4"/>
        <v>-500.84210526315792</v>
      </c>
      <c r="J25">
        <f t="shared" si="6"/>
        <v>250842.81440443217</v>
      </c>
      <c r="K25">
        <f t="shared" si="7"/>
        <v>-125632643.2564514</v>
      </c>
      <c r="L25">
        <f t="shared" si="8"/>
        <v>62922117538.336403</v>
      </c>
      <c r="N25" s="24" t="str">
        <f>IF($O$21&gt;0,"Гостріший пік",IF($O$21&lt;0, "Плоскіший пік", "Нормальний розподіл"))</f>
        <v>Гостріший пік</v>
      </c>
      <c r="O25" s="24"/>
    </row>
    <row r="29" spans="2:15" x14ac:dyDescent="0.3">
      <c r="N29" s="23" t="s">
        <v>22</v>
      </c>
      <c r="O29" s="23"/>
    </row>
    <row r="30" spans="2:15" x14ac:dyDescent="0.3">
      <c r="O30">
        <f>MIN($B$6:$B$25)</f>
        <v>157</v>
      </c>
    </row>
    <row r="31" spans="2:15" x14ac:dyDescent="0.3">
      <c r="O31">
        <f>MAX($B$6:$B$25)</f>
        <v>2399</v>
      </c>
    </row>
  </sheetData>
  <mergeCells count="4">
    <mergeCell ref="N29:O29"/>
    <mergeCell ref="N22:O22"/>
    <mergeCell ref="N25:O25"/>
    <mergeCell ref="B2:O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F2F9-B0F9-446F-9AA3-18F821748DA8}">
  <dimension ref="B2:T36"/>
  <sheetViews>
    <sheetView zoomScale="80" zoomScaleNormal="80" workbookViewId="0">
      <selection activeCell="D3" sqref="D3"/>
    </sheetView>
  </sheetViews>
  <sheetFormatPr defaultRowHeight="14.4" x14ac:dyDescent="0.3"/>
  <cols>
    <col min="2" max="2" width="11.5546875" customWidth="1"/>
    <col min="3" max="3" width="4.109375" customWidth="1"/>
    <col min="4" max="4" width="3.5546875" customWidth="1"/>
    <col min="5" max="5" width="11.109375" customWidth="1"/>
    <col min="6" max="6" width="4.33203125" customWidth="1"/>
    <col min="7" max="7" width="3.88671875" customWidth="1"/>
    <col min="14" max="14" width="3.77734375" customWidth="1"/>
    <col min="15" max="16" width="7.6640625" customWidth="1"/>
    <col min="17" max="17" width="3.88671875" customWidth="1"/>
    <col min="18" max="18" width="3.6640625" customWidth="1"/>
    <col min="19" max="19" width="11.33203125" customWidth="1"/>
    <col min="20" max="20" width="8.88671875" customWidth="1"/>
    <col min="22" max="22" width="6.88671875" customWidth="1"/>
    <col min="23" max="23" width="14.21875" customWidth="1"/>
  </cols>
  <sheetData>
    <row r="2" spans="2:20" x14ac:dyDescent="0.3">
      <c r="B2" s="25" t="s">
        <v>41</v>
      </c>
      <c r="C2" s="25"/>
      <c r="D2" s="25"/>
      <c r="E2" s="25"/>
      <c r="F2" s="25"/>
      <c r="G2" s="25"/>
      <c r="H2" s="23"/>
      <c r="I2" s="23"/>
      <c r="J2" s="23"/>
      <c r="K2" s="23"/>
      <c r="L2" s="23"/>
      <c r="M2" s="23"/>
      <c r="N2" s="23"/>
      <c r="O2" s="23"/>
      <c r="P2" s="23"/>
    </row>
    <row r="3" spans="2:20" x14ac:dyDescent="0.3">
      <c r="B3" t="s">
        <v>14</v>
      </c>
      <c r="C3" s="7">
        <v>1</v>
      </c>
      <c r="E3" t="s">
        <v>15</v>
      </c>
      <c r="F3" s="5">
        <v>7</v>
      </c>
      <c r="H3" s="26" t="s">
        <v>18</v>
      </c>
      <c r="I3" s="26"/>
      <c r="J3" s="26" t="s">
        <v>19</v>
      </c>
      <c r="K3" s="26"/>
    </row>
    <row r="4" spans="2:20" x14ac:dyDescent="0.3">
      <c r="B4" s="8"/>
      <c r="E4" s="8"/>
      <c r="H4" s="10"/>
      <c r="I4" s="10"/>
      <c r="J4" s="8"/>
      <c r="K4" s="8"/>
      <c r="L4" s="11" t="s">
        <v>17</v>
      </c>
      <c r="M4" s="11" t="s">
        <v>16</v>
      </c>
      <c r="O4" s="12"/>
      <c r="P4" s="12"/>
      <c r="S4" s="3" t="s">
        <v>10</v>
      </c>
      <c r="T4">
        <v>20</v>
      </c>
    </row>
    <row r="5" spans="2:20" x14ac:dyDescent="0.3">
      <c r="B5">
        <f xml:space="preserve"> IF($C$3=1, Додаток!$B5, IF($C$3=2,Додаток!$C5,IF($C$3=3,Додаток!$D5,IF($C$3=4,Додаток!$E5,IF($C$3=5,Додаток!$F5,IF($C$3=6,Додаток!$H5,IF($C$3=7,Додаток!$I5,IF($C$3=8,Додаток!$J5,IF($C$3=9,Додаток!$K5,IF($C$3=10,Додаток!$L5))))))))))</f>
        <v>1305</v>
      </c>
      <c r="E5">
        <f xml:space="preserve"> IF($F$3=1, Додаток!$B5, IF($F$3=2,Додаток!$C5,IF($F$3=3,Додаток!$D5,IF($F$3=4,Додаток!$E5,IF($F$3=5,Додаток!$F5,IF($F$3=6,Додаток!$H5,IF($F$3=7,Додаток!$I5,IF($F$3=8,Додаток!$J5,IF($F$3=9,Додаток!$K5,IF($F$3=10,Додаток!$L5))))))))))</f>
        <v>0.125</v>
      </c>
      <c r="H5">
        <f>_xlfn.RANK.AVG(B5,$B$5:$B$24)</f>
        <v>7</v>
      </c>
      <c r="I5">
        <f>_xlfn.RANK.AVG(E5,$E$5:$E$24)</f>
        <v>16</v>
      </c>
      <c r="J5">
        <v>1</v>
      </c>
      <c r="K5">
        <v>2</v>
      </c>
      <c r="L5">
        <f>COUNTIFS($J6:$J$34,"&gt;" &amp; J5,$K6:$K$34,"&gt;" &amp; K5)</f>
        <v>18</v>
      </c>
      <c r="M5">
        <f>COUNTIFS($J6:$J$34,"&gt;" &amp; J5,$K6:$K$34,"&lt;" &amp; K5)</f>
        <v>1</v>
      </c>
      <c r="O5">
        <f>COUNTIF(J6:$J$34, J5)</f>
        <v>0</v>
      </c>
      <c r="P5">
        <f>COUNTIF(K6:$K$34, K5)</f>
        <v>0</v>
      </c>
      <c r="T5">
        <v>0.218</v>
      </c>
    </row>
    <row r="6" spans="2:20" x14ac:dyDescent="0.3">
      <c r="B6">
        <f xml:space="preserve"> IF($C$3=1, Додаток!$B6, IF($C$3=2,Додаток!$C6,IF($C$3=3,Додаток!$D6,IF($C$3=4,Додаток!$E6,IF($C$3=5,Додаток!$F6,IF($C$3=6,Додаток!$H6,IF($C$3=7,Додаток!$I6,IF($C$3=8,Додаток!$J6,IF($C$3=9,Додаток!$K6,IF($C$3=10,Додаток!$L6))))))))))</f>
        <v>1243</v>
      </c>
      <c r="E6">
        <f xml:space="preserve"> IF($F$3=1, Додаток!B6, IF($F$3=2,Додаток!C6,IF($F$3=3,Додаток!D6,IF($F$3=4,Додаток!E6,IF($F$3=5,Додаток!F6,IF($F$3=6,Додаток!H6,IF($F$3=7,Додаток!I6,IF($F$3=8,Додаток!J6,IF($F$3=9,Додаток!K6,IF($F$3=10,Додаток!L6))))))))))</f>
        <v>9.5000000000000001E-2</v>
      </c>
      <c r="H6">
        <f t="shared" ref="H6:H24" si="0">_xlfn.RANK.AVG(B6,$B$5:$B$24)</f>
        <v>9</v>
      </c>
      <c r="I6">
        <f t="shared" ref="I6:I24" si="1">_xlfn.RANK.AVG(E6,$E$5:$E$24)</f>
        <v>17</v>
      </c>
      <c r="J6">
        <v>2</v>
      </c>
      <c r="K6">
        <v>10</v>
      </c>
      <c r="L6">
        <f>COUNTIFS($J7:$J$34,"&gt;" &amp; J6,$K7:$K$34,"&gt;" &amp; K6)</f>
        <v>10</v>
      </c>
      <c r="M6">
        <f>COUNTIFS($J7:$J$34,"&gt;" &amp; J6,$K7:$K$34,"&lt;" &amp; K6)</f>
        <v>8</v>
      </c>
      <c r="O6">
        <f>COUNTIF(J7:$J$34, J6)</f>
        <v>0</v>
      </c>
      <c r="P6">
        <f>COUNTIF(K7:$K$34, K6)</f>
        <v>0</v>
      </c>
    </row>
    <row r="7" spans="2:20" x14ac:dyDescent="0.3">
      <c r="B7">
        <f xml:space="preserve"> IF($C$3=1, Додаток!$B7, IF($C$3=2,Додаток!$C7,IF($C$3=3,Додаток!$D7,IF($C$3=4,Додаток!$E7,IF($C$3=5,Додаток!$F7,IF($C$3=6,Додаток!$H7,IF($C$3=7,Додаток!$I7,IF($C$3=8,Додаток!$J7,IF($C$3=9,Додаток!$K7,IF($C$3=10,Додаток!$L7))))))))))</f>
        <v>1846</v>
      </c>
      <c r="E7">
        <f xml:space="preserve"> IF($F$3=1, Додаток!B7, IF($F$3=2,Додаток!C7,IF($F$3=3,Додаток!D7,IF($F$3=4,Додаток!E7,IF($F$3=5,Додаток!F7,IF($F$3=6,Додаток!H7,IF($F$3=7,Додаток!I7,IF($F$3=8,Додаток!J7,IF($F$3=9,Додаток!K7,IF($F$3=10,Додаток!L7))))))))))</f>
        <v>0.254</v>
      </c>
      <c r="H7">
        <f t="shared" si="0"/>
        <v>4</v>
      </c>
      <c r="I7">
        <f t="shared" si="1"/>
        <v>15</v>
      </c>
      <c r="J7">
        <v>3</v>
      </c>
      <c r="K7">
        <v>1</v>
      </c>
      <c r="L7">
        <f>COUNTIFS($J8:$J$34,"&gt;" &amp; J7,$K8:$K$34,"&gt;" &amp; K7)</f>
        <v>17</v>
      </c>
      <c r="M7">
        <f>COUNTIFS($J8:$J$34,"&gt;" &amp; J7,$K8:$K$34,"&lt;" &amp; K7)</f>
        <v>0</v>
      </c>
      <c r="O7">
        <f>COUNTIF(J8:$J$34, J7)</f>
        <v>0</v>
      </c>
      <c r="P7">
        <f>COUNTIF(K8:$K$34, K7)</f>
        <v>0</v>
      </c>
      <c r="T7">
        <f>$T$4*($T$4-1)/2</f>
        <v>190</v>
      </c>
    </row>
    <row r="8" spans="2:20" x14ac:dyDescent="0.3">
      <c r="B8">
        <f xml:space="preserve"> IF($C$3=1, Додаток!$B8, IF($C$3=2,Додаток!$C8,IF($C$3=3,Додаток!$D8,IF($C$3=4,Додаток!$E8,IF($C$3=5,Додаток!$F8,IF($C$3=6,Додаток!$H8,IF($C$3=7,Додаток!$I8,IF($C$3=8,Додаток!$J8,IF($C$3=9,Додаток!$K8,IF($C$3=10,Додаток!$L8))))))))))</f>
        <v>930</v>
      </c>
      <c r="E8">
        <f xml:space="preserve"> IF($F$3=1, Додаток!B8, IF($F$3=2,Додаток!C8,IF($F$3=3,Додаток!D8,IF($F$3=4,Додаток!E8,IF($F$3=5,Додаток!F8,IF($F$3=6,Додаток!H8,IF($F$3=7,Додаток!I8,IF($F$3=8,Додаток!J8,IF($F$3=9,Додаток!K8,IF($F$3=10,Додаток!L8))))))))))</f>
        <v>0.28299999999999997</v>
      </c>
      <c r="H8">
        <f t="shared" si="0"/>
        <v>12</v>
      </c>
      <c r="I8">
        <f t="shared" si="1"/>
        <v>14</v>
      </c>
      <c r="J8">
        <v>4</v>
      </c>
      <c r="K8">
        <v>11</v>
      </c>
      <c r="L8">
        <f>COUNTIFS($J9:$J$34,"&gt;" &amp; J8,$K9:$K$34,"&gt;" &amp; K8)</f>
        <v>9</v>
      </c>
      <c r="M8">
        <f>COUNTIFS($J9:$J$34,"&gt;" &amp; J8,$K9:$K$34,"&lt;" &amp; K8)</f>
        <v>7</v>
      </c>
      <c r="O8">
        <f>COUNTIF(J9:$J$34, J8)</f>
        <v>0</v>
      </c>
      <c r="P8">
        <f>COUNTIF(K9:$K$34, K8)</f>
        <v>0</v>
      </c>
      <c r="T8" s="15">
        <f>($L$36-$M$36)/SQRT(($T$7-$O$36)*($T$7-$P$36))</f>
        <v>0.30769339013829466</v>
      </c>
    </row>
    <row r="9" spans="2:20" x14ac:dyDescent="0.3">
      <c r="B9">
        <f xml:space="preserve"> IF($C$3=1, Додаток!$B9, IF($C$3=2,Додаток!$C9,IF($C$3=3,Додаток!$D9,IF($C$3=4,Додаток!$E9,IF($C$3=5,Додаток!$F9,IF($C$3=6,Додаток!$H9,IF($C$3=7,Додаток!$I9,IF($C$3=8,Додаток!$J9,IF($C$3=9,Додаток!$K9,IF($C$3=10,Додаток!$L9))))))))))</f>
        <v>1272</v>
      </c>
      <c r="E9">
        <f xml:space="preserve"> IF($F$3=1, Додаток!B9, IF($F$3=2,Додаток!C9,IF($F$3=3,Додаток!D9,IF($F$3=4,Додаток!E9,IF($F$3=5,Додаток!F9,IF($F$3=6,Додаток!H9,IF($F$3=7,Додаток!I9,IF($F$3=8,Додаток!J9,IF($F$3=9,Додаток!K9,IF($F$3=10,Додаток!L9))))))))))</f>
        <v>0</v>
      </c>
      <c r="H9">
        <f t="shared" si="0"/>
        <v>8</v>
      </c>
      <c r="I9">
        <f t="shared" si="1"/>
        <v>19.5</v>
      </c>
      <c r="J9">
        <v>5</v>
      </c>
      <c r="K9">
        <v>3</v>
      </c>
      <c r="L9">
        <f>COUNTIFS($J10:$J$34,"&gt;" &amp; J9,$K10:$K$34,"&gt;" &amp; K9)</f>
        <v>15</v>
      </c>
      <c r="M9">
        <f>COUNTIFS($J10:$J$34,"&gt;" &amp; J9,$K10:$K$34,"&lt;" &amp; K9)</f>
        <v>0</v>
      </c>
      <c r="O9">
        <f>COUNTIF(J10:$J$34, J9)</f>
        <v>0</v>
      </c>
      <c r="P9">
        <f>COUNTIF(K10:$K$34, K9)</f>
        <v>0</v>
      </c>
      <c r="S9" s="1" t="s">
        <v>35</v>
      </c>
      <c r="T9" s="16" t="str">
        <f>IF(ABS($T$8)&gt;$T$5,"Так","Ні")</f>
        <v>Так</v>
      </c>
    </row>
    <row r="10" spans="2:20" x14ac:dyDescent="0.3">
      <c r="B10">
        <f xml:space="preserve"> IF($C$3=1, Додаток!$B10, IF($C$3=2,Додаток!$C10,IF($C$3=3,Додаток!$D10,IF($C$3=4,Додаток!$E10,IF($C$3=5,Додаток!$F10,IF($C$3=6,Додаток!$H10,IF($C$3=7,Додаток!$I10,IF($C$3=8,Додаток!$J10,IF($C$3=9,Додаток!$K10,IF($C$3=10,Додаток!$L10))))))))))</f>
        <v>1006</v>
      </c>
      <c r="E10">
        <f xml:space="preserve"> IF($F$3=1, Додаток!B10, IF($F$3=2,Додаток!C10,IF($F$3=3,Додаток!D10,IF($F$3=4,Додаток!E10,IF($F$3=5,Додаток!F10,IF($F$3=6,Додаток!H10,IF($F$3=7,Додаток!I10,IF($F$3=8,Додаток!J10,IF($F$3=9,Додаток!K10,IF($F$3=10,Додаток!L10))))))))))</f>
        <v>5.2999999999999999E-2</v>
      </c>
      <c r="H10">
        <f t="shared" si="0"/>
        <v>11</v>
      </c>
      <c r="I10">
        <f t="shared" si="1"/>
        <v>18</v>
      </c>
      <c r="J10">
        <v>6</v>
      </c>
      <c r="K10">
        <v>9</v>
      </c>
      <c r="L10">
        <f>COUNTIFS($J11:$J$34,"&gt;" &amp; J10,$K11:$K$34,"&gt;" &amp; K10)</f>
        <v>9</v>
      </c>
      <c r="M10">
        <f>COUNTIFS($J11:$J$34,"&gt;" &amp; J10,$K11:$K$34,"&lt;" &amp; K10)</f>
        <v>5</v>
      </c>
      <c r="O10">
        <f>COUNTIF(J11:$J$34, J10)</f>
        <v>0</v>
      </c>
      <c r="P10">
        <f>COUNTIF(K11:$K$34, K10)</f>
        <v>0</v>
      </c>
    </row>
    <row r="11" spans="2:20" x14ac:dyDescent="0.3">
      <c r="B11">
        <f xml:space="preserve"> IF($C$3=1, Додаток!$B11, IF($C$3=2,Додаток!$C11,IF($C$3=3,Додаток!$D11,IF($C$3=4,Додаток!$E11,IF($C$3=5,Додаток!$F11,IF($C$3=6,Додаток!$H11,IF($C$3=7,Додаток!$I11,IF($C$3=8,Додаток!$J11,IF($C$3=9,Додаток!$K11,IF($C$3=10,Додаток!$L11))))))))))</f>
        <v>1395</v>
      </c>
      <c r="E11">
        <f xml:space="preserve"> IF($F$3=1, Додаток!B11, IF($F$3=2,Додаток!C11,IF($F$3=3,Додаток!D11,IF($F$3=4,Додаток!E11,IF($F$3=5,Додаток!F11,IF($F$3=6,Додаток!H11,IF($F$3=7,Додаток!I11,IF($F$3=8,Додаток!J11,IF($F$3=9,Додаток!K11,IF($F$3=10,Додаток!L11))))))))))</f>
        <v>0</v>
      </c>
      <c r="H11">
        <f t="shared" si="0"/>
        <v>6</v>
      </c>
      <c r="I11">
        <f t="shared" si="1"/>
        <v>19.5</v>
      </c>
      <c r="J11">
        <v>7</v>
      </c>
      <c r="K11">
        <v>13</v>
      </c>
      <c r="L11">
        <f>COUNTIFS($J12:$J$34,"&gt;" &amp; J11,$K12:$K$34,"&gt;" &amp; K11)</f>
        <v>7</v>
      </c>
      <c r="M11">
        <f>COUNTIFS($J12:$J$34,"&gt;" &amp; J11,$K12:$K$34,"&lt;" &amp; K11)</f>
        <v>6</v>
      </c>
      <c r="O11">
        <f>COUNTIF(J12:$J$34, J11)</f>
        <v>0</v>
      </c>
      <c r="P11">
        <f>COUNTIF(K12:$K$34, K11)</f>
        <v>0</v>
      </c>
    </row>
    <row r="12" spans="2:20" x14ac:dyDescent="0.3">
      <c r="B12">
        <f xml:space="preserve"> IF($C$3=1, Додаток!$B12, IF($C$3=2,Додаток!$C12,IF($C$3=3,Додаток!$D12,IF($C$3=4,Додаток!$E12,IF($C$3=5,Додаток!$F12,IF($C$3=6,Додаток!$H12,IF($C$3=7,Додаток!$I12,IF($C$3=8,Додаток!$J12,IF($C$3=9,Додаток!$K12,IF($C$3=10,Додаток!$L12))))))))))</f>
        <v>726</v>
      </c>
      <c r="E12">
        <f xml:space="preserve"> IF($F$3=1, Додаток!B12, IF($F$3=2,Додаток!C12,IF($F$3=3,Додаток!D12,IF($F$3=4,Додаток!E12,IF($F$3=5,Додаток!F12,IF($F$3=6,Додаток!H12,IF($F$3=7,Додаток!I12,IF($F$3=8,Додаток!J12,IF($F$3=9,Додаток!K12,IF($F$3=10,Додаток!L12))))))))))</f>
        <v>0.48199999999999998</v>
      </c>
      <c r="H12">
        <f t="shared" si="0"/>
        <v>15</v>
      </c>
      <c r="I12">
        <f t="shared" si="1"/>
        <v>7</v>
      </c>
      <c r="J12">
        <v>8</v>
      </c>
      <c r="K12">
        <v>4</v>
      </c>
      <c r="L12">
        <f>COUNTIFS($J13:$J$34,"&gt;" &amp; J12,$K13:$K$34,"&gt;" &amp; K12)</f>
        <v>12</v>
      </c>
      <c r="M12">
        <f>COUNTIFS($J13:$J$34,"&gt;" &amp; J12,$K13:$K$34,"&lt;" &amp; K12)</f>
        <v>0</v>
      </c>
      <c r="O12">
        <f>COUNTIF(J13:$J$34, J12)</f>
        <v>0</v>
      </c>
      <c r="P12">
        <f>COUNTIF(K13:$K$34, K12)</f>
        <v>0</v>
      </c>
    </row>
    <row r="13" spans="2:20" x14ac:dyDescent="0.3">
      <c r="B13">
        <f xml:space="preserve"> IF($C$3=1, Додаток!$B13, IF($C$3=2,Додаток!$C13,IF($C$3=3,Додаток!$D13,IF($C$3=4,Додаток!$E13,IF($C$3=5,Додаток!$F13,IF($C$3=6,Додаток!$H13,IF($C$3=7,Додаток!$I13,IF($C$3=8,Додаток!$J13,IF($C$3=9,Додаток!$K13,IF($C$3=10,Додаток!$L13))))))))))</f>
        <v>412</v>
      </c>
      <c r="E13">
        <f xml:space="preserve"> IF($F$3=1, Додаток!B13, IF($F$3=2,Додаток!C13,IF($F$3=3,Додаток!D13,IF($F$3=4,Додаток!E13,IF($F$3=5,Додаток!F13,IF($F$3=6,Додаток!H13,IF($F$3=7,Додаток!I13,IF($F$3=8,Додаток!J13,IF($F$3=9,Додаток!K13,IF($F$3=10,Додаток!L13))))))))))</f>
        <v>0.52900000000000003</v>
      </c>
      <c r="H13">
        <f t="shared" si="0"/>
        <v>19</v>
      </c>
      <c r="I13">
        <f t="shared" si="1"/>
        <v>6</v>
      </c>
      <c r="J13">
        <v>9</v>
      </c>
      <c r="K13">
        <v>12</v>
      </c>
      <c r="L13">
        <f>COUNTIFS($J14:$J$34,"&gt;" &amp; J13,$K14:$K$34,"&gt;" &amp; K13)</f>
        <v>7</v>
      </c>
      <c r="M13">
        <f>COUNTIFS($J14:$J$34,"&gt;" &amp; J13,$K14:$K$34,"&lt;" &amp; K13)</f>
        <v>4</v>
      </c>
      <c r="O13">
        <f>COUNTIF(J14:$J$34, J13)</f>
        <v>0</v>
      </c>
      <c r="P13">
        <f>COUNTIF(K14:$K$34, K13)</f>
        <v>0</v>
      </c>
    </row>
    <row r="14" spans="2:20" x14ac:dyDescent="0.3">
      <c r="B14">
        <f xml:space="preserve"> IF($C$3=1, Додаток!$B14, IF($C$3=2,Додаток!$C14,IF($C$3=3,Додаток!$D14,IF($C$3=4,Додаток!$E14,IF($C$3=5,Додаток!$F14,IF($C$3=6,Додаток!$H14,IF($C$3=7,Додаток!$I14,IF($C$3=8,Додаток!$J14,IF($C$3=9,Додаток!$K14,IF($C$3=10,Додаток!$L14))))))))))</f>
        <v>1471</v>
      </c>
      <c r="E14">
        <f xml:space="preserve"> IF($F$3=1, Додаток!B14, IF($F$3=2,Додаток!C14,IF($F$3=3,Додаток!D14,IF($F$3=4,Додаток!E14,IF($F$3=5,Додаток!F14,IF($F$3=6,Додаток!H14,IF($F$3=7,Додаток!I14,IF($F$3=8,Додаток!J14,IF($F$3=9,Додаток!K14,IF($F$3=10,Додаток!L14))))))))))</f>
        <v>0.38600000000000001</v>
      </c>
      <c r="H14">
        <f t="shared" si="0"/>
        <v>5</v>
      </c>
      <c r="I14">
        <f t="shared" si="1"/>
        <v>12</v>
      </c>
      <c r="J14">
        <v>10</v>
      </c>
      <c r="K14">
        <v>15</v>
      </c>
      <c r="L14">
        <f>COUNTIFS($J15:$J$34,"&gt;" &amp; J14,$K15:$K$34,"&gt;" &amp; K14)</f>
        <v>5</v>
      </c>
      <c r="M14">
        <f>COUNTIFS($J15:$J$34,"&gt;" &amp; J14,$K15:$K$34,"&lt;" &amp; K14)</f>
        <v>5</v>
      </c>
      <c r="O14">
        <f>COUNTIF(J15:$J$34, J14)</f>
        <v>0</v>
      </c>
      <c r="P14">
        <f>COUNTIF(K15:$K$34, K14)</f>
        <v>0</v>
      </c>
    </row>
    <row r="15" spans="2:20" x14ac:dyDescent="0.3">
      <c r="B15">
        <f xml:space="preserve"> IF($C$3=1, Додаток!$B15, IF($C$3=2,Додаток!$C15,IF($C$3=3,Додаток!$D15,IF($C$3=4,Додаток!$E15,IF($C$3=5,Додаток!$F15,IF($C$3=6,Додаток!$H15,IF($C$3=7,Додаток!$I15,IF($C$3=8,Додаток!$J15,IF($C$3=9,Додаток!$K15,IF($C$3=10,Додаток!$L15))))))))))</f>
        <v>770</v>
      </c>
      <c r="E15">
        <f xml:space="preserve"> IF($F$3=1, Додаток!B15, IF($F$3=2,Додаток!C15,IF($F$3=3,Додаток!D15,IF($F$3=4,Додаток!E15,IF($F$3=5,Додаток!F15,IF($F$3=6,Додаток!H15,IF($F$3=7,Додаток!I15,IF($F$3=8,Додаток!J15,IF($F$3=9,Додаток!K15,IF($F$3=10,Додаток!L15))))))))))</f>
        <v>0.45</v>
      </c>
      <c r="H15">
        <f t="shared" si="0"/>
        <v>14</v>
      </c>
      <c r="I15">
        <f t="shared" si="1"/>
        <v>9</v>
      </c>
      <c r="J15">
        <v>11</v>
      </c>
      <c r="K15">
        <v>8</v>
      </c>
      <c r="L15">
        <f>COUNTIFS($J16:$J$34,"&gt;" &amp; J15,$K16:$K$34,"&gt;" &amp; K15)</f>
        <v>6</v>
      </c>
      <c r="M15">
        <f>COUNTIFS($J16:$J$34,"&gt;" &amp; J15,$K16:$K$34,"&lt;" &amp; K15)</f>
        <v>3</v>
      </c>
      <c r="O15">
        <f>COUNTIF(J16:$J$34, J15)</f>
        <v>0</v>
      </c>
      <c r="P15">
        <f>COUNTIF(K16:$K$34, K15)</f>
        <v>0</v>
      </c>
    </row>
    <row r="16" spans="2:20" x14ac:dyDescent="0.3">
      <c r="B16">
        <f xml:space="preserve"> IF($C$3=1, Додаток!$B16, IF($C$3=2,Додаток!$C16,IF($C$3=3,Додаток!$D16,IF($C$3=4,Додаток!$E16,IF($C$3=5,Додаток!$F16,IF($C$3=6,Додаток!$H16,IF($C$3=7,Додаток!$I16,IF($C$3=8,Додаток!$J16,IF($C$3=9,Додаток!$K16,IF($C$3=10,Додаток!$L16))))))))))</f>
        <v>2199</v>
      </c>
      <c r="E16">
        <f xml:space="preserve"> IF($F$3=1, Додаток!B16, IF($F$3=2,Додаток!C16,IF($F$3=3,Додаток!D16,IF($F$3=4,Додаток!E16,IF($F$3=5,Додаток!F16,IF($F$3=6,Додаток!H16,IF($F$3=7,Додаток!I16,IF($F$3=8,Додаток!J16,IF($F$3=9,Додаток!K16,IF($F$3=10,Додаток!L16))))))))))</f>
        <v>0.58599999999999997</v>
      </c>
      <c r="H16">
        <f t="shared" si="0"/>
        <v>2</v>
      </c>
      <c r="I16">
        <f t="shared" si="1"/>
        <v>1</v>
      </c>
      <c r="J16">
        <v>12</v>
      </c>
      <c r="K16">
        <v>16</v>
      </c>
      <c r="L16">
        <f>COUNTIFS($J17:$J$34,"&gt;" &amp; J16,$K17:$K$34,"&gt;" &amp; K16)</f>
        <v>4</v>
      </c>
      <c r="M16">
        <f>COUNTIFS($J17:$J$34,"&gt;" &amp; J16,$K17:$K$34,"&lt;" &amp; K16)</f>
        <v>4</v>
      </c>
      <c r="O16">
        <f>COUNTIF(J17:$J$34, J16)</f>
        <v>0</v>
      </c>
      <c r="P16">
        <f>COUNTIF(K17:$K$34, K16)</f>
        <v>0</v>
      </c>
    </row>
    <row r="17" spans="2:16" x14ac:dyDescent="0.3">
      <c r="B17">
        <f xml:space="preserve"> IF($C$3=1, Додаток!$B17, IF($C$3=2,Додаток!$C17,IF($C$3=3,Додаток!$D17,IF($C$3=4,Додаток!$E17,IF($C$3=5,Додаток!$F17,IF($C$3=6,Додаток!$H17,IF($C$3=7,Додаток!$I17,IF($C$3=8,Додаток!$J17,IF($C$3=9,Додаток!$K17,IF($C$3=10,Додаток!$L17))))))))))</f>
        <v>2399</v>
      </c>
      <c r="E17">
        <f xml:space="preserve"> IF($F$3=1, Додаток!B17, IF($F$3=2,Додаток!C17,IF($F$3=3,Додаток!D17,IF($F$3=4,Додаток!E17,IF($F$3=5,Додаток!F17,IF($F$3=6,Додаток!H17,IF($F$3=7,Додаток!I17,IF($F$3=8,Додаток!J17,IF($F$3=9,Додаток!K17,IF($F$3=10,Додаток!L17))))))))))</f>
        <v>0.39400000000000002</v>
      </c>
      <c r="H17">
        <f t="shared" si="0"/>
        <v>1</v>
      </c>
      <c r="I17">
        <f t="shared" si="1"/>
        <v>10</v>
      </c>
      <c r="J17">
        <v>13.5</v>
      </c>
      <c r="K17">
        <v>19.5</v>
      </c>
      <c r="L17">
        <f>COUNTIFS($J18:$J$34,"&gt;" &amp; J17,$K18:$K$34,"&gt;" &amp; K17)</f>
        <v>0</v>
      </c>
      <c r="M17">
        <f>COUNTIFS($J18:$J$34,"&gt;" &amp; J17,$K18:$K$34,"&lt;" &amp; K17)</f>
        <v>6</v>
      </c>
      <c r="O17">
        <f>COUNTIF(J18:$J$34, J17)</f>
        <v>1</v>
      </c>
      <c r="P17">
        <f>COUNTIF(K18:$K$34, K17)</f>
        <v>1</v>
      </c>
    </row>
    <row r="18" spans="2:16" x14ac:dyDescent="0.3">
      <c r="B18">
        <f xml:space="preserve"> IF($C$3=1, Додаток!$B18, IF($C$3=2,Додаток!$C18,IF($C$3=3,Додаток!$D18,IF($C$3=4,Додаток!$E18,IF($C$3=5,Додаток!$F18,IF($C$3=6,Додаток!$H18,IF($C$3=7,Додаток!$I18,IF($C$3=8,Додаток!$J18,IF($C$3=9,Додаток!$K18,IF($C$3=10,Додаток!$L18))))))))))</f>
        <v>2002</v>
      </c>
      <c r="E18">
        <f xml:space="preserve"> IF($F$3=1, Додаток!B18, IF($F$3=2,Додаток!C18,IF($F$3=3,Додаток!D18,IF($F$3=4,Додаток!E18,IF($F$3=5,Додаток!F18,IF($F$3=6,Додаток!H18,IF($F$3=7,Додаток!I18,IF($F$3=8,Додаток!J18,IF($F$3=9,Додаток!K18,IF($F$3=10,Додаток!L18))))))))))</f>
        <v>0.56999999999999995</v>
      </c>
      <c r="H18">
        <f t="shared" si="0"/>
        <v>3</v>
      </c>
      <c r="I18">
        <f t="shared" si="1"/>
        <v>2</v>
      </c>
      <c r="J18">
        <v>13.5</v>
      </c>
      <c r="K18">
        <v>19.5</v>
      </c>
      <c r="L18">
        <f>COUNTIFS($J19:$J$34,"&gt;" &amp; J18,$K19:$K$34,"&gt;" &amp; K18)</f>
        <v>0</v>
      </c>
      <c r="M18">
        <f>COUNTIFS($J19:$J$34,"&gt;" &amp; J18,$K19:$K$34,"&lt;" &amp; K18)</f>
        <v>6</v>
      </c>
      <c r="O18">
        <f>COUNTIF(J19:$J$34, J18)</f>
        <v>0</v>
      </c>
      <c r="P18">
        <f>COUNTIF(K19:$K$34, K18)</f>
        <v>0</v>
      </c>
    </row>
    <row r="19" spans="2:16" x14ac:dyDescent="0.3">
      <c r="B19">
        <f xml:space="preserve"> IF($C$3=1, Додаток!$B19, IF($C$3=2,Додаток!$C19,IF($C$3=3,Додаток!$D19,IF($C$3=4,Додаток!$E19,IF($C$3=5,Додаток!$F19,IF($C$3=6,Додаток!$H19,IF($C$3=7,Додаток!$I19,IF($C$3=8,Додаток!$J19,IF($C$3=9,Додаток!$K19,IF($C$3=10,Додаток!$L19))))))))))</f>
        <v>1043</v>
      </c>
      <c r="E19">
        <f xml:space="preserve"> IF($F$3=1, Додаток!B19, IF($F$3=2,Додаток!C19,IF($F$3=3,Додаток!D19,IF($F$3=4,Додаток!E19,IF($F$3=5,Додаток!F19,IF($F$3=6,Додаток!H19,IF($F$3=7,Додаток!I19,IF($F$3=8,Додаток!J19,IF($F$3=9,Додаток!K19,IF($F$3=10,Додаток!L19))))))))))</f>
        <v>0.54</v>
      </c>
      <c r="H19">
        <f t="shared" si="0"/>
        <v>10</v>
      </c>
      <c r="I19">
        <f t="shared" si="1"/>
        <v>4</v>
      </c>
      <c r="J19">
        <v>15</v>
      </c>
      <c r="K19">
        <v>17</v>
      </c>
      <c r="L19">
        <f>COUNTIFS($J20:$J$34,"&gt;" &amp; J19,$K20:$K$34,"&gt;" &amp; K19)</f>
        <v>1</v>
      </c>
      <c r="M19">
        <f>COUNTIFS($J20:$J$34,"&gt;" &amp; J19,$K20:$K$34,"&lt;" &amp; K19)</f>
        <v>4</v>
      </c>
      <c r="O19">
        <f>COUNTIF(J20:$J$34, J19)</f>
        <v>0</v>
      </c>
      <c r="P19">
        <f>COUNTIF(K20:$K$34, K19)</f>
        <v>0</v>
      </c>
    </row>
    <row r="20" spans="2:16" x14ac:dyDescent="0.3">
      <c r="B20">
        <f xml:space="preserve"> IF($C$3=1, Додаток!$B20, IF($C$3=2,Додаток!$C20,IF($C$3=3,Додаток!$D20,IF($C$3=4,Додаток!$E20,IF($C$3=5,Додаток!$F20,IF($C$3=6,Додаток!$H20,IF($C$3=7,Додаток!$I20,IF($C$3=8,Додаток!$J20,IF($C$3=9,Додаток!$K20,IF($C$3=10,Додаток!$L20))))))))))</f>
        <v>830</v>
      </c>
      <c r="E20">
        <f xml:space="preserve"> IF($F$3=1, Додаток!B20, IF($F$3=2,Додаток!C20,IF($F$3=3,Додаток!D20,IF($F$3=4,Додаток!E20,IF($F$3=5,Додаток!F20,IF($F$3=6,Додаток!H20,IF($F$3=7,Додаток!I20,IF($F$3=8,Додаток!J20,IF($F$3=9,Додаток!K20,IF($F$3=10,Додаток!L20))))))))))</f>
        <v>0.39</v>
      </c>
      <c r="H20">
        <f t="shared" si="0"/>
        <v>13</v>
      </c>
      <c r="I20">
        <f t="shared" si="1"/>
        <v>11</v>
      </c>
      <c r="J20">
        <v>16</v>
      </c>
      <c r="K20">
        <v>14</v>
      </c>
      <c r="L20">
        <f>COUNTIFS($J21:$J$34,"&gt;" &amp; J20,$K21:$K$34,"&gt;" &amp; K20)</f>
        <v>1</v>
      </c>
      <c r="M20">
        <f>COUNTIFS($J21:$J$34,"&gt;" &amp; J20,$K21:$K$34,"&lt;" &amp; K20)</f>
        <v>3</v>
      </c>
      <c r="O20">
        <f>COUNTIF(J21:$J$34, J20)</f>
        <v>0</v>
      </c>
      <c r="P20">
        <f>COUNTIF(K21:$K$34, K20)</f>
        <v>0</v>
      </c>
    </row>
    <row r="21" spans="2:16" x14ac:dyDescent="0.3">
      <c r="B21">
        <f xml:space="preserve"> IF($C$3=1, Додаток!$B21, IF($C$3=2,Додаток!$C21,IF($C$3=3,Додаток!$D21,IF($C$3=4,Додаток!$E21,IF($C$3=5,Додаток!$F21,IF($C$3=6,Додаток!$H21,IF($C$3=7,Додаток!$I21,IF($C$3=8,Додаток!$J21,IF($C$3=9,Додаток!$K21,IF($C$3=10,Додаток!$L21))))))))))</f>
        <v>471</v>
      </c>
      <c r="E21">
        <f xml:space="preserve"> IF($F$3=1, Додаток!B21, IF($F$3=2,Додаток!C21,IF($F$3=3,Додаток!D21,IF($F$3=4,Додаток!E21,IF($F$3=5,Додаток!F21,IF($F$3=6,Додаток!H21,IF($F$3=7,Додаток!I21,IF($F$3=8,Додаток!J21,IF($F$3=9,Додаток!K21,IF($F$3=10,Додаток!L21))))))))))</f>
        <v>0.35</v>
      </c>
      <c r="H21">
        <f t="shared" si="0"/>
        <v>18</v>
      </c>
      <c r="I21">
        <f t="shared" si="1"/>
        <v>13</v>
      </c>
      <c r="J21">
        <v>17</v>
      </c>
      <c r="K21">
        <v>18</v>
      </c>
      <c r="L21">
        <f>COUNTIFS($J22:$J$34,"&gt;" &amp; J21,$K22:$K$34,"&gt;" &amp; K21)</f>
        <v>0</v>
      </c>
      <c r="M21">
        <f>COUNTIFS($J22:$J$34,"&gt;" &amp; J21,$K22:$K$34,"&lt;" &amp; K21)</f>
        <v>3</v>
      </c>
      <c r="O21">
        <f>COUNTIF(J22:$J$34, J21)</f>
        <v>0</v>
      </c>
      <c r="P21">
        <f>COUNTIF(K22:$K$34, K21)</f>
        <v>0</v>
      </c>
    </row>
    <row r="22" spans="2:16" x14ac:dyDescent="0.3">
      <c r="B22">
        <f xml:space="preserve"> IF($C$3=1, Додаток!$B22, IF($C$3=2,Додаток!$C22,IF($C$3=3,Додаток!$D22,IF($C$3=4,Додаток!$E22,IF($C$3=5,Додаток!$F22,IF($C$3=6,Додаток!$H22,IF($C$3=7,Додаток!$I22,IF($C$3=8,Додаток!$J22,IF($C$3=9,Додаток!$K22,IF($C$3=10,Додаток!$L22))))))))))</f>
        <v>662</v>
      </c>
      <c r="E22">
        <f xml:space="preserve"> IF($F$3=1, Додаток!B22, IF($F$3=2,Додаток!C22,IF($F$3=3,Додаток!D22,IF($F$3=4,Додаток!E22,IF($F$3=5,Додаток!F22,IF($F$3=6,Додаток!H22,IF($F$3=7,Додаток!I22,IF($F$3=8,Додаток!J22,IF($F$3=9,Додаток!K22,IF($F$3=10,Додаток!L22))))))))))</f>
        <v>0.54300000000000004</v>
      </c>
      <c r="H22">
        <f t="shared" si="0"/>
        <v>16</v>
      </c>
      <c r="I22">
        <f t="shared" si="1"/>
        <v>3</v>
      </c>
      <c r="J22">
        <v>18</v>
      </c>
      <c r="K22">
        <v>5</v>
      </c>
      <c r="L22">
        <f>COUNTIFS($J23:$J$34,"&gt;" &amp; J22,$K23:$K$34,"&gt;" &amp; K22)</f>
        <v>2</v>
      </c>
      <c r="M22">
        <f>COUNTIFS($J23:$J$34,"&gt;" &amp; J22,$K23:$K$34,"&lt;" &amp; K22)</f>
        <v>0</v>
      </c>
      <c r="O22">
        <f>COUNTIF(J23:$J$34, J22)</f>
        <v>0</v>
      </c>
      <c r="P22">
        <f>COUNTIF(K23:$K$34, K22)</f>
        <v>0</v>
      </c>
    </row>
    <row r="23" spans="2:16" x14ac:dyDescent="0.3">
      <c r="B23">
        <f xml:space="preserve"> IF($C$3=1, Додаток!$B23, IF($C$3=2,Додаток!$C23,IF($C$3=3,Додаток!$D23,IF($C$3=4,Додаток!$E23,IF($C$3=5,Додаток!$F23,IF($C$3=6,Додаток!$H23,IF($C$3=7,Додаток!$I23,IF($C$3=8,Додаток!$J23,IF($C$3=9,Додаток!$K23,IF($C$3=10,Додаток!$L23))))))))))</f>
        <v>157</v>
      </c>
      <c r="E23">
        <f xml:space="preserve"> IF($F$3=1, Додаток!B23, IF($F$3=2,Додаток!C23,IF($F$3=3,Додаток!D23,IF($F$3=4,Додаток!E23,IF($F$3=5,Додаток!F23,IF($F$3=6,Додаток!H23,IF($F$3=7,Додаток!I23,IF($F$3=8,Додаток!J23,IF($F$3=9,Додаток!K23,IF($F$3=10,Додаток!L23))))))))))</f>
        <v>0.53800000000000003</v>
      </c>
      <c r="H23">
        <f t="shared" si="0"/>
        <v>20</v>
      </c>
      <c r="I23">
        <f t="shared" si="1"/>
        <v>5</v>
      </c>
      <c r="J23">
        <v>19.5</v>
      </c>
      <c r="K23">
        <v>7</v>
      </c>
      <c r="L23">
        <f>COUNTIFS($J24:$J$34,"&gt;" &amp; J23,$K24:$K$34,"&gt;" &amp; K23)</f>
        <v>0</v>
      </c>
      <c r="M23">
        <f>COUNTIFS($J24:$J$34,"&gt;" &amp; J23,$K24:$K$34,"&lt;" &amp; K23)</f>
        <v>0</v>
      </c>
      <c r="O23">
        <f>COUNTIF(J24:$J$34, J23)</f>
        <v>1</v>
      </c>
      <c r="P23">
        <f>COUNTIF(K24:$K$34, K23)</f>
        <v>0</v>
      </c>
    </row>
    <row r="24" spans="2:16" x14ac:dyDescent="0.3">
      <c r="B24">
        <f xml:space="preserve"> IF($C$3=1, Додаток!$B24, IF($C$3=2,Додаток!$C24,IF($C$3=3,Додаток!$D24,IF($C$3=4,Додаток!$E24,IF($C$3=5,Додаток!$F24,IF($C$3=6,Додаток!$H24,IF($C$3=7,Додаток!$I24,IF($C$3=8,Додаток!$J24,IF($C$3=9,Додаток!$K24,IF($C$3=10,Додаток!$L24))))))))))</f>
        <v>568</v>
      </c>
      <c r="E24">
        <f xml:space="preserve"> IF($F$3=1, Додаток!B24, IF($F$3=2,Додаток!C24,IF($F$3=3,Додаток!D24,IF($F$3=4,Додаток!E24,IF($F$3=5,Додаток!F24,IF($F$3=6,Додаток!H24,IF($F$3=7,Додаток!I24,IF($F$3=8,Додаток!J24,IF($F$3=9,Додаток!K24,IF($F$3=10,Додаток!L24))))))))))</f>
        <v>0.48099999999999998</v>
      </c>
      <c r="H24">
        <f t="shared" si="0"/>
        <v>17</v>
      </c>
      <c r="I24">
        <f t="shared" si="1"/>
        <v>8</v>
      </c>
      <c r="J24">
        <v>19.5</v>
      </c>
      <c r="K24">
        <v>6</v>
      </c>
      <c r="L24">
        <f>COUNTIFS($J25:$J$34,"&gt;" &amp; J24,$K25:$K$34,"&gt;" &amp; K24)</f>
        <v>0</v>
      </c>
      <c r="M24">
        <f>COUNTIFS($J25:$J$34,"&gt;" &amp; J24,$K25:$K$34,"&lt;" &amp; K24)</f>
        <v>0</v>
      </c>
      <c r="O24">
        <f>COUNTIF(J25:$J$34, J24)</f>
        <v>0</v>
      </c>
      <c r="P24">
        <f>COUNTIF(K25:$K$34, K24)</f>
        <v>0</v>
      </c>
    </row>
    <row r="36" spans="11:16" x14ac:dyDescent="0.3">
      <c r="K36" t="s">
        <v>20</v>
      </c>
      <c r="L36">
        <f>SUM($L$5:$L$24)</f>
        <v>123</v>
      </c>
      <c r="M36">
        <f>SUM($M$5:$M$24)</f>
        <v>65</v>
      </c>
      <c r="O36">
        <f>SUM($O$5:$O$24)</f>
        <v>2</v>
      </c>
      <c r="P36">
        <f>SUM($P$5:$P$24)</f>
        <v>1</v>
      </c>
    </row>
  </sheetData>
  <sortState xmlns:xlrd2="http://schemas.microsoft.com/office/spreadsheetml/2017/richdata2" ref="J5:K24">
    <sortCondition ref="J5"/>
  </sortState>
  <mergeCells count="3">
    <mergeCell ref="H3:I3"/>
    <mergeCell ref="J3:K3"/>
    <mergeCell ref="B2:P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BA6A-2854-4B6C-A3CD-79AACB02B31C}">
  <dimension ref="B2:Z36"/>
  <sheetViews>
    <sheetView zoomScaleNormal="100" workbookViewId="0">
      <selection activeCell="B5" sqref="B5:B24"/>
    </sheetView>
  </sheetViews>
  <sheetFormatPr defaultRowHeight="14.4" x14ac:dyDescent="0.3"/>
  <cols>
    <col min="2" max="2" width="10.109375" customWidth="1"/>
    <col min="3" max="3" width="4.33203125" customWidth="1"/>
    <col min="4" max="4" width="4" customWidth="1"/>
    <col min="5" max="5" width="10" customWidth="1"/>
    <col min="6" max="6" width="3.77734375" customWidth="1"/>
    <col min="7" max="7" width="4.109375" customWidth="1"/>
    <col min="9" max="9" width="8.33203125" customWidth="1"/>
    <col min="10" max="10" width="4" customWidth="1"/>
    <col min="13" max="13" width="12" customWidth="1"/>
    <col min="14" max="14" width="4.33203125" customWidth="1"/>
    <col min="15" max="17" width="7.5546875" customWidth="1"/>
    <col min="18" max="18" width="13" customWidth="1"/>
    <col min="19" max="19" width="12.88671875" customWidth="1"/>
    <col min="20" max="20" width="6.6640625" customWidth="1"/>
    <col min="21" max="21" width="10.109375" customWidth="1"/>
    <col min="22" max="22" width="11.33203125" customWidth="1"/>
    <col min="23" max="23" width="12.77734375" customWidth="1"/>
    <col min="24" max="24" width="12.88671875" customWidth="1"/>
    <col min="25" max="25" width="11.88671875" customWidth="1"/>
    <col min="26" max="26" width="12.6640625" customWidth="1"/>
  </cols>
  <sheetData>
    <row r="2" spans="2:26" x14ac:dyDescent="0.3">
      <c r="B2" s="25" t="s">
        <v>21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4"/>
      <c r="T2" s="14"/>
      <c r="U2" s="14"/>
      <c r="V2" s="14"/>
      <c r="W2" s="14"/>
      <c r="X2" s="14"/>
      <c r="Y2" s="14"/>
    </row>
    <row r="3" spans="2:26" x14ac:dyDescent="0.3">
      <c r="B3" t="s">
        <v>23</v>
      </c>
      <c r="C3">
        <v>4</v>
      </c>
      <c r="E3" t="s">
        <v>24</v>
      </c>
      <c r="F3">
        <v>7</v>
      </c>
    </row>
    <row r="4" spans="2:26" x14ac:dyDescent="0.3">
      <c r="B4" s="8" t="str">
        <f xml:space="preserve"> IF($C$3=1, Додаток!$B4, IF($C$3=2,Додаток!$C4,IF($C$3=3,Додаток!$D4,IF($C$3=4,Додаток!$E4,IF($C$3=5,Додаток!$F4,IF($C$3=6,Додаток!$H4,IF($C$3=7,Додаток!$I4,IF($C$3=8,Додаток!$J4,IF($C$3=9,Додаток!$K4,IF($C$3=10,Додаток!$L4))))))))))</f>
        <v>FOUT</v>
      </c>
      <c r="E4" s="8" t="str">
        <f xml:space="preserve"> IF($F$3=1, Додаток!$B4, IF($F$3=2,Додаток!$C4,IF($F$3=3,Додаток!$D4,IF($F$3=4,Додаток!$E4,IF($F$3=5,Додаток!$F4,IF($F$3=6,Додаток!$H4,IF($F$3=7,Додаток!$I4,IF($F$3=8,Додаток!$J4,IF($F$3=9,Додаток!$K4,IF($F$3=10,Додаток!$L4))))))))))</f>
        <v>TCC</v>
      </c>
      <c r="H4" s="12"/>
      <c r="I4" s="12"/>
      <c r="K4" s="12"/>
      <c r="L4" s="12"/>
      <c r="M4" s="12"/>
      <c r="O4" s="12"/>
      <c r="P4" s="12"/>
      <c r="S4">
        <f>AVERAGE(B5:B24)</f>
        <v>85.75</v>
      </c>
      <c r="U4" s="13" t="s">
        <v>30</v>
      </c>
      <c r="V4" s="13" t="s">
        <v>34</v>
      </c>
      <c r="W4" s="13" t="s">
        <v>31</v>
      </c>
      <c r="X4" s="13" t="s">
        <v>34</v>
      </c>
      <c r="Y4" s="12" t="s">
        <v>32</v>
      </c>
      <c r="Z4" s="13" t="s">
        <v>34</v>
      </c>
    </row>
    <row r="5" spans="2:26" x14ac:dyDescent="0.3">
      <c r="B5">
        <f xml:space="preserve"> IF($C$3=1, Додаток!$B5, IF($C$3=2,Додаток!$C5,IF($C$3=3,Додаток!$D5,IF($C$3=4,Додаток!$E5,IF($C$3=5,Додаток!$F5,IF($C$3=6,Додаток!$H5,IF($C$3=7,Додаток!$I5,IF($C$3=8,Додаток!$J5,IF($C$3=9,Додаток!$K5,IF($C$3=10,Додаток!$L5))))))))))</f>
        <v>54</v>
      </c>
      <c r="E5">
        <f xml:space="preserve"> IF($F$3=1, Додаток!$B5, IF($F$3=2,Додаток!$C5,IF($F$3=3,Додаток!$D5,IF($F$3=4,Додаток!$E5,IF($F$3=5,Додаток!$F5,IF($F$3=6,Додаток!$H5,IF($F$3=7,Додаток!$I5,IF($F$3=8,Додаток!$J5,IF($F$3=9,Додаток!$K5,IF($F$3=10,Додаток!$L5))))))))))</f>
        <v>0.125</v>
      </c>
      <c r="H5">
        <f>LOG10(B5+0.1)</f>
        <v>1.7331972651065695</v>
      </c>
      <c r="I5">
        <f>LOG10(E5 + 0.1)</f>
        <v>-0.64781748188863753</v>
      </c>
      <c r="K5">
        <f>B5*E5</f>
        <v>6.75</v>
      </c>
      <c r="L5">
        <f t="shared" ref="L5:L24" si="0">B5*I5</f>
        <v>-34.982144021986429</v>
      </c>
      <c r="M5">
        <f t="shared" ref="M5:M24" si="1">H5*I5</f>
        <v>-1.1227954878976112</v>
      </c>
      <c r="O5">
        <f>B5*B5</f>
        <v>2916</v>
      </c>
      <c r="P5">
        <f>H5*H5</f>
        <v>3.0039727597728922</v>
      </c>
      <c r="S5">
        <f>AVERAGE(E5:E24)</f>
        <v>0.35244999999999999</v>
      </c>
      <c r="U5" s="6">
        <f t="shared" ref="U5:U24" si="2">$S$18*B5+$S$23</f>
        <v>0.32220700461089802</v>
      </c>
      <c r="V5" s="6">
        <f t="shared" ref="V5:V24" si="3">POWER(E5-U5,2)</f>
        <v>3.8890602667602754E-2</v>
      </c>
      <c r="W5" s="6">
        <f>POWER(10,$S$24)*POWER(10,$S$19*B5)</f>
        <v>0.35695790664129406</v>
      </c>
      <c r="X5" s="6">
        <f t="shared" ref="X5:X24" si="4">POWER(E5-W5,2)</f>
        <v>5.3804470453411295E-2</v>
      </c>
      <c r="Y5" s="6">
        <f>POWER(10,$S$25)*POWER(B5,$S$20)</f>
        <v>0.38322777309711342</v>
      </c>
      <c r="Z5" s="6">
        <f t="shared" ref="Z5:Z24" si="5">POWER(E5-Y5,2)</f>
        <v>6.6681582798694294E-2</v>
      </c>
    </row>
    <row r="6" spans="2:26" x14ac:dyDescent="0.3">
      <c r="B6">
        <f xml:space="preserve"> IF($C$3=1, Додаток!$B6, IF($C$3=2,Додаток!$C6,IF($C$3=3,Додаток!$D6,IF($C$3=4,Додаток!$E6,IF($C$3=5,Додаток!$F6,IF($C$3=6,Додаток!$H6,IF($C$3=7,Додаток!$I6,IF($C$3=8,Додаток!$J6,IF($C$3=9,Додаток!$K6,IF($C$3=10,Додаток!$L6))))))))))</f>
        <v>48</v>
      </c>
      <c r="E6">
        <f xml:space="preserve"> IF($F$3=1, Додаток!$B6, IF($F$3=2,Додаток!$C6,IF($F$3=3,Додаток!$D6,IF($F$3=4,Додаток!$E6,IF($F$3=5,Додаток!$F6,IF($F$3=6,Додаток!$H6,IF($F$3=7,Додаток!$I6,IF($F$3=8,Додаток!$J6,IF($F$3=9,Додаток!$K6,IF($F$3=10,Додаток!$L6))))))))))</f>
        <v>9.5000000000000001E-2</v>
      </c>
      <c r="H6">
        <f t="shared" ref="H6:H24" si="6">LOG10(B6+0.1)</f>
        <v>1.6821450763738317</v>
      </c>
      <c r="I6">
        <f t="shared" ref="I6:I24" si="7">LOG10(E6 + 0.1)</f>
        <v>-0.70996538863748193</v>
      </c>
      <c r="K6">
        <f t="shared" ref="K6:K24" si="8">B6*E6</f>
        <v>4.5600000000000005</v>
      </c>
      <c r="L6">
        <f t="shared" si="0"/>
        <v>-34.078338654599136</v>
      </c>
      <c r="M6">
        <f t="shared" si="1"/>
        <v>-1.1942647828923743</v>
      </c>
      <c r="O6">
        <f t="shared" ref="O6:O24" si="9">B6*B6</f>
        <v>2304</v>
      </c>
      <c r="P6">
        <f t="shared" ref="P6:P24" si="10">H6*H6</f>
        <v>2.8296120579687241</v>
      </c>
      <c r="R6" s="1"/>
      <c r="S6">
        <f>AVERAGE(H5:H24)</f>
        <v>1.7861655097934039</v>
      </c>
      <c r="U6" s="6">
        <f>$S$18*B6+$S$23</f>
        <v>0.31649179288382367</v>
      </c>
      <c r="V6" s="6">
        <f t="shared" si="3"/>
        <v>4.9058614314890642E-2</v>
      </c>
      <c r="W6" s="6">
        <f>POWER(10,$S$24)*POWER(10,$S$19*B6)</f>
        <v>0.35094933247689269</v>
      </c>
      <c r="X6" s="6">
        <f t="shared" si="4"/>
        <v>6.5510060795366948E-2</v>
      </c>
      <c r="Y6" s="6">
        <f t="shared" ref="Y6:Y24" si="11">POWER(10,$S$25)*POWER(B6,$S$20)</f>
        <v>0.37642789824845702</v>
      </c>
      <c r="Z6" s="6">
        <f t="shared" si="5"/>
        <v>7.9201661912543894E-2</v>
      </c>
    </row>
    <row r="7" spans="2:26" x14ac:dyDescent="0.3">
      <c r="B7">
        <f xml:space="preserve"> IF($C$3=1, Додаток!$B7, IF($C$3=2,Додаток!$C7,IF($C$3=3,Додаток!$D7,IF($C$3=4,Додаток!$E7,IF($C$3=5,Додаток!$F7,IF($C$3=6,Додаток!$H7,IF($C$3=7,Додаток!$I7,IF($C$3=8,Додаток!$J7,IF($C$3=9,Додаток!$K7,IF($C$3=10,Додаток!$L7))))))))))</f>
        <v>59</v>
      </c>
      <c r="E7">
        <f xml:space="preserve"> IF($F$3=1, Додаток!$B7, IF($F$3=2,Додаток!$C7,IF($F$3=3,Додаток!$D7,IF($F$3=4,Додаток!$E7,IF($F$3=5,Додаток!$F7,IF($F$3=6,Додаток!$H7,IF($F$3=7,Додаток!$I7,IF($F$3=8,Додаток!$J7,IF($F$3=9,Додаток!$K7,IF($F$3=10,Додаток!$L7))))))))))</f>
        <v>0.254</v>
      </c>
      <c r="H7">
        <f t="shared" si="6"/>
        <v>1.7715874808812553</v>
      </c>
      <c r="I7">
        <f t="shared" si="7"/>
        <v>-0.45099673797421219</v>
      </c>
      <c r="K7">
        <f t="shared" si="8"/>
        <v>14.986000000000001</v>
      </c>
      <c r="L7">
        <f t="shared" si="0"/>
        <v>-26.608807540478519</v>
      </c>
      <c r="M7">
        <f t="shared" si="1"/>
        <v>-0.79898017491339812</v>
      </c>
      <c r="O7">
        <f t="shared" si="9"/>
        <v>3481</v>
      </c>
      <c r="P7">
        <f t="shared" si="10"/>
        <v>3.1385222024151922</v>
      </c>
      <c r="S7">
        <f>AVERAGE(I5:I24)</f>
        <v>-0.40836972978538649</v>
      </c>
      <c r="U7" s="6">
        <f t="shared" si="2"/>
        <v>0.32696968105012669</v>
      </c>
      <c r="V7" s="6">
        <f t="shared" si="3"/>
        <v>5.3245743525572181E-3</v>
      </c>
      <c r="W7" s="6">
        <f t="shared" ref="W7:W24" si="12">POWER(10,$S$24)*POWER(10,$S$19*B7)</f>
        <v>0.36204356040725216</v>
      </c>
      <c r="X7" s="6">
        <f t="shared" si="4"/>
        <v>1.1673410945475547E-2</v>
      </c>
      <c r="Y7" s="6">
        <f t="shared" si="11"/>
        <v>0.38842092817557794</v>
      </c>
      <c r="Z7" s="6">
        <f t="shared" si="5"/>
        <v>1.8068985931583882E-2</v>
      </c>
    </row>
    <row r="8" spans="2:26" x14ac:dyDescent="0.3">
      <c r="B8">
        <f xml:space="preserve"> IF($C$3=1, Додаток!$B8, IF($C$3=2,Додаток!$C8,IF($C$3=3,Додаток!$D8,IF($C$3=4,Додаток!$E8,IF($C$3=5,Додаток!$F8,IF($C$3=6,Додаток!$H8,IF($C$3=7,Додаток!$I8,IF($C$3=8,Додаток!$J8,IF($C$3=9,Додаток!$K8,IF($C$3=10,Додаток!$L8))))))))))</f>
        <v>26</v>
      </c>
      <c r="E8">
        <f xml:space="preserve"> IF($F$3=1, Додаток!$B8, IF($F$3=2,Додаток!$C8,IF($F$3=3,Додаток!$D8,IF($F$3=4,Додаток!$E8,IF($F$3=5,Додаток!$F8,IF($F$3=6,Додаток!$H8,IF($F$3=7,Додаток!$I8,IF($F$3=8,Додаток!$J8,IF($F$3=9,Додаток!$K8,IF($F$3=10,Додаток!$L8))))))))))</f>
        <v>0.28299999999999997</v>
      </c>
      <c r="H8">
        <f t="shared" si="6"/>
        <v>1.4166405073382811</v>
      </c>
      <c r="I8">
        <f t="shared" si="7"/>
        <v>-0.41680122603137726</v>
      </c>
      <c r="K8">
        <f t="shared" si="8"/>
        <v>7.3579999999999997</v>
      </c>
      <c r="L8">
        <f t="shared" si="0"/>
        <v>-10.836831876815809</v>
      </c>
      <c r="M8">
        <f t="shared" si="1"/>
        <v>-0.59045750030430788</v>
      </c>
      <c r="O8">
        <f t="shared" si="9"/>
        <v>676</v>
      </c>
      <c r="P8">
        <f t="shared" si="10"/>
        <v>2.0068703270316623</v>
      </c>
      <c r="U8" s="6">
        <f t="shared" si="2"/>
        <v>0.29553601655121758</v>
      </c>
      <c r="V8" s="6">
        <f>POWER(E8-U8,2)</f>
        <v>1.5715171097240187E-4</v>
      </c>
      <c r="W8" s="6">
        <f t="shared" si="12"/>
        <v>0.32977035193464138</v>
      </c>
      <c r="X8" s="6">
        <f t="shared" si="4"/>
        <v>2.1874658200902153E-3</v>
      </c>
      <c r="Y8" s="6">
        <f t="shared" si="11"/>
        <v>0.34293289019858902</v>
      </c>
      <c r="Z8" s="6">
        <f t="shared" si="5"/>
        <v>3.5919513275561314E-3</v>
      </c>
    </row>
    <row r="9" spans="2:26" x14ac:dyDescent="0.3">
      <c r="B9">
        <f xml:space="preserve"> IF($C$3=1, Додаток!$B9, IF($C$3=2,Додаток!$C9,IF($C$3=3,Додаток!$D9,IF($C$3=4,Додаток!$E9,IF($C$3=5,Додаток!$F9,IF($C$3=6,Додаток!$H9,IF($C$3=7,Додаток!$I9,IF($C$3=8,Додаток!$J9,IF($C$3=9,Додаток!$K9,IF($C$3=10,Додаток!$L9))))))))))</f>
        <v>53</v>
      </c>
      <c r="E9">
        <f xml:space="preserve"> IF($F$3=1, Додаток!$B9, IF($F$3=2,Додаток!$C9,IF($F$3=3,Додаток!$D9,IF($F$3=4,Додаток!$E9,IF($F$3=5,Додаток!$F9,IF($F$3=6,Додаток!$H9,IF($F$3=7,Додаток!$I9,IF($F$3=8,Додаток!$J9,IF($F$3=9,Додаток!$K9,IF($F$3=10,Додаток!$L9))))))))))</f>
        <v>0</v>
      </c>
      <c r="H9">
        <f t="shared" si="6"/>
        <v>1.725094521081469</v>
      </c>
      <c r="I9">
        <f t="shared" si="7"/>
        <v>-1</v>
      </c>
      <c r="K9">
        <f t="shared" si="8"/>
        <v>0</v>
      </c>
      <c r="L9">
        <f t="shared" si="0"/>
        <v>-53</v>
      </c>
      <c r="M9">
        <f t="shared" si="1"/>
        <v>-1.725094521081469</v>
      </c>
      <c r="O9">
        <f t="shared" si="9"/>
        <v>2809</v>
      </c>
      <c r="P9">
        <f t="shared" si="10"/>
        <v>2.975951106665303</v>
      </c>
      <c r="U9" s="6">
        <f t="shared" si="2"/>
        <v>0.32125446932305229</v>
      </c>
      <c r="V9" s="6">
        <f t="shared" si="3"/>
        <v>0.10320443406003595</v>
      </c>
      <c r="W9" s="6">
        <f t="shared" si="12"/>
        <v>0.35594938083319699</v>
      </c>
      <c r="X9" s="6">
        <f t="shared" si="4"/>
        <v>0.1266999617155363</v>
      </c>
      <c r="Y9" s="6">
        <f t="shared" si="11"/>
        <v>0.3821404915617771</v>
      </c>
      <c r="Z9" s="6">
        <f t="shared" si="5"/>
        <v>0.14603135529107664</v>
      </c>
    </row>
    <row r="10" spans="2:26" x14ac:dyDescent="0.3">
      <c r="B10">
        <f xml:space="preserve"> IF($C$3=1, Додаток!$B10, IF($C$3=2,Додаток!$C10,IF($C$3=3,Додаток!$D10,IF($C$3=4,Додаток!$E10,IF($C$3=5,Додаток!$F10,IF($C$3=6,Додаток!$H10,IF($C$3=7,Додаток!$I10,IF($C$3=8,Додаток!$J10,IF($C$3=9,Додаток!$K10,IF($C$3=10,Додаток!$L10))))))))))</f>
        <v>24</v>
      </c>
      <c r="E10">
        <f xml:space="preserve"> IF($F$3=1, Додаток!$B10, IF($F$3=2,Додаток!$C10,IF($F$3=3,Додаток!$D10,IF($F$3=4,Додаток!$E10,IF($F$3=5,Додаток!$F10,IF($F$3=6,Додаток!$H10,IF($F$3=7,Додаток!$I10,IF($F$3=8,Додаток!$J10,IF($F$3=9,Додаток!$K10,IF($F$3=10,Додаток!$L10))))))))))</f>
        <v>5.2999999999999999E-2</v>
      </c>
      <c r="H10">
        <f t="shared" si="6"/>
        <v>1.3820170425748683</v>
      </c>
      <c r="I10">
        <f t="shared" si="7"/>
        <v>-0.81530856918240124</v>
      </c>
      <c r="K10">
        <f t="shared" si="8"/>
        <v>1.272</v>
      </c>
      <c r="L10">
        <f t="shared" si="0"/>
        <v>-19.567405660377631</v>
      </c>
      <c r="M10">
        <f t="shared" si="1"/>
        <v>-1.1267703375674096</v>
      </c>
      <c r="O10">
        <f t="shared" si="9"/>
        <v>576</v>
      </c>
      <c r="P10">
        <f t="shared" si="10"/>
        <v>1.9099711059673854</v>
      </c>
      <c r="R10" t="s">
        <v>36</v>
      </c>
      <c r="S10" s="6">
        <f>SUM($K$5:$K$24) - 20*S4*S5</f>
        <v>101.17425000000014</v>
      </c>
      <c r="U10" s="6">
        <f t="shared" si="2"/>
        <v>0.29363094597552614</v>
      </c>
      <c r="V10" s="6">
        <f t="shared" si="3"/>
        <v>5.7903252161076585E-2</v>
      </c>
      <c r="W10" s="6">
        <f t="shared" si="12"/>
        <v>0.32790956063813081</v>
      </c>
      <c r="X10" s="6">
        <f t="shared" si="4"/>
        <v>7.5575266530250124E-2</v>
      </c>
      <c r="Y10" s="6">
        <f t="shared" si="11"/>
        <v>0.33878588422995154</v>
      </c>
      <c r="Z10" s="6">
        <f t="shared" si="5"/>
        <v>8.1673571625095268E-2</v>
      </c>
    </row>
    <row r="11" spans="2:26" x14ac:dyDescent="0.3">
      <c r="B11">
        <f xml:space="preserve"> IF($C$3=1, Додаток!$B11, IF($C$3=2,Додаток!$C11,IF($C$3=3,Додаток!$D11,IF($C$3=4,Додаток!$E11,IF($C$3=5,Додаток!$F11,IF($C$3=6,Додаток!$H11,IF($C$3=7,Додаток!$I11,IF($C$3=8,Додаток!$J11,IF($C$3=9,Додаток!$K11,IF($C$3=10,Додаток!$L11))))))))))</f>
        <v>53</v>
      </c>
      <c r="E11">
        <f xml:space="preserve"> IF($F$3=1, Додаток!$B11, IF($F$3=2,Додаток!$C11,IF($F$3=3,Додаток!$D11,IF($F$3=4,Додаток!$E11,IF($F$3=5,Додаток!$F11,IF($F$3=6,Додаток!$H11,IF($F$3=7,Додаток!$I11,IF($F$3=8,Додаток!$J11,IF($F$3=9,Додаток!$K11,IF($F$3=10,Додаток!$L11))))))))))</f>
        <v>0</v>
      </c>
      <c r="H11">
        <f t="shared" si="6"/>
        <v>1.725094521081469</v>
      </c>
      <c r="I11">
        <f t="shared" si="7"/>
        <v>-1</v>
      </c>
      <c r="K11">
        <f t="shared" si="8"/>
        <v>0</v>
      </c>
      <c r="L11">
        <f t="shared" si="0"/>
        <v>-53</v>
      </c>
      <c r="M11">
        <f t="shared" si="1"/>
        <v>-1.725094521081469</v>
      </c>
      <c r="O11">
        <f t="shared" si="9"/>
        <v>2809</v>
      </c>
      <c r="P11">
        <f t="shared" si="10"/>
        <v>2.975951106665303</v>
      </c>
      <c r="R11" t="s">
        <v>38</v>
      </c>
      <c r="S11" s="6">
        <f>SUM($L$5:$L$24) - 20*S4*S7</f>
        <v>130.51411379225647</v>
      </c>
      <c r="U11" s="6">
        <f t="shared" si="2"/>
        <v>0.32125446932305229</v>
      </c>
      <c r="V11" s="6">
        <f t="shared" si="3"/>
        <v>0.10320443406003595</v>
      </c>
      <c r="W11" s="6">
        <f t="shared" si="12"/>
        <v>0.35594938083319699</v>
      </c>
      <c r="X11" s="6">
        <f t="shared" si="4"/>
        <v>0.1266999617155363</v>
      </c>
      <c r="Y11" s="6">
        <f t="shared" si="11"/>
        <v>0.3821404915617771</v>
      </c>
      <c r="Z11" s="6">
        <f t="shared" si="5"/>
        <v>0.14603135529107664</v>
      </c>
    </row>
    <row r="12" spans="2:26" x14ac:dyDescent="0.3">
      <c r="B12">
        <f xml:space="preserve"> IF($C$3=1, Додаток!$B12, IF($C$3=2,Додаток!$C12,IF($C$3=3,Додаток!$D12,IF($C$3=4,Додаток!$E12,IF($C$3=5,Додаток!$F12,IF($C$3=6,Додаток!$H12,IF($C$3=7,Додаток!$I12,IF($C$3=8,Додаток!$J12,IF($C$3=9,Додаток!$K12,IF($C$3=10,Додаток!$L12))))))))))</f>
        <v>13</v>
      </c>
      <c r="E12">
        <f xml:space="preserve"> IF($F$3=1, Додаток!$B12, IF($F$3=2,Додаток!$C12,IF($F$3=3,Додаток!$D12,IF($F$3=4,Додаток!$E12,IF($F$3=5,Додаток!$F12,IF($F$3=6,Додаток!$H12,IF($F$3=7,Додаток!$I12,IF($F$3=8,Додаток!$J12,IF($F$3=9,Додаток!$K12,IF($F$3=10,Додаток!$L12))))))))))</f>
        <v>0.48199999999999998</v>
      </c>
      <c r="H12">
        <f t="shared" si="6"/>
        <v>1.1172712956557642</v>
      </c>
      <c r="I12">
        <f t="shared" si="7"/>
        <v>-0.23507701535011155</v>
      </c>
      <c r="K12">
        <f t="shared" si="8"/>
        <v>6.266</v>
      </c>
      <c r="L12">
        <f t="shared" si="0"/>
        <v>-3.0560011995514502</v>
      </c>
      <c r="M12">
        <f t="shared" si="1"/>
        <v>-0.26264480151910913</v>
      </c>
      <c r="O12">
        <f t="shared" si="9"/>
        <v>169</v>
      </c>
      <c r="P12">
        <f t="shared" si="10"/>
        <v>1.24829514809631</v>
      </c>
      <c r="R12" t="s">
        <v>39</v>
      </c>
      <c r="S12" s="6">
        <f>SUM($M5:$M$24) - 20*S6*S7</f>
        <v>0.41537661098288581</v>
      </c>
      <c r="U12" s="6">
        <f t="shared" si="2"/>
        <v>0.28315305780922312</v>
      </c>
      <c r="V12" s="6">
        <f t="shared" si="3"/>
        <v>3.9540106418622156E-2</v>
      </c>
      <c r="W12" s="6">
        <f t="shared" si="12"/>
        <v>0.31786131284670127</v>
      </c>
      <c r="X12" s="6">
        <f t="shared" si="4"/>
        <v>2.6941508620408467E-2</v>
      </c>
      <c r="Y12" s="6">
        <f t="shared" si="11"/>
        <v>0.30864030795288727</v>
      </c>
      <c r="Z12" s="6">
        <f t="shared" si="5"/>
        <v>3.0053582826669756E-2</v>
      </c>
    </row>
    <row r="13" spans="2:26" x14ac:dyDescent="0.3">
      <c r="B13">
        <f xml:space="preserve"> IF($C$3=1, Додаток!$B13, IF($C$3=2,Додаток!$C13,IF($C$3=3,Додаток!$D13,IF($C$3=4,Додаток!$E13,IF($C$3=5,Додаток!$F13,IF($C$3=6,Додаток!$H13,IF($C$3=7,Додаток!$I13,IF($C$3=8,Додаток!$J13,IF($C$3=9,Додаток!$K13,IF($C$3=10,Додаток!$L13))))))))))</f>
        <v>13</v>
      </c>
      <c r="E13">
        <f xml:space="preserve"> IF($F$3=1, Додаток!$B13, IF($F$3=2,Додаток!$C13,IF($F$3=3,Додаток!$D13,IF($F$3=4,Додаток!$E13,IF($F$3=5,Додаток!$F13,IF($F$3=6,Додаток!$H13,IF($F$3=7,Додаток!$I13,IF($F$3=8,Додаток!$J13,IF($F$3=9,Додаток!$K13,IF($F$3=10,Додаток!$L13))))))))))</f>
        <v>0.52900000000000003</v>
      </c>
      <c r="H13">
        <f t="shared" si="6"/>
        <v>1.1172712956557642</v>
      </c>
      <c r="I13">
        <f t="shared" si="7"/>
        <v>-0.20134935455473107</v>
      </c>
      <c r="K13">
        <f t="shared" si="8"/>
        <v>6.8770000000000007</v>
      </c>
      <c r="L13">
        <f t="shared" si="0"/>
        <v>-2.617541609211504</v>
      </c>
      <c r="M13">
        <f t="shared" si="1"/>
        <v>-0.22496185424281623</v>
      </c>
      <c r="O13">
        <f t="shared" si="9"/>
        <v>169</v>
      </c>
      <c r="P13">
        <f t="shared" si="10"/>
        <v>1.24829514809631</v>
      </c>
      <c r="U13" s="6">
        <f t="shared" si="2"/>
        <v>0.28315305780922312</v>
      </c>
      <c r="V13" s="6">
        <f t="shared" si="3"/>
        <v>6.0440718984555206E-2</v>
      </c>
      <c r="W13" s="6">
        <f t="shared" si="12"/>
        <v>0.31786131284670127</v>
      </c>
      <c r="X13" s="6">
        <f t="shared" si="4"/>
        <v>4.4579545212818567E-2</v>
      </c>
      <c r="Y13" s="6">
        <f t="shared" si="11"/>
        <v>0.30864030795288727</v>
      </c>
      <c r="Z13" s="6">
        <f t="shared" si="5"/>
        <v>4.8558393879098369E-2</v>
      </c>
    </row>
    <row r="14" spans="2:26" x14ac:dyDescent="0.3">
      <c r="B14">
        <f xml:space="preserve"> IF($C$3=1, Додаток!$B14, IF($C$3=2,Додаток!$C14,IF($C$3=3,Додаток!$D14,IF($C$3=4,Додаток!$E14,IF($C$3=5,Додаток!$F14,IF($C$3=6,Додаток!$H14,IF($C$3=7,Додаток!$I14,IF($C$3=8,Додаток!$J14,IF($C$3=9,Додаток!$K14,IF($C$3=10,Додаток!$L14))))))))))</f>
        <v>73</v>
      </c>
      <c r="E14">
        <f xml:space="preserve"> IF($F$3=1, Додаток!$B14, IF($F$3=2,Додаток!$C14,IF($F$3=3,Додаток!$D14,IF($F$3=4,Додаток!$E14,IF($F$3=5,Додаток!$F14,IF($F$3=6,Додаток!$H14,IF($F$3=7,Додаток!$I14,IF($F$3=8,Додаток!$J14,IF($F$3=9,Додаток!$K14,IF($F$3=10,Додаток!$L14))))))))))</f>
        <v>0.38600000000000001</v>
      </c>
      <c r="H14">
        <f t="shared" si="6"/>
        <v>1.8639173769578605</v>
      </c>
      <c r="I14">
        <f t="shared" si="7"/>
        <v>-0.31336373073770663</v>
      </c>
      <c r="K14">
        <f t="shared" si="8"/>
        <v>28.178000000000001</v>
      </c>
      <c r="L14">
        <f t="shared" si="0"/>
        <v>-22.875552343852583</v>
      </c>
      <c r="M14">
        <f t="shared" si="1"/>
        <v>-0.58408410303035541</v>
      </c>
      <c r="O14">
        <f t="shared" si="9"/>
        <v>5329</v>
      </c>
      <c r="P14">
        <f t="shared" si="10"/>
        <v>3.4741879881254714</v>
      </c>
      <c r="R14" t="s">
        <v>37</v>
      </c>
      <c r="S14">
        <f>SUM($O5:$O24) - 20*S4*S4</f>
        <v>106215.75</v>
      </c>
      <c r="U14" s="6">
        <f t="shared" si="2"/>
        <v>0.34030517507996694</v>
      </c>
      <c r="V14" s="6">
        <f t="shared" si="3"/>
        <v>2.0880170244724754E-3</v>
      </c>
      <c r="W14" s="6">
        <f t="shared" si="12"/>
        <v>0.37667216333010295</v>
      </c>
      <c r="X14" s="6">
        <f t="shared" si="4"/>
        <v>8.700853694027629E-5</v>
      </c>
      <c r="Y14" s="6">
        <f t="shared" si="11"/>
        <v>0.40119745669457424</v>
      </c>
      <c r="Z14" s="6">
        <f t="shared" si="5"/>
        <v>2.3096268998345907E-4</v>
      </c>
    </row>
    <row r="15" spans="2:26" x14ac:dyDescent="0.3">
      <c r="B15">
        <f xml:space="preserve"> IF($C$3=1, Додаток!$B15, IF($C$3=2,Додаток!$C15,IF($C$3=3,Додаток!$D15,IF($C$3=4,Додаток!$E15,IF($C$3=5,Додаток!$F15,IF($C$3=6,Додаток!$H15,IF($C$3=7,Додаток!$I15,IF($C$3=8,Додаток!$J15,IF($C$3=9,Додаток!$K15,IF($C$3=10,Додаток!$L15))))))))))</f>
        <v>93</v>
      </c>
      <c r="E15">
        <f xml:space="preserve"> IF($F$3=1, Додаток!$B15, IF($F$3=2,Додаток!$C15,IF($F$3=3,Додаток!$D15,IF($F$3=4,Додаток!$E15,IF($F$3=5,Додаток!$F15,IF($F$3=6,Додаток!$H15,IF($F$3=7,Додаток!$I15,IF($F$3=8,Додаток!$J15,IF($F$3=9,Додаток!$K15,IF($F$3=10,Додаток!$L15))))))))))</f>
        <v>0.45</v>
      </c>
      <c r="H15">
        <f t="shared" si="6"/>
        <v>1.9689496809813425</v>
      </c>
      <c r="I15">
        <f t="shared" si="7"/>
        <v>-0.25963731050575611</v>
      </c>
      <c r="K15">
        <f t="shared" si="8"/>
        <v>41.85</v>
      </c>
      <c r="L15">
        <f t="shared" si="0"/>
        <v>-24.146269877035319</v>
      </c>
      <c r="M15">
        <f t="shared" si="1"/>
        <v>-0.51121279969116229</v>
      </c>
      <c r="O15">
        <f t="shared" si="9"/>
        <v>8649</v>
      </c>
      <c r="P15">
        <f t="shared" si="10"/>
        <v>3.8767628462365304</v>
      </c>
      <c r="R15" t="s">
        <v>40</v>
      </c>
      <c r="S15" s="6">
        <f>SUM($P$5:$P$24) - 20*S6*S6</f>
        <v>2.7327446421507702</v>
      </c>
      <c r="U15" s="6">
        <f t="shared" si="2"/>
        <v>0.35935588083688152</v>
      </c>
      <c r="V15" s="6">
        <f t="shared" si="3"/>
        <v>8.2163563388576236E-3</v>
      </c>
      <c r="W15" s="6">
        <f t="shared" si="12"/>
        <v>0.39860139184865634</v>
      </c>
      <c r="X15" s="6">
        <f t="shared" si="4"/>
        <v>2.6418169198953721E-3</v>
      </c>
      <c r="Y15" s="6">
        <f t="shared" si="11"/>
        <v>0.41623872498761139</v>
      </c>
      <c r="Z15" s="6">
        <f t="shared" si="5"/>
        <v>1.1398236904621366E-3</v>
      </c>
    </row>
    <row r="16" spans="2:26" x14ac:dyDescent="0.3">
      <c r="B16">
        <f xml:space="preserve"> IF($C$3=1, Додаток!$B16, IF($C$3=2,Додаток!$C16,IF($C$3=3,Додаток!$D16,IF($C$3=4,Додаток!$E16,IF($C$3=5,Додаток!$F16,IF($C$3=6,Додаток!$H16,IF($C$3=7,Додаток!$I16,IF($C$3=8,Додаток!$J16,IF($C$3=9,Додаток!$K16,IF($C$3=10,Додаток!$L16))))))))))</f>
        <v>170</v>
      </c>
      <c r="E16">
        <f xml:space="preserve"> IF($F$3=1, Додаток!$B16, IF($F$3=2,Додаток!$C16,IF($F$3=3,Додаток!$D16,IF($F$3=4,Додаток!$E16,IF($F$3=5,Додаток!$F16,IF($F$3=6,Додаток!$H16,IF($F$3=7,Додаток!$I16,IF($F$3=8,Додаток!$J16,IF($F$3=9,Додаток!$K16,IF($F$3=10,Додаток!$L16))))))))))</f>
        <v>0.58599999999999997</v>
      </c>
      <c r="H16">
        <f t="shared" si="6"/>
        <v>2.230704313612569</v>
      </c>
      <c r="I16">
        <f t="shared" si="7"/>
        <v>-0.16367588429324834</v>
      </c>
      <c r="K16">
        <f t="shared" si="8"/>
        <v>99.61999999999999</v>
      </c>
      <c r="L16">
        <f t="shared" si="0"/>
        <v>-27.824900329852216</v>
      </c>
      <c r="M16">
        <f t="shared" si="1"/>
        <v>-0.36511250112730081</v>
      </c>
      <c r="O16">
        <f t="shared" si="9"/>
        <v>28900</v>
      </c>
      <c r="P16">
        <f t="shared" si="10"/>
        <v>4.9760417347697228</v>
      </c>
      <c r="U16" s="6">
        <f t="shared" si="2"/>
        <v>0.43270109800100276</v>
      </c>
      <c r="V16" s="6">
        <f t="shared" si="3"/>
        <v>2.3500553354098151E-2</v>
      </c>
      <c r="W16" s="6">
        <f t="shared" si="12"/>
        <v>0.49562551532596677</v>
      </c>
      <c r="X16" s="6">
        <f t="shared" si="4"/>
        <v>8.1675474800970618E-3</v>
      </c>
      <c r="Y16" s="6">
        <f t="shared" si="11"/>
        <v>0.45620627580234874</v>
      </c>
      <c r="Z16" s="6">
        <f t="shared" si="5"/>
        <v>1.6846410841095952E-2</v>
      </c>
    </row>
    <row r="17" spans="2:26" x14ac:dyDescent="0.3">
      <c r="B17">
        <f xml:space="preserve"> IF($C$3=1, Додаток!$B17, IF($C$3=2,Додаток!$C17,IF($C$3=3,Додаток!$D17,IF($C$3=4,Додаток!$E17,IF($C$3=5,Додаток!$F17,IF($C$3=6,Додаток!$H17,IF($C$3=7,Додаток!$I17,IF($C$3=8,Додаток!$J17,IF($C$3=9,Додаток!$K17,IF($C$3=10,Додаток!$L17))))))))))</f>
        <v>267</v>
      </c>
      <c r="E17">
        <f xml:space="preserve"> IF($F$3=1, Додаток!$B17, IF($F$3=2,Додаток!$C17,IF($F$3=3,Додаток!$D17,IF($F$3=4,Додаток!$E17,IF($F$3=5,Додаток!$F17,IF($F$3=6,Додаток!$H17,IF($F$3=7,Додаток!$I17,IF($F$3=8,Додаток!$J17,IF($F$3=9,Додаток!$K17,IF($F$3=10,Додаток!$L17))))))))))</f>
        <v>0.39400000000000002</v>
      </c>
      <c r="H17">
        <f t="shared" si="6"/>
        <v>2.426673888021373</v>
      </c>
      <c r="I17">
        <f t="shared" si="7"/>
        <v>-0.30627305107635305</v>
      </c>
      <c r="K17">
        <f t="shared" si="8"/>
        <v>105.19800000000001</v>
      </c>
      <c r="L17">
        <f t="shared" si="0"/>
        <v>-81.774904637386271</v>
      </c>
      <c r="M17">
        <f t="shared" si="1"/>
        <v>-0.74322481565162224</v>
      </c>
      <c r="O17">
        <f t="shared" si="9"/>
        <v>71289</v>
      </c>
      <c r="P17">
        <f t="shared" si="10"/>
        <v>5.8887461588047669</v>
      </c>
      <c r="R17" t="s">
        <v>25</v>
      </c>
      <c r="U17" s="6">
        <f t="shared" si="2"/>
        <v>0.52509702092203869</v>
      </c>
      <c r="V17" s="6">
        <f t="shared" si="3"/>
        <v>1.7186428894633447E-2</v>
      </c>
      <c r="W17" s="6">
        <f t="shared" si="12"/>
        <v>0.65214442519569826</v>
      </c>
      <c r="X17" s="6">
        <f t="shared" si="4"/>
        <v>6.6638544259617447E-2</v>
      </c>
      <c r="Y17" s="6">
        <f t="shared" si="11"/>
        <v>0.48861038107199201</v>
      </c>
      <c r="Z17" s="6">
        <f t="shared" si="5"/>
        <v>8.95112420658754E-3</v>
      </c>
    </row>
    <row r="18" spans="2:26" x14ac:dyDescent="0.3">
      <c r="B18">
        <f xml:space="preserve"> IF($C$3=1, Додаток!$B18, IF($C$3=2,Додаток!$C18,IF($C$3=3,Додаток!$D18,IF($C$3=4,Додаток!$E18,IF($C$3=5,Додаток!$F18,IF($C$3=6,Додаток!$H18,IF($C$3=7,Додаток!$I18,IF($C$3=8,Додаток!$J18,IF($C$3=9,Додаток!$K18,IF($C$3=10,Додаток!$L18))))))))))</f>
        <v>271</v>
      </c>
      <c r="E18">
        <f xml:space="preserve"> IF($F$3=1, Додаток!$B18, IF($F$3=2,Додаток!$C18,IF($F$3=3,Додаток!$D18,IF($F$3=4,Додаток!$E18,IF($F$3=5,Додаток!$F18,IF($F$3=6,Додаток!$H18,IF($F$3=7,Додаток!$I18,IF($F$3=8,Додаток!$J18,IF($F$3=9,Додаток!$K18,IF($F$3=10,Додаток!$L18))))))))))</f>
        <v>0.56999999999999995</v>
      </c>
      <c r="H18">
        <f t="shared" si="6"/>
        <v>2.4331295175804857</v>
      </c>
      <c r="I18">
        <f t="shared" si="7"/>
        <v>-0.17392519729917361</v>
      </c>
      <c r="K18">
        <f t="shared" si="8"/>
        <v>154.47</v>
      </c>
      <c r="L18">
        <f t="shared" si="0"/>
        <v>-47.13372846807605</v>
      </c>
      <c r="M18">
        <f t="shared" si="1"/>
        <v>-0.42318253139962908</v>
      </c>
      <c r="O18">
        <f t="shared" si="9"/>
        <v>73441</v>
      </c>
      <c r="P18">
        <f t="shared" si="10"/>
        <v>5.9201192493214467</v>
      </c>
      <c r="R18" t="s">
        <v>26</v>
      </c>
      <c r="S18" s="6">
        <f>S10/S14</f>
        <v>9.5253528784573045E-4</v>
      </c>
      <c r="U18" s="6">
        <f t="shared" si="2"/>
        <v>0.52890716207342159</v>
      </c>
      <c r="V18" s="6">
        <f t="shared" si="3"/>
        <v>1.688621328860037E-3</v>
      </c>
      <c r="W18" s="6">
        <f t="shared" si="12"/>
        <v>0.65956688528481699</v>
      </c>
      <c r="X18" s="6">
        <f t="shared" si="4"/>
        <v>8.0222269396235755E-3</v>
      </c>
      <c r="Y18" s="6">
        <f t="shared" si="11"/>
        <v>0.48971601738199477</v>
      </c>
      <c r="Z18" s="6">
        <f t="shared" si="5"/>
        <v>6.4455178650081576E-3</v>
      </c>
    </row>
    <row r="19" spans="2:26" x14ac:dyDescent="0.3">
      <c r="B19">
        <f xml:space="preserve"> IF($C$3=1, Додаток!$B19, IF($C$3=2,Додаток!$C19,IF($C$3=3,Додаток!$D19,IF($C$3=4,Додаток!$E19,IF($C$3=5,Додаток!$F19,IF($C$3=6,Додаток!$H19,IF($C$3=7,Додаток!$I19,IF($C$3=8,Додаток!$J19,IF($C$3=9,Додаток!$K19,IF($C$3=10,Додаток!$L19))))))))))</f>
        <v>81</v>
      </c>
      <c r="E19">
        <f xml:space="preserve"> IF($F$3=1, Додаток!$B19, IF($F$3=2,Додаток!$C19,IF($F$3=3,Додаток!$D19,IF($F$3=4,Додаток!$E19,IF($F$3=5,Додаток!$F19,IF($F$3=6,Додаток!$H19,IF($F$3=7,Додаток!$I19,IF($F$3=8,Додаток!$J19,IF($F$3=9,Додаток!$K19,IF($F$3=10,Додаток!$L19))))))))))</f>
        <v>0.54</v>
      </c>
      <c r="H19">
        <f t="shared" si="6"/>
        <v>1.909020854211156</v>
      </c>
      <c r="I19">
        <f t="shared" si="7"/>
        <v>-0.19382002601611281</v>
      </c>
      <c r="K19">
        <f t="shared" si="8"/>
        <v>43.74</v>
      </c>
      <c r="L19">
        <f t="shared" si="0"/>
        <v>-15.699422107305137</v>
      </c>
      <c r="M19">
        <f t="shared" si="1"/>
        <v>-0.37000647162850814</v>
      </c>
      <c r="O19">
        <f t="shared" si="9"/>
        <v>6561</v>
      </c>
      <c r="P19">
        <f t="shared" si="10"/>
        <v>3.6443606218130915</v>
      </c>
      <c r="R19" t="s">
        <v>27</v>
      </c>
      <c r="S19" s="6">
        <f>S11/S14</f>
        <v>1.2287642255715981E-3</v>
      </c>
      <c r="U19" s="6">
        <f t="shared" si="2"/>
        <v>0.34792545738273278</v>
      </c>
      <c r="V19" s="6">
        <f t="shared" si="3"/>
        <v>3.6892629921632412E-2</v>
      </c>
      <c r="W19" s="6">
        <f t="shared" si="12"/>
        <v>0.3852952368430777</v>
      </c>
      <c r="X19" s="6">
        <f t="shared" si="4"/>
        <v>2.3933563743439433E-2</v>
      </c>
      <c r="Y19" s="6">
        <f t="shared" si="11"/>
        <v>0.40758933327311275</v>
      </c>
      <c r="Z19" s="6">
        <f t="shared" si="5"/>
        <v>1.7532584663058817E-2</v>
      </c>
    </row>
    <row r="20" spans="2:26" x14ac:dyDescent="0.3">
      <c r="B20">
        <f xml:space="preserve"> IF($C$3=1, Додаток!$B20, IF($C$3=2,Додаток!$C20,IF($C$3=3,Додаток!$D20,IF($C$3=4,Додаток!$E20,IF($C$3=5,Додаток!$F20,IF($C$3=6,Додаток!$H20,IF($C$3=7,Додаток!$I20,IF($C$3=8,Додаток!$J20,IF($C$3=9,Додаток!$K20,IF($C$3=10,Додаток!$L20))))))))))</f>
        <v>138</v>
      </c>
      <c r="E20">
        <f xml:space="preserve"> IF($F$3=1, Додаток!$B20, IF($F$3=2,Додаток!$C20,IF($F$3=3,Додаток!$D20,IF($F$3=4,Додаток!$E20,IF($F$3=5,Додаток!$F20,IF($F$3=6,Додаток!$H20,IF($F$3=7,Додаток!$I20,IF($F$3=8,Додаток!$J20,IF($F$3=9,Додаток!$K20,IF($F$3=10,Додаток!$L20))))))))))</f>
        <v>0.39</v>
      </c>
      <c r="H20">
        <f t="shared" si="6"/>
        <v>2.1401936785786311</v>
      </c>
      <c r="I20">
        <f t="shared" si="7"/>
        <v>-0.30980391997148632</v>
      </c>
      <c r="K20">
        <f t="shared" si="8"/>
        <v>53.82</v>
      </c>
      <c r="L20">
        <f t="shared" si="0"/>
        <v>-42.75294095606511</v>
      </c>
      <c r="M20">
        <f t="shared" si="1"/>
        <v>-0.66304039112185509</v>
      </c>
      <c r="O20">
        <f t="shared" si="9"/>
        <v>19044</v>
      </c>
      <c r="P20">
        <f t="shared" si="10"/>
        <v>4.5804289818279331</v>
      </c>
      <c r="R20" t="s">
        <v>28</v>
      </c>
      <c r="S20" s="6">
        <f>S12/S15</f>
        <v>0.15199978972640824</v>
      </c>
      <c r="U20" s="6">
        <f t="shared" si="2"/>
        <v>0.40221996878993937</v>
      </c>
      <c r="V20" s="6">
        <f t="shared" si="3"/>
        <v>1.4932763722709207E-4</v>
      </c>
      <c r="W20" s="6">
        <f t="shared" si="12"/>
        <v>0.45272366943210318</v>
      </c>
      <c r="X20" s="6">
        <f t="shared" si="4"/>
        <v>3.9342587070277536E-3</v>
      </c>
      <c r="Y20" s="6">
        <f t="shared" si="11"/>
        <v>0.44197190115534868</v>
      </c>
      <c r="Z20" s="6">
        <f t="shared" si="5"/>
        <v>2.7010785097013319E-3</v>
      </c>
    </row>
    <row r="21" spans="2:26" x14ac:dyDescent="0.3">
      <c r="B21">
        <f xml:space="preserve"> IF($C$3=1, Додаток!$B21, IF($C$3=2,Додаток!$C21,IF($C$3=3,Додаток!$D21,IF($C$3=4,Додаток!$E21,IF($C$3=5,Додаток!$F21,IF($C$3=6,Додаток!$H21,IF($C$3=7,Додаток!$I21,IF($C$3=8,Додаток!$J21,IF($C$3=9,Додаток!$K21,IF($C$3=10,Додаток!$L21))))))))))</f>
        <v>89</v>
      </c>
      <c r="E21">
        <f xml:space="preserve"> IF($F$3=1, Додаток!$B21, IF($F$3=2,Додаток!$C21,IF($F$3=3,Додаток!$D21,IF($F$3=4,Додаток!$E21,IF($F$3=5,Додаток!$F21,IF($F$3=6,Додаток!$H21,IF($F$3=7,Додаток!$I21,IF($F$3=8,Додаток!$J21,IF($F$3=9,Додаток!$K21,IF($F$3=10,Додаток!$L21))))))))))</f>
        <v>0.35</v>
      </c>
      <c r="H21">
        <f t="shared" si="6"/>
        <v>1.9498777040368747</v>
      </c>
      <c r="I21">
        <f t="shared" si="7"/>
        <v>-0.34678748622465638</v>
      </c>
      <c r="K21">
        <f t="shared" si="8"/>
        <v>31.15</v>
      </c>
      <c r="L21">
        <f t="shared" si="0"/>
        <v>-30.864086273994417</v>
      </c>
      <c r="M21">
        <f t="shared" si="1"/>
        <v>-0.67619318742845225</v>
      </c>
      <c r="O21">
        <f t="shared" si="9"/>
        <v>7921</v>
      </c>
      <c r="P21">
        <f t="shared" si="10"/>
        <v>3.802023060700114</v>
      </c>
      <c r="U21" s="6">
        <f t="shared" si="2"/>
        <v>0.35554573968549863</v>
      </c>
      <c r="V21" s="6">
        <f t="shared" si="3"/>
        <v>3.0755228659314688E-5</v>
      </c>
      <c r="W21" s="6">
        <f t="shared" si="12"/>
        <v>0.39411571649340221</v>
      </c>
      <c r="X21" s="6">
        <f t="shared" si="4"/>
        <v>1.946196441726242E-3</v>
      </c>
      <c r="Y21" s="6">
        <f t="shared" si="11"/>
        <v>0.41346653011396051</v>
      </c>
      <c r="Z21" s="6">
        <f t="shared" si="5"/>
        <v>4.0280004447062583E-3</v>
      </c>
    </row>
    <row r="22" spans="2:26" x14ac:dyDescent="0.3">
      <c r="B22">
        <f xml:space="preserve"> IF($C$3=1, Додаток!$B22, IF($C$3=2,Додаток!$C22,IF($C$3=3,Додаток!$D22,IF($C$3=4,Додаток!$E22,IF($C$3=5,Додаток!$F22,IF($C$3=6,Додаток!$H22,IF($C$3=7,Додаток!$I22,IF($C$3=8,Додаток!$J22,IF($C$3=9,Додаток!$K22,IF($C$3=10,Додаток!$L22))))))))))</f>
        <v>112</v>
      </c>
      <c r="E22">
        <f xml:space="preserve"> IF($F$3=1, Додаток!$B22, IF($F$3=2,Додаток!$C22,IF($F$3=3,Додаток!$D22,IF($F$3=4,Додаток!$E22,IF($F$3=5,Додаток!$F22,IF($F$3=6,Додаток!$H22,IF($F$3=7,Додаток!$I22,IF($F$3=8,Додаток!$J22,IF($F$3=9,Додаток!$K22,IF($F$3=10,Додаток!$L22))))))))))</f>
        <v>0.54300000000000004</v>
      </c>
      <c r="H22">
        <f t="shared" si="6"/>
        <v>2.0496056125949731</v>
      </c>
      <c r="I22">
        <f t="shared" si="7"/>
        <v>-0.19178902707577791</v>
      </c>
      <c r="K22">
        <f t="shared" si="8"/>
        <v>60.816000000000003</v>
      </c>
      <c r="L22">
        <f t="shared" si="0"/>
        <v>-21.480371032487128</v>
      </c>
      <c r="M22">
        <f t="shared" si="1"/>
        <v>-0.39309186632864368</v>
      </c>
      <c r="O22">
        <f t="shared" si="9"/>
        <v>12544</v>
      </c>
      <c r="P22">
        <f t="shared" si="10"/>
        <v>4.2008831671808151</v>
      </c>
      <c r="R22" t="s">
        <v>29</v>
      </c>
      <c r="U22" s="6">
        <f t="shared" si="2"/>
        <v>0.37745405130595039</v>
      </c>
      <c r="V22" s="6">
        <f t="shared" si="3"/>
        <v>2.7405461129012917E-2</v>
      </c>
      <c r="W22" s="6">
        <f t="shared" si="12"/>
        <v>0.4206155565700937</v>
      </c>
      <c r="X22" s="6">
        <f t="shared" si="4"/>
        <v>1.4977951993647945E-2</v>
      </c>
      <c r="Y22" s="6">
        <f t="shared" si="11"/>
        <v>0.42816799069575134</v>
      </c>
      <c r="Z22" s="6">
        <f t="shared" si="5"/>
        <v>1.3186390360851058E-2</v>
      </c>
    </row>
    <row r="23" spans="2:26" x14ac:dyDescent="0.3">
      <c r="B23">
        <f xml:space="preserve"> IF($C$3=1, Додаток!$B23, IF($C$3=2,Додаток!$C23,IF($C$3=3,Додаток!$D23,IF($C$3=4,Додаток!$E23,IF($C$3=5,Додаток!$F23,IF($C$3=6,Додаток!$H23,IF($C$3=7,Додаток!$I23,IF($C$3=8,Додаток!$J23,IF($C$3=9,Додаток!$K23,IF($C$3=10,Додаток!$L23))))))))))</f>
        <v>21</v>
      </c>
      <c r="E23">
        <f xml:space="preserve"> IF($F$3=1, Додаток!$B23, IF($F$3=2,Додаток!$C23,IF($F$3=3,Додаток!$D23,IF($F$3=4,Додаток!$E23,IF($F$3=5,Додаток!$F23,IF($F$3=6,Додаток!$H23,IF($F$3=7,Додаток!$I23,IF($F$3=8,Додаток!$J23,IF($F$3=9,Додаток!$K23,IF($F$3=10,Додаток!$L23))))))))))</f>
        <v>0.53800000000000003</v>
      </c>
      <c r="H23">
        <f t="shared" si="6"/>
        <v>1.3242824552976926</v>
      </c>
      <c r="I23">
        <f t="shared" si="7"/>
        <v>-0.19517932127883766</v>
      </c>
      <c r="K23">
        <f t="shared" si="8"/>
        <v>11.298</v>
      </c>
      <c r="L23">
        <f t="shared" si="0"/>
        <v>-4.0987657468555909</v>
      </c>
      <c r="M23">
        <f t="shared" si="1"/>
        <v>-0.2584725508064763</v>
      </c>
      <c r="O23">
        <f t="shared" si="9"/>
        <v>441</v>
      </c>
      <c r="P23">
        <f t="shared" si="10"/>
        <v>1.7537240214092853</v>
      </c>
      <c r="R23" t="s">
        <v>26</v>
      </c>
      <c r="S23" s="6">
        <f>S5-S18*S4</f>
        <v>0.2707700990672286</v>
      </c>
      <c r="U23" s="6">
        <f t="shared" si="2"/>
        <v>0.29077334011198896</v>
      </c>
      <c r="V23" s="6">
        <f t="shared" si="3"/>
        <v>6.1121021359382299E-2</v>
      </c>
      <c r="W23" s="6">
        <f t="shared" si="12"/>
        <v>0.32513804241273958</v>
      </c>
      <c r="X23" s="6">
        <f t="shared" si="4"/>
        <v>4.5310212987880669E-2</v>
      </c>
      <c r="Y23" s="6">
        <f t="shared" si="11"/>
        <v>0.33197894701118608</v>
      </c>
      <c r="Z23" s="6">
        <f t="shared" si="5"/>
        <v>4.244467427461969E-2</v>
      </c>
    </row>
    <row r="24" spans="2:26" x14ac:dyDescent="0.3">
      <c r="B24">
        <f xml:space="preserve"> IF($C$3=1, Додаток!$B24, IF($C$3=2,Додаток!$C24,IF($C$3=3,Додаток!$D24,IF($C$3=4,Додаток!$E24,IF($C$3=5,Додаток!$F24,IF($C$3=6,Додаток!$H24,IF($C$3=7,Додаток!$I24,IF($C$3=8,Додаток!$J24,IF($C$3=9,Додаток!$K24,IF($C$3=10,Додаток!$L24))))))))))</f>
        <v>57</v>
      </c>
      <c r="E24">
        <f xml:space="preserve"> IF($F$3=1, Додаток!$B24, IF($F$3=2,Додаток!$C24,IF($F$3=3,Додаток!$D24,IF($F$3=4,Додаток!$E24,IF($F$3=5,Додаток!$F24,IF($F$3=6,Додаток!$H24,IF($F$3=7,Додаток!$I24,IF($F$3=8,Додаток!$J24,IF($F$3=9,Додаток!$K24,IF($F$3=10,Додаток!$L24))))))))))</f>
        <v>0.48099999999999998</v>
      </c>
      <c r="H24">
        <f t="shared" si="6"/>
        <v>1.7566361082458481</v>
      </c>
      <c r="I24">
        <f t="shared" si="7"/>
        <v>-0.23582386760966931</v>
      </c>
      <c r="K24">
        <f t="shared" si="8"/>
        <v>27.416999999999998</v>
      </c>
      <c r="L24">
        <f t="shared" si="0"/>
        <v>-13.44196045375115</v>
      </c>
      <c r="M24">
        <f t="shared" si="1"/>
        <v>-0.41425672102933364</v>
      </c>
      <c r="O24">
        <f t="shared" si="9"/>
        <v>3249</v>
      </c>
      <c r="P24">
        <f t="shared" si="10"/>
        <v>3.0857704167931193</v>
      </c>
      <c r="R24" t="s">
        <v>27</v>
      </c>
      <c r="S24" s="6">
        <f>S7-S19*S4</f>
        <v>-0.51373626212815104</v>
      </c>
      <c r="U24" s="6">
        <f t="shared" si="2"/>
        <v>0.32506461047443524</v>
      </c>
      <c r="V24" s="6">
        <f t="shared" si="3"/>
        <v>2.4315845706489606E-2</v>
      </c>
      <c r="W24" s="6">
        <f t="shared" si="12"/>
        <v>0.36000066145587206</v>
      </c>
      <c r="X24" s="6">
        <f t="shared" si="4"/>
        <v>1.464083992811648E-2</v>
      </c>
      <c r="Y24" s="6">
        <f t="shared" si="11"/>
        <v>0.38639019490106691</v>
      </c>
      <c r="Z24" s="6">
        <f t="shared" si="5"/>
        <v>8.9510152208581023E-3</v>
      </c>
    </row>
    <row r="25" spans="2:26" x14ac:dyDescent="0.3">
      <c r="R25" t="s">
        <v>28</v>
      </c>
      <c r="S25" s="6">
        <f>S7-S20*S6</f>
        <v>-0.67986651169054668</v>
      </c>
      <c r="U25" s="6"/>
      <c r="V25" s="6"/>
      <c r="W25" s="6"/>
      <c r="X25" s="6"/>
      <c r="Y25" s="6"/>
      <c r="Z25" s="6"/>
    </row>
    <row r="26" spans="2:26" x14ac:dyDescent="0.3">
      <c r="U26" s="6"/>
      <c r="V26" s="6"/>
      <c r="W26" s="6"/>
      <c r="X26" s="6"/>
      <c r="Y26" s="6"/>
      <c r="Z26" s="6"/>
    </row>
    <row r="27" spans="2:26" x14ac:dyDescent="0.3">
      <c r="U27" s="6"/>
      <c r="V27" s="6"/>
      <c r="W27" s="6"/>
      <c r="X27" s="6"/>
      <c r="Y27" s="6"/>
      <c r="Z27" s="6"/>
    </row>
    <row r="28" spans="2:26" x14ac:dyDescent="0.3">
      <c r="U28" s="6"/>
      <c r="V28" s="6"/>
      <c r="W28" s="6"/>
      <c r="X28" s="6"/>
      <c r="Y28" s="6"/>
      <c r="Z28" s="6"/>
    </row>
    <row r="29" spans="2:26" x14ac:dyDescent="0.3">
      <c r="S29" s="6"/>
      <c r="U29" s="6"/>
      <c r="V29" s="6"/>
      <c r="W29" s="6"/>
      <c r="X29" s="6"/>
      <c r="Y29" s="6"/>
      <c r="Z29" s="6"/>
    </row>
    <row r="30" spans="2:26" x14ac:dyDescent="0.3">
      <c r="U30" s="6"/>
      <c r="V30" s="6"/>
      <c r="W30" s="6"/>
      <c r="X30" s="6"/>
      <c r="Y30" s="6"/>
      <c r="Z30" s="6"/>
    </row>
    <row r="31" spans="2:26" x14ac:dyDescent="0.3">
      <c r="U31" s="6"/>
      <c r="V31" s="6"/>
      <c r="W31" s="6"/>
      <c r="X31" s="6"/>
      <c r="Y31" s="6"/>
      <c r="Z31" s="6"/>
    </row>
    <row r="32" spans="2:26" x14ac:dyDescent="0.3">
      <c r="U32" s="6"/>
      <c r="V32" s="6"/>
      <c r="W32" s="6"/>
      <c r="X32" s="6"/>
      <c r="Y32" s="6"/>
      <c r="Z32" s="6"/>
    </row>
    <row r="33" spans="20:26" x14ac:dyDescent="0.3">
      <c r="U33" s="6"/>
      <c r="V33" s="6"/>
      <c r="W33" s="6"/>
      <c r="X33" s="6"/>
      <c r="Y33" s="6"/>
      <c r="Z33" s="6"/>
    </row>
    <row r="34" spans="20:26" x14ac:dyDescent="0.3">
      <c r="U34" s="6"/>
      <c r="V34" s="6"/>
      <c r="W34" s="6"/>
      <c r="X34" s="6"/>
      <c r="Y34" s="6"/>
      <c r="Z34" s="6"/>
    </row>
    <row r="36" spans="20:26" ht="13.8" customHeight="1" x14ac:dyDescent="0.3">
      <c r="T36" s="9" t="s">
        <v>33</v>
      </c>
      <c r="V36" s="22">
        <f>SUM(V5:V24)</f>
        <v>0.66031890665367432</v>
      </c>
      <c r="X36" s="22">
        <f>SUM(X5:X24)</f>
        <v>0.72397181974690628</v>
      </c>
      <c r="Z36" s="22">
        <f>SUM(Z5:Z24)</f>
        <v>0.74235002365032732</v>
      </c>
    </row>
  </sheetData>
  <mergeCells count="1">
    <mergeCell ref="B2:R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71F1-86E9-4F25-8946-65F0467AF3D9}">
  <dimension ref="B3:V27"/>
  <sheetViews>
    <sheetView tabSelected="1" workbookViewId="0">
      <selection activeCell="G13" sqref="G13"/>
    </sheetView>
  </sheetViews>
  <sheetFormatPr defaultRowHeight="14.4" x14ac:dyDescent="0.3"/>
  <cols>
    <col min="15" max="15" width="10" bestFit="1" customWidth="1"/>
    <col min="18" max="18" width="10" bestFit="1" customWidth="1"/>
  </cols>
  <sheetData>
    <row r="3" spans="2:22" x14ac:dyDescent="0.3">
      <c r="B3" s="27" t="s">
        <v>4</v>
      </c>
      <c r="C3" s="27"/>
      <c r="D3" s="27"/>
      <c r="E3" s="27"/>
      <c r="F3" s="27"/>
      <c r="H3" s="28" t="s">
        <v>5</v>
      </c>
      <c r="I3" s="26"/>
      <c r="J3" s="26"/>
      <c r="K3" s="18"/>
      <c r="L3" s="18"/>
    </row>
    <row r="4" spans="2:22" ht="18" x14ac:dyDescent="0.3">
      <c r="B4" s="17" t="s">
        <v>1</v>
      </c>
      <c r="C4" s="17" t="s">
        <v>2</v>
      </c>
      <c r="D4" s="17" t="s">
        <v>3</v>
      </c>
      <c r="E4" s="17" t="s">
        <v>42</v>
      </c>
      <c r="F4" s="17" t="s">
        <v>43</v>
      </c>
      <c r="G4" s="17"/>
      <c r="H4" s="17" t="s">
        <v>44</v>
      </c>
      <c r="I4" s="17" t="s">
        <v>45</v>
      </c>
      <c r="J4" s="17" t="s">
        <v>46</v>
      </c>
      <c r="K4" s="17"/>
      <c r="L4" s="17"/>
      <c r="O4" s="19"/>
      <c r="P4" s="19"/>
      <c r="Q4" s="19"/>
      <c r="R4" s="19"/>
      <c r="S4" s="19"/>
      <c r="T4" s="19"/>
      <c r="U4" s="19"/>
      <c r="V4" s="20"/>
    </row>
    <row r="5" spans="2:22" ht="18" x14ac:dyDescent="0.3">
      <c r="B5">
        <v>1305</v>
      </c>
      <c r="C5">
        <v>11</v>
      </c>
      <c r="D5">
        <v>1</v>
      </c>
      <c r="E5">
        <v>54</v>
      </c>
      <c r="F5">
        <v>0</v>
      </c>
      <c r="H5">
        <v>7.42</v>
      </c>
      <c r="I5">
        <v>0.125</v>
      </c>
      <c r="J5">
        <v>0.47</v>
      </c>
      <c r="O5" s="19"/>
      <c r="P5" s="19"/>
      <c r="Q5" s="19"/>
      <c r="R5" s="19"/>
      <c r="S5" s="19"/>
      <c r="T5" s="19"/>
      <c r="U5" s="19"/>
      <c r="V5" s="20"/>
    </row>
    <row r="6" spans="2:22" ht="18" x14ac:dyDescent="0.3">
      <c r="B6">
        <v>1243</v>
      </c>
      <c r="C6">
        <v>17</v>
      </c>
      <c r="D6">
        <v>1</v>
      </c>
      <c r="E6">
        <v>48</v>
      </c>
      <c r="F6">
        <v>3</v>
      </c>
      <c r="H6">
        <v>2.4</v>
      </c>
      <c r="I6">
        <v>9.5000000000000001E-2</v>
      </c>
      <c r="J6">
        <v>0.317</v>
      </c>
      <c r="O6" s="19"/>
      <c r="P6" s="19"/>
      <c r="Q6" s="19"/>
      <c r="R6" s="19"/>
      <c r="S6" s="19"/>
      <c r="T6" s="19"/>
      <c r="U6" s="19"/>
      <c r="V6" s="20"/>
    </row>
    <row r="7" spans="2:22" ht="18" x14ac:dyDescent="0.3">
      <c r="B7">
        <v>1846</v>
      </c>
      <c r="C7">
        <v>31</v>
      </c>
      <c r="D7">
        <v>1</v>
      </c>
      <c r="E7">
        <v>59</v>
      </c>
      <c r="F7">
        <v>0</v>
      </c>
      <c r="H7">
        <v>6.35</v>
      </c>
      <c r="I7">
        <v>0.254</v>
      </c>
      <c r="J7">
        <v>0.34</v>
      </c>
      <c r="O7" s="19"/>
      <c r="P7" s="19"/>
      <c r="Q7" s="19"/>
      <c r="R7" s="19"/>
      <c r="S7" s="19"/>
      <c r="T7" s="19"/>
      <c r="U7" s="19"/>
      <c r="V7" s="20"/>
    </row>
    <row r="8" spans="2:22" ht="18" x14ac:dyDescent="0.3">
      <c r="B8">
        <v>930</v>
      </c>
      <c r="C8">
        <v>7</v>
      </c>
      <c r="D8">
        <v>1</v>
      </c>
      <c r="E8">
        <v>26</v>
      </c>
      <c r="F8">
        <v>0</v>
      </c>
      <c r="H8">
        <v>4.62</v>
      </c>
      <c r="I8">
        <v>0.28299999999999997</v>
      </c>
      <c r="J8">
        <v>0.64100000000000001</v>
      </c>
      <c r="O8" s="19"/>
      <c r="P8" s="19"/>
      <c r="Q8" s="19"/>
      <c r="R8" s="19"/>
      <c r="S8" s="19"/>
      <c r="T8" s="19"/>
      <c r="U8" s="19"/>
      <c r="V8" s="20"/>
    </row>
    <row r="9" spans="2:22" ht="18" x14ac:dyDescent="0.3">
      <c r="B9">
        <v>1272</v>
      </c>
      <c r="C9">
        <v>7</v>
      </c>
      <c r="D9">
        <v>1</v>
      </c>
      <c r="E9">
        <v>53</v>
      </c>
      <c r="F9">
        <v>0</v>
      </c>
      <c r="H9">
        <v>4.8499999999999996</v>
      </c>
      <c r="I9">
        <v>0</v>
      </c>
      <c r="J9">
        <v>0.69</v>
      </c>
      <c r="O9" s="19"/>
      <c r="P9" s="19"/>
      <c r="Q9" s="19"/>
      <c r="R9" s="19"/>
      <c r="S9" s="19"/>
      <c r="T9" s="19"/>
      <c r="U9" s="19"/>
      <c r="V9" s="20"/>
    </row>
    <row r="10" spans="2:22" ht="18" x14ac:dyDescent="0.3">
      <c r="B10">
        <v>1006</v>
      </c>
      <c r="C10">
        <v>7</v>
      </c>
      <c r="D10">
        <v>1</v>
      </c>
      <c r="E10">
        <v>24</v>
      </c>
      <c r="F10">
        <v>0</v>
      </c>
      <c r="H10">
        <v>2.74</v>
      </c>
      <c r="I10">
        <v>5.2999999999999999E-2</v>
      </c>
      <c r="J10">
        <v>0.5</v>
      </c>
      <c r="O10" s="19"/>
      <c r="P10" s="19"/>
      <c r="Q10" s="19"/>
      <c r="R10" s="19"/>
      <c r="S10" s="19"/>
      <c r="T10" s="19"/>
      <c r="U10" s="19"/>
      <c r="V10" s="20"/>
    </row>
    <row r="11" spans="2:22" ht="18" x14ac:dyDescent="0.3">
      <c r="B11">
        <v>1395</v>
      </c>
      <c r="C11">
        <v>10</v>
      </c>
      <c r="D11">
        <v>1</v>
      </c>
      <c r="E11">
        <v>53</v>
      </c>
      <c r="F11">
        <v>0</v>
      </c>
      <c r="H11">
        <v>0.8</v>
      </c>
      <c r="I11">
        <v>0</v>
      </c>
      <c r="J11">
        <v>0.78</v>
      </c>
      <c r="O11" s="19"/>
      <c r="P11" s="19"/>
      <c r="Q11" s="19"/>
      <c r="R11" s="19"/>
      <c r="S11" s="19"/>
      <c r="T11" s="19"/>
      <c r="U11" s="19"/>
      <c r="V11" s="20"/>
    </row>
    <row r="12" spans="2:22" ht="18" x14ac:dyDescent="0.3">
      <c r="B12">
        <v>726</v>
      </c>
      <c r="C12">
        <v>5</v>
      </c>
      <c r="D12">
        <v>1</v>
      </c>
      <c r="E12">
        <v>13</v>
      </c>
      <c r="F12">
        <v>1</v>
      </c>
      <c r="H12">
        <v>6.625</v>
      </c>
      <c r="I12">
        <v>0.48199999999999998</v>
      </c>
      <c r="J12">
        <v>0.63400000000000001</v>
      </c>
      <c r="O12" s="19"/>
      <c r="P12" s="19"/>
      <c r="Q12" s="19"/>
      <c r="R12" s="19"/>
      <c r="S12" s="19"/>
      <c r="T12" s="19"/>
      <c r="U12" s="19"/>
      <c r="V12" s="20"/>
    </row>
    <row r="13" spans="2:22" ht="18" x14ac:dyDescent="0.3">
      <c r="B13">
        <v>412</v>
      </c>
      <c r="C13">
        <v>8</v>
      </c>
      <c r="D13">
        <v>2</v>
      </c>
      <c r="E13">
        <v>13</v>
      </c>
      <c r="F13">
        <v>1</v>
      </c>
      <c r="H13">
        <v>6.75</v>
      </c>
      <c r="I13">
        <v>0.52900000000000003</v>
      </c>
      <c r="J13">
        <v>0.23</v>
      </c>
      <c r="O13" s="19"/>
      <c r="P13" s="19"/>
      <c r="Q13" s="19"/>
      <c r="R13" s="19"/>
      <c r="S13" s="19"/>
      <c r="T13" s="19"/>
      <c r="U13" s="19"/>
      <c r="V13" s="20"/>
    </row>
    <row r="14" spans="2:22" x14ac:dyDescent="0.3">
      <c r="B14">
        <v>1471</v>
      </c>
      <c r="C14">
        <v>13</v>
      </c>
      <c r="D14">
        <v>1</v>
      </c>
      <c r="E14">
        <v>73</v>
      </c>
      <c r="F14">
        <v>0</v>
      </c>
      <c r="H14">
        <v>6.0289999999999999</v>
      </c>
      <c r="I14">
        <v>0.38600000000000001</v>
      </c>
      <c r="J14">
        <v>0.438</v>
      </c>
      <c r="O14" s="21"/>
      <c r="P14" s="21"/>
      <c r="Q14" s="21"/>
      <c r="R14" s="21"/>
      <c r="S14" s="21"/>
      <c r="T14" s="21"/>
      <c r="U14" s="21"/>
      <c r="V14" s="21"/>
    </row>
    <row r="15" spans="2:22" x14ac:dyDescent="0.3">
      <c r="B15">
        <v>770</v>
      </c>
      <c r="C15">
        <v>17</v>
      </c>
      <c r="D15">
        <v>2</v>
      </c>
      <c r="E15">
        <v>93</v>
      </c>
      <c r="F15">
        <v>14</v>
      </c>
      <c r="H15">
        <v>5.0439999999999996</v>
      </c>
      <c r="I15">
        <v>0.45</v>
      </c>
      <c r="J15">
        <v>0.41199999999999998</v>
      </c>
      <c r="O15" s="21"/>
      <c r="P15" s="21"/>
      <c r="Q15" s="21"/>
      <c r="R15" s="21"/>
      <c r="S15" s="21"/>
      <c r="T15" s="21"/>
      <c r="U15" s="21"/>
      <c r="V15" s="21"/>
    </row>
    <row r="16" spans="2:22" x14ac:dyDescent="0.3">
      <c r="B16">
        <v>2199</v>
      </c>
      <c r="C16">
        <v>20</v>
      </c>
      <c r="D16">
        <v>2</v>
      </c>
      <c r="E16">
        <v>170</v>
      </c>
      <c r="F16">
        <v>22</v>
      </c>
      <c r="H16">
        <v>7.8479999999999999</v>
      </c>
      <c r="I16">
        <v>0.58599999999999997</v>
      </c>
      <c r="J16">
        <v>0.27700000000000002</v>
      </c>
      <c r="O16" s="21"/>
      <c r="P16" s="21"/>
      <c r="Q16" s="21"/>
      <c r="R16" s="21"/>
      <c r="S16" s="21"/>
      <c r="T16" s="21"/>
      <c r="U16" s="21"/>
      <c r="V16" s="21"/>
    </row>
    <row r="17" spans="2:22" x14ac:dyDescent="0.3">
      <c r="B17">
        <v>2399</v>
      </c>
      <c r="C17">
        <v>21</v>
      </c>
      <c r="D17">
        <v>2</v>
      </c>
      <c r="E17">
        <v>267</v>
      </c>
      <c r="F17">
        <v>41</v>
      </c>
      <c r="H17">
        <v>5.2750000000000004</v>
      </c>
      <c r="I17">
        <v>0.39400000000000002</v>
      </c>
      <c r="J17">
        <v>0.318</v>
      </c>
      <c r="O17" s="21"/>
      <c r="P17" s="21"/>
      <c r="Q17" s="21"/>
      <c r="R17" s="21"/>
      <c r="S17" s="21"/>
      <c r="T17" s="21"/>
      <c r="U17" s="21"/>
      <c r="V17" s="21"/>
    </row>
    <row r="18" spans="2:22" ht="18" x14ac:dyDescent="0.3">
      <c r="B18">
        <v>2002</v>
      </c>
      <c r="C18">
        <v>27</v>
      </c>
      <c r="D18">
        <v>2</v>
      </c>
      <c r="E18">
        <v>271</v>
      </c>
      <c r="F18">
        <v>17</v>
      </c>
      <c r="H18">
        <v>5.7850000000000001</v>
      </c>
      <c r="I18">
        <v>0.56999999999999995</v>
      </c>
      <c r="J18">
        <v>0.2</v>
      </c>
      <c r="O18" s="19"/>
      <c r="P18" s="21"/>
      <c r="Q18" s="19"/>
      <c r="R18" s="21"/>
      <c r="S18" s="21"/>
      <c r="T18" s="19"/>
      <c r="U18" s="19"/>
      <c r="V18" s="21"/>
    </row>
    <row r="19" spans="2:22" ht="18" x14ac:dyDescent="0.3">
      <c r="B19">
        <v>1043</v>
      </c>
      <c r="C19">
        <v>10</v>
      </c>
      <c r="D19">
        <v>1</v>
      </c>
      <c r="E19">
        <v>81</v>
      </c>
      <c r="F19">
        <v>1</v>
      </c>
      <c r="H19">
        <v>6.9729999999999999</v>
      </c>
      <c r="I19">
        <v>0.54</v>
      </c>
      <c r="J19">
        <v>0.17399999999999999</v>
      </c>
      <c r="O19" s="19"/>
      <c r="P19" s="21"/>
      <c r="Q19" s="19"/>
      <c r="R19" s="21"/>
      <c r="S19" s="21"/>
      <c r="T19" s="19"/>
      <c r="U19" s="19"/>
      <c r="V19" s="21"/>
    </row>
    <row r="20" spans="2:22" ht="18" x14ac:dyDescent="0.3">
      <c r="B20">
        <v>830</v>
      </c>
      <c r="C20">
        <v>15</v>
      </c>
      <c r="D20">
        <v>1</v>
      </c>
      <c r="E20">
        <v>138</v>
      </c>
      <c r="F20">
        <v>2</v>
      </c>
      <c r="H20">
        <v>3.915</v>
      </c>
      <c r="I20">
        <v>0.39</v>
      </c>
      <c r="J20">
        <v>0.22900000000000001</v>
      </c>
      <c r="O20" s="19"/>
      <c r="P20" s="21"/>
      <c r="Q20" s="19"/>
      <c r="R20" s="21"/>
      <c r="S20" s="21"/>
      <c r="T20" s="19"/>
      <c r="U20" s="19"/>
      <c r="V20" s="21"/>
    </row>
    <row r="21" spans="2:22" ht="18" x14ac:dyDescent="0.3">
      <c r="B21">
        <v>471</v>
      </c>
      <c r="C21">
        <v>9</v>
      </c>
      <c r="D21">
        <v>1</v>
      </c>
      <c r="E21">
        <v>89</v>
      </c>
      <c r="F21">
        <v>7</v>
      </c>
      <c r="H21">
        <v>3.6749999999999998</v>
      </c>
      <c r="I21">
        <v>0.35</v>
      </c>
      <c r="J21">
        <v>0.21299999999999999</v>
      </c>
      <c r="O21" s="19"/>
      <c r="P21" s="21"/>
      <c r="Q21" s="19"/>
      <c r="R21" s="21"/>
      <c r="S21" s="21"/>
      <c r="T21" s="19"/>
      <c r="U21" s="19"/>
      <c r="V21" s="21"/>
    </row>
    <row r="22" spans="2:22" ht="18" x14ac:dyDescent="0.3">
      <c r="B22">
        <v>662</v>
      </c>
      <c r="C22">
        <v>12</v>
      </c>
      <c r="D22">
        <v>1</v>
      </c>
      <c r="E22">
        <v>112</v>
      </c>
      <c r="F22">
        <v>9</v>
      </c>
      <c r="H22">
        <v>4.173</v>
      </c>
      <c r="I22">
        <v>0.54300000000000004</v>
      </c>
      <c r="J22">
        <v>0.29399999999999998</v>
      </c>
      <c r="O22" s="19"/>
      <c r="P22" s="21"/>
      <c r="Q22" s="19"/>
      <c r="R22" s="21"/>
      <c r="S22" s="21"/>
      <c r="T22" s="19"/>
      <c r="U22" s="19"/>
      <c r="V22" s="21"/>
    </row>
    <row r="23" spans="2:22" ht="18" x14ac:dyDescent="0.3">
      <c r="B23">
        <v>157</v>
      </c>
      <c r="C23">
        <v>10</v>
      </c>
      <c r="D23">
        <v>1</v>
      </c>
      <c r="E23">
        <v>21</v>
      </c>
      <c r="F23">
        <v>1</v>
      </c>
      <c r="H23">
        <v>4.8460000000000001</v>
      </c>
      <c r="I23">
        <v>0.53800000000000003</v>
      </c>
      <c r="J23">
        <v>0.113</v>
      </c>
      <c r="O23" s="19"/>
      <c r="P23" s="21"/>
      <c r="Q23" s="19"/>
      <c r="R23" s="21"/>
      <c r="S23" s="21"/>
      <c r="T23" s="19"/>
      <c r="U23" s="19"/>
      <c r="V23" s="21"/>
    </row>
    <row r="24" spans="2:22" ht="18" x14ac:dyDescent="0.3">
      <c r="B24">
        <v>568</v>
      </c>
      <c r="C24">
        <v>9</v>
      </c>
      <c r="D24">
        <v>1</v>
      </c>
      <c r="E24">
        <v>57</v>
      </c>
      <c r="F24">
        <v>3</v>
      </c>
      <c r="H24">
        <v>4.2960000000000003</v>
      </c>
      <c r="I24">
        <v>0.48099999999999998</v>
      </c>
      <c r="J24">
        <v>0.13100000000000001</v>
      </c>
      <c r="O24" s="19"/>
      <c r="P24" s="21"/>
      <c r="Q24" s="19"/>
      <c r="R24" s="21"/>
      <c r="S24" s="21"/>
      <c r="T24" s="19"/>
      <c r="U24" s="19"/>
      <c r="V24" s="21"/>
    </row>
    <row r="25" spans="2:22" ht="18" x14ac:dyDescent="0.3">
      <c r="O25" s="19"/>
      <c r="P25" s="21"/>
      <c r="Q25" s="19"/>
      <c r="R25" s="21"/>
      <c r="S25" s="21"/>
      <c r="T25" s="19"/>
      <c r="U25" s="19"/>
      <c r="V25" s="21"/>
    </row>
    <row r="26" spans="2:22" ht="18" x14ac:dyDescent="0.3">
      <c r="O26" s="19"/>
      <c r="P26" s="21"/>
      <c r="Q26" s="19"/>
      <c r="R26" s="21"/>
      <c r="S26" s="21"/>
      <c r="T26" s="19"/>
      <c r="U26" s="19"/>
      <c r="V26" s="21"/>
    </row>
    <row r="27" spans="2:22" ht="18" x14ac:dyDescent="0.3">
      <c r="O27" s="19"/>
      <c r="P27" s="21"/>
      <c r="Q27" s="19"/>
      <c r="R27" s="21"/>
      <c r="S27" s="21"/>
      <c r="T27" s="19"/>
      <c r="U27" s="19"/>
      <c r="V27" s="21"/>
    </row>
  </sheetData>
  <mergeCells count="2">
    <mergeCell ref="B3:F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Частина 1</vt:lpstr>
      <vt:lpstr>Частина 2</vt:lpstr>
      <vt:lpstr>Частина 3</vt:lpstr>
      <vt:lpstr>Додаток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2015-06-05T18:17:20Z</dcterms:created>
  <dcterms:modified xsi:type="dcterms:W3CDTF">2022-04-27T13:34:45Z</dcterms:modified>
</cp:coreProperties>
</file>