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ersons/person.xml" ContentType="application/vnd.ms-excel.person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readedComments/threadedComment2.xml" ContentType="application/vnd.ms-excel.threadedcomment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charts/style3.xml" ContentType="application/vnd.ms-office.chart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Частина 1" sheetId="1" state="visible" r:id="rId2"/>
    <sheet name="Частина 2" sheetId="2" state="visible" r:id="rId3"/>
    <sheet name="Частина 3" sheetId="3" state="visible" r:id="rId4"/>
    <sheet name="Додаток" sheetId="4" state="visible" r:id="rId5"/>
  </sheets>
  <definedNames>
    <definedName name="_xlchart.v1.0" hidden="1">'Частина 1'!$H$6:$H$35</definedName>
    <definedName name="_xlchart.v1.1" hidden="1">'Частина 1'!$B$6:$B$35</definedName>
  </definedName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tc={00CB00B6-0063-42FB-BEB1-00F600770050}</author>
  </authors>
  <commentList>
    <comment ref="C3" authorId="0" xr:uid="{00CB00B6-0063-42FB-BEB1-00F600770050}">
      <text>
        <r>
          <rPr>
            <b/>
            <sz val="9"/>
            <rFont val="Tahoma"/>
          </rPr>
          <t>Legion:</t>
        </r>
        <r>
          <rPr>
            <sz val="9"/>
            <rFont val="Tahoma"/>
          </rPr>
          <t xml:space="preserve">
Для обрання метрики потрібно ввести в це поле її номер (наприклад, 1)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tc={001C00A5-0080-43CC-85D1-00000070002A}</author>
    <author>tc={005B0071-0075-4340-936F-00FB00BF000E}</author>
    <author>tc={005A005E-009A-4A89-A3B4-007300DA008F}</author>
  </authors>
  <commentList>
    <comment ref="C3" authorId="0" xr:uid="{001C00A5-0080-43CC-85D1-00000070002A}">
      <text>
        <r>
          <rPr>
            <b/>
            <sz val="9"/>
            <rFont val="Tahoma"/>
          </rPr>
          <t>Legion:</t>
        </r>
        <r>
          <rPr>
            <sz val="9"/>
            <rFont val="Tahoma"/>
          </rPr>
          <t xml:space="preserve">
Для обрання першої метрики потрібно ввести в це поле її номер (наприклад, 1)
</t>
        </r>
      </text>
    </comment>
    <comment ref="F3" authorId="1" xr:uid="{005B0071-0075-4340-936F-00FB00BF000E}">
      <text>
        <r>
          <rPr>
            <b/>
            <sz val="9"/>
            <rFont val="Tahoma"/>
          </rPr>
          <t>Legion:</t>
        </r>
        <r>
          <rPr>
            <sz val="9"/>
            <rFont val="Tahoma"/>
          </rPr>
          <t xml:space="preserve">
Для обрання другої метрики потрібно ввести в це поле її номер (наприклад, 1)
</t>
        </r>
      </text>
    </comment>
    <comment ref="J3" authorId="2" xr:uid="{005A005E-009A-4A89-A3B4-007300DA008F}">
      <text>
        <r>
          <rPr>
            <b/>
            <sz val="9"/>
            <rFont val="Tahoma"/>
          </rPr>
          <t>Legion:</t>
        </r>
        <r>
          <rPr>
            <sz val="9"/>
            <rFont val="Tahoma"/>
          </rPr>
          <t xml:space="preserve">
Для скоригування рангів потрібно скопіювати значення стовпців H:I та перенести їх до стовпців J:K, після чого натиснути на функцію сортування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tc={00D800F1-007C-41CA-BF31-001E0030000E}</author>
    <author>tc={008E00BD-0034-4AFE-80B8-007E009B00F7}</author>
  </authors>
  <commentList>
    <comment ref="C3" authorId="0" xr:uid="{00D800F1-007C-41CA-BF31-001E0030000E}">
      <text>
        <r>
          <rPr>
            <b/>
            <sz val="9"/>
            <rFont val="Tahoma"/>
          </rPr>
          <t>Legion:</t>
        </r>
        <r>
          <rPr>
            <sz val="9"/>
            <rFont val="Tahoma"/>
          </rPr>
          <t xml:space="preserve">
Для обрання першої метрики потрібно ввести в це поле її номер (наприклад, 1)
</t>
        </r>
      </text>
    </comment>
    <comment ref="F3" authorId="1" xr:uid="{008E00BD-0034-4AFE-80B8-007E009B00F7}">
      <text>
        <r>
          <rPr>
            <b/>
            <sz val="9"/>
            <rFont val="Tahoma"/>
          </rPr>
          <t>Legion:</t>
        </r>
        <r>
          <rPr>
            <sz val="9"/>
            <rFont val="Tahoma"/>
          </rPr>
          <t xml:space="preserve">
Для обрання другої метрики потрібно ввести в це поле її номер (наприклад, 1)
</t>
        </r>
      </text>
    </comment>
  </commentList>
</comments>
</file>

<file path=xl/sharedStrings.xml><?xml version="1.0" encoding="utf-8"?>
<sst xmlns="http://schemas.openxmlformats.org/spreadsheetml/2006/main" count="47" uniqueCount="47">
  <si>
    <t xml:space="preserve">Частина 1. Первинний аналіз метрик</t>
  </si>
  <si>
    <t>Метрика:</t>
  </si>
  <si>
    <t xml:space="preserve">Перед видаленням аномалій</t>
  </si>
  <si>
    <t xml:space="preserve">Після видалення аномалій</t>
  </si>
  <si>
    <t xml:space="preserve">Перед видаленням аномалій:</t>
  </si>
  <si>
    <t>t</t>
  </si>
  <si>
    <t>N</t>
  </si>
  <si>
    <t>σ</t>
  </si>
  <si>
    <t xml:space="preserve">Після видалення аномалій:</t>
  </si>
  <si>
    <t xml:space="preserve">Інтервальне оцінювання</t>
  </si>
  <si>
    <t xml:space="preserve">Частина 2. Побудова кореляційних полів пар прямих та непрямих метрик</t>
  </si>
  <si>
    <t xml:space="preserve">Метрика 1:</t>
  </si>
  <si>
    <t xml:space="preserve">Метрика 2:</t>
  </si>
  <si>
    <t xml:space="preserve">Ранги метрик</t>
  </si>
  <si>
    <t xml:space="preserve">Скориговані ранги</t>
  </si>
  <si>
    <t>P</t>
  </si>
  <si>
    <t>Q</t>
  </si>
  <si>
    <t>Значущий?</t>
  </si>
  <si>
    <t>Сума</t>
  </si>
  <si>
    <t xml:space="preserve">Частина 3. Побудова кореляційного поля, лінії регресії та визначення її функції</t>
  </si>
  <si>
    <t xml:space="preserve">Метрика 1</t>
  </si>
  <si>
    <t xml:space="preserve">Метрика 2</t>
  </si>
  <si>
    <t xml:space="preserve">Лінійний fi</t>
  </si>
  <si>
    <t>(mi-fi)^2</t>
  </si>
  <si>
    <t xml:space="preserve">Експонен. fi</t>
  </si>
  <si>
    <t xml:space="preserve">Показник. fi</t>
  </si>
  <si>
    <t>Sxy</t>
  </si>
  <si>
    <t>Sxlogy</t>
  </si>
  <si>
    <t>Slogxlogy</t>
  </si>
  <si>
    <t>Sxx</t>
  </si>
  <si>
    <t>Slogxlogx</t>
  </si>
  <si>
    <t>b1</t>
  </si>
  <si>
    <t>Лінійний</t>
  </si>
  <si>
    <t>Експонен.</t>
  </si>
  <si>
    <t>Показник.</t>
  </si>
  <si>
    <t>b0</t>
  </si>
  <si>
    <t>SSE</t>
  </si>
  <si>
    <t xml:space="preserve">Прямі метрики</t>
  </si>
  <si>
    <t xml:space="preserve">Непрямі метрики</t>
  </si>
  <si>
    <t>NOC</t>
  </si>
  <si>
    <t>NOM</t>
  </si>
  <si>
    <t>NDD</t>
  </si>
  <si>
    <t>NOP</t>
  </si>
  <si>
    <t>CALL</t>
  </si>
  <si>
    <t>WMC</t>
  </si>
  <si>
    <t>TCC</t>
  </si>
  <si>
    <t>PNAS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</si>
</sst>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0.00000"/>
    <numFmt numFmtId="161" formatCode="0.0000"/>
  </numFmts>
  <fonts count="4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color theme="1"/>
      <sz val="11.000000"/>
    </font>
    <font>
      <name val="Times New Roman"/>
      <color theme="1"/>
      <sz val="14.000000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4" tint="0.39997558519241921"/>
        <bgColor theme="4" tint="0.39997558519241921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5">
    <xf fontId="0" fillId="0" borderId="0" numFmtId="0" xfId="0"/>
    <xf fontId="1" fillId="0" borderId="0" numFmtId="0" xfId="0" applyFont="1" applyAlignment="1">
      <alignment horizontal="center" vertical="center"/>
    </xf>
    <xf fontId="0" fillId="0" borderId="0" numFmtId="0" xfId="0"/>
    <xf fontId="0" fillId="2" borderId="0" numFmtId="0" xfId="0" applyFill="1"/>
    <xf fontId="0" fillId="3" borderId="0" numFmtId="0" xfId="0" applyFill="1"/>
    <xf fontId="0" fillId="2" borderId="0" numFmtId="0" xfId="0" applyFill="1" applyAlignment="1">
      <alignment horizontal="center"/>
    </xf>
    <xf fontId="0" fillId="0" borderId="0" numFmtId="0" xfId="0" applyAlignment="1">
      <alignment horizontal="center" vertical="center"/>
    </xf>
    <xf fontId="2" fillId="0" borderId="0" numFmtId="0" xfId="0" applyFont="1" applyAlignment="1">
      <alignment horizontal="center" vertical="center"/>
    </xf>
    <xf fontId="0" fillId="0" borderId="0" numFmtId="0" xfId="0" applyAlignment="1">
      <alignment horizontal="center"/>
    </xf>
    <xf fontId="0" fillId="2" borderId="0" numFmtId="0" xfId="0" applyFill="1" applyAlignment="1">
      <alignment horizontal="center" vertical="center"/>
    </xf>
    <xf fontId="0" fillId="3" borderId="0" numFmtId="0" xfId="0" applyFill="1" applyAlignment="1">
      <alignment horizontal="center" vertical="center"/>
    </xf>
    <xf fontId="0" fillId="0" borderId="0" numFmtId="0" xfId="0">
      <protection hidden="0" locked="1"/>
    </xf>
    <xf fontId="0" fillId="0" borderId="0" numFmtId="160" xfId="0" applyNumberFormat="1"/>
    <xf fontId="0" fillId="0" borderId="0" numFmtId="0" xfId="0" applyAlignment="1">
      <alignment horizontal="center"/>
    </xf>
    <xf fontId="0" fillId="0" borderId="0" numFmtId="0" xfId="0" applyAlignment="1">
      <alignment horizontal="right" vertical="center"/>
    </xf>
    <xf fontId="0" fillId="3" borderId="0" numFmtId="0" xfId="0" applyFill="1" applyAlignment="1">
      <alignment horizontal="center"/>
    </xf>
    <xf fontId="0" fillId="0" borderId="0" numFmtId="161" xfId="0" applyNumberFormat="1"/>
    <xf fontId="0" fillId="0" borderId="0" numFmtId="2" xfId="0" applyNumberFormat="1"/>
    <xf fontId="0" fillId="4" borderId="0" numFmtId="0" xfId="0" applyFill="1" applyAlignment="1">
      <alignment horizontal="center" vertical="center"/>
    </xf>
    <xf fontId="0" fillId="5" borderId="0" numFmtId="0" xfId="0" applyFill="1" applyAlignment="1">
      <alignment horizontal="center" vertical="center"/>
    </xf>
    <xf fontId="0" fillId="0" borderId="0" numFmtId="0" xfId="0" applyAlignment="1">
      <alignment horizontal="center" vertical="center"/>
    </xf>
    <xf fontId="3" fillId="0" borderId="0" numFmtId="0" xfId="0" applyFont="1" applyAlignment="1">
      <alignment horizontal="center" vertical="center" wrapText="1"/>
    </xf>
    <xf fontId="3" fillId="0" borderId="0" numFmtId="2" xfId="0" applyNumberFormat="1" applyFont="1" applyAlignment="1">
      <alignment horizontal="center" vertical="center" wrapText="1"/>
    </xf>
    <xf fontId="0" fillId="0" borderId="0" numFmtId="0" xfId="0" applyAlignment="1">
      <alignment horizontal="center" vertical="top" wrapText="1"/>
    </xf>
    <xf fontId="0" fillId="0" borderId="0" numFmt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solidFill>
                  <a:sysClr val="windowText" lastClr="000000"/>
                </a:solidFill>
              </a:rPr>
              <a:t>Кореляційне поле</a:t>
            </a:r>
            <a:endParaRPr/>
          </a:p>
        </c:rich>
      </c:tx>
      <c:layout>
        <c:manualLayout>
          <c:xMode val="edge"/>
          <c:yMode val="edge"/>
          <c:x val="0.34839566929133858"/>
          <c:y val="0.032407407407407406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 xml:space="preserve">'Частина 2'!$B$5:$B$34</c:f>
              <c:numCache>
                <c:formatCode>General</c:formatCode>
                <c:ptCount val="30"/>
                <c:pt idx="0">
                  <c:v>1305</c:v>
                </c:pt>
                <c:pt idx="1">
                  <c:v>1243</c:v>
                </c:pt>
                <c:pt idx="2">
                  <c:v>1846</c:v>
                </c:pt>
                <c:pt idx="3">
                  <c:v>930</c:v>
                </c:pt>
                <c:pt idx="4">
                  <c:v>1272</c:v>
                </c:pt>
                <c:pt idx="5">
                  <c:v>1006</c:v>
                </c:pt>
                <c:pt idx="6">
                  <c:v>1395</c:v>
                </c:pt>
                <c:pt idx="7">
                  <c:v>726</c:v>
                </c:pt>
                <c:pt idx="8">
                  <c:v>412</c:v>
                </c:pt>
                <c:pt idx="9">
                  <c:v>1471</c:v>
                </c:pt>
                <c:pt idx="10">
                  <c:v>770</c:v>
                </c:pt>
                <c:pt idx="11">
                  <c:v>2199</c:v>
                </c:pt>
                <c:pt idx="12">
                  <c:v>2399</c:v>
                </c:pt>
                <c:pt idx="13">
                  <c:v>2002</c:v>
                </c:pt>
                <c:pt idx="14">
                  <c:v>1043</c:v>
                </c:pt>
                <c:pt idx="15">
                  <c:v>830</c:v>
                </c:pt>
                <c:pt idx="16">
                  <c:v>471</c:v>
                </c:pt>
                <c:pt idx="17">
                  <c:v>662</c:v>
                </c:pt>
                <c:pt idx="18">
                  <c:v>157</c:v>
                </c:pt>
                <c:pt idx="19">
                  <c:v>568</c:v>
                </c:pt>
              </c:numCache>
            </c:numRef>
          </c:xVal>
          <c:yVal>
            <c:numRef>
              <c:f xml:space="preserve">'Частина 2'!$E$5:$E$34</c:f>
              <c:numCache>
                <c:formatCode>General</c:formatCode>
                <c:ptCount val="30"/>
                <c:pt idx="0">
                  <c:v>0.125</c:v>
                </c:pt>
                <c:pt idx="1">
                  <c:v>0.095</c:v>
                </c:pt>
                <c:pt idx="2">
                  <c:v>0.254</c:v>
                </c:pt>
                <c:pt idx="3">
                  <c:v>0.283</c:v>
                </c:pt>
                <c:pt idx="4">
                  <c:v>0</c:v>
                </c:pt>
                <c:pt idx="5">
                  <c:v>0.053</c:v>
                </c:pt>
                <c:pt idx="6">
                  <c:v>0</c:v>
                </c:pt>
                <c:pt idx="7">
                  <c:v>0.482</c:v>
                </c:pt>
                <c:pt idx="8">
                  <c:v>0.529</c:v>
                </c:pt>
                <c:pt idx="9">
                  <c:v>0.386</c:v>
                </c:pt>
                <c:pt idx="10">
                  <c:v>0.45</c:v>
                </c:pt>
                <c:pt idx="11">
                  <c:v>0.586</c:v>
                </c:pt>
                <c:pt idx="12">
                  <c:v>0.394</c:v>
                </c:pt>
                <c:pt idx="13">
                  <c:v>0.57</c:v>
                </c:pt>
                <c:pt idx="14">
                  <c:v>0.54</c:v>
                </c:pt>
                <c:pt idx="15">
                  <c:v>0.39</c:v>
                </c:pt>
                <c:pt idx="16">
                  <c:v>0.35</c:v>
                </c:pt>
                <c:pt idx="17">
                  <c:v>0.543</c:v>
                </c:pt>
                <c:pt idx="18">
                  <c:v>0.538</c:v>
                </c:pt>
                <c:pt idx="19">
                  <c:v>0.481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31357231"/>
        <c:axId val="299744127"/>
      </c:scatterChart>
      <c:valAx>
        <c:axId val="213135723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99744127"/>
        <c:crosses val="autoZero"/>
        <c:crossBetween val="midCat"/>
      </c:valAx>
      <c:valAx>
        <c:axId val="29974412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31357231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solidFill>
                  <a:sysClr val="windowText" lastClr="000000"/>
                </a:solidFill>
              </a:rPr>
              <a:t>Лінійне</a:t>
            </a:r>
            <a:r>
              <a:rPr lang="uk-UA">
                <a:solidFill>
                  <a:sysClr val="windowText" lastClr="000000"/>
                </a:solidFill>
              </a:rPr>
              <a:t> к</a:t>
            </a:r>
            <a:r>
              <a:rPr lang="uk-UA">
                <a:solidFill>
                  <a:sysClr val="windowText" lastClr="000000"/>
                </a:solidFill>
              </a:rPr>
              <a:t>ореляційне поле</a:t>
            </a:r>
            <a:endParaRPr/>
          </a:p>
        </c:rich>
      </c:tx>
      <c:layout>
        <c:manualLayout>
          <c:xMode val="edge"/>
          <c:yMode val="edge"/>
          <c:x val="0.25484063712410165"/>
          <c:y val="0.032407225787168058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 xml:space="preserve">'Частина 3'!$B$5:$B$24</c:f>
              <c:numCache>
                <c:formatCode>General</c:formatCode>
                <c:ptCount val="20"/>
                <c:pt idx="0">
                  <c:v>54</c:v>
                </c:pt>
                <c:pt idx="1">
                  <c:v>48</c:v>
                </c:pt>
                <c:pt idx="2">
                  <c:v>59</c:v>
                </c:pt>
                <c:pt idx="3">
                  <c:v>26</c:v>
                </c:pt>
                <c:pt idx="4">
                  <c:v>53</c:v>
                </c:pt>
                <c:pt idx="5">
                  <c:v>24</c:v>
                </c:pt>
                <c:pt idx="6">
                  <c:v>53</c:v>
                </c:pt>
                <c:pt idx="7">
                  <c:v>13</c:v>
                </c:pt>
                <c:pt idx="8">
                  <c:v>13</c:v>
                </c:pt>
                <c:pt idx="9">
                  <c:v>73</c:v>
                </c:pt>
                <c:pt idx="10">
                  <c:v>93</c:v>
                </c:pt>
                <c:pt idx="11">
                  <c:v>170</c:v>
                </c:pt>
                <c:pt idx="12">
                  <c:v>267</c:v>
                </c:pt>
                <c:pt idx="13">
                  <c:v>271</c:v>
                </c:pt>
                <c:pt idx="14">
                  <c:v>81</c:v>
                </c:pt>
                <c:pt idx="15">
                  <c:v>138</c:v>
                </c:pt>
                <c:pt idx="16">
                  <c:v>89</c:v>
                </c:pt>
                <c:pt idx="17">
                  <c:v>112</c:v>
                </c:pt>
                <c:pt idx="18">
                  <c:v>21</c:v>
                </c:pt>
                <c:pt idx="19">
                  <c:v>57</c:v>
                </c:pt>
              </c:numCache>
            </c:numRef>
          </c:xVal>
          <c:yVal>
            <c:numRef>
              <c:f xml:space="preserve">'Частина 3'!$E$5:$E$24</c:f>
              <c:numCache>
                <c:formatCode>General</c:formatCode>
                <c:ptCount val="20"/>
                <c:pt idx="0">
                  <c:v>0.125</c:v>
                </c:pt>
                <c:pt idx="1">
                  <c:v>0.095</c:v>
                </c:pt>
                <c:pt idx="2">
                  <c:v>0.254</c:v>
                </c:pt>
                <c:pt idx="3">
                  <c:v>0.283</c:v>
                </c:pt>
                <c:pt idx="4">
                  <c:v>0</c:v>
                </c:pt>
                <c:pt idx="5">
                  <c:v>0.053</c:v>
                </c:pt>
                <c:pt idx="6">
                  <c:v>0</c:v>
                </c:pt>
                <c:pt idx="7">
                  <c:v>0.482</c:v>
                </c:pt>
                <c:pt idx="8">
                  <c:v>0.529</c:v>
                </c:pt>
                <c:pt idx="9">
                  <c:v>0.386</c:v>
                </c:pt>
                <c:pt idx="10">
                  <c:v>0.45</c:v>
                </c:pt>
                <c:pt idx="11">
                  <c:v>0.586</c:v>
                </c:pt>
                <c:pt idx="12">
                  <c:v>0.394</c:v>
                </c:pt>
                <c:pt idx="13">
                  <c:v>0.57</c:v>
                </c:pt>
                <c:pt idx="14">
                  <c:v>0.54</c:v>
                </c:pt>
                <c:pt idx="15">
                  <c:v>0.39</c:v>
                </c:pt>
                <c:pt idx="16">
                  <c:v>0.35</c:v>
                </c:pt>
                <c:pt idx="17">
                  <c:v>0.543</c:v>
                </c:pt>
                <c:pt idx="18">
                  <c:v>0.538</c:v>
                </c:pt>
                <c:pt idx="19">
                  <c:v>0.481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31357231"/>
        <c:axId val="299744127"/>
      </c:scatterChart>
      <c:valAx>
        <c:axId val="213135723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99744127"/>
        <c:crosses val="autoZero"/>
        <c:crossBetween val="midCat"/>
      </c:valAx>
      <c:valAx>
        <c:axId val="29974412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31357231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solidFill>
                  <a:sysClr val="windowText" lastClr="000000"/>
                </a:solidFill>
              </a:rPr>
              <a:t>Показникове</a:t>
            </a:r>
            <a:r>
              <a:rPr lang="uk-UA">
                <a:solidFill>
                  <a:sysClr val="windowText" lastClr="000000"/>
                </a:solidFill>
              </a:rPr>
              <a:t> к</a:t>
            </a:r>
            <a:r>
              <a:rPr lang="uk-UA">
                <a:solidFill>
                  <a:sysClr val="windowText" lastClr="000000"/>
                </a:solidFill>
              </a:rPr>
              <a:t>ореляційне поле</a:t>
            </a:r>
            <a:endParaRPr/>
          </a:p>
        </c:rich>
      </c:tx>
      <c:layout>
        <c:manualLayout>
          <c:xMode val="edge"/>
          <c:yMode val="edge"/>
          <c:x val="0.19220249180470697"/>
          <c:y val="0.056216722909636287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2540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51966404199475062"/>
                  <c:y val="0.14894740666067266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 xml:space="preserve">'Частина 3'!$H$5:$H$24</c:f>
              <c:numCache>
                <c:formatCode>General</c:formatCode>
                <c:ptCount val="20"/>
                <c:pt idx="0">
                  <c:v>1.7331972651065695</c:v>
                </c:pt>
                <c:pt idx="1">
                  <c:v>1.6821450763738317</c:v>
                </c:pt>
                <c:pt idx="2">
                  <c:v>1.7715874808812553</c:v>
                </c:pt>
                <c:pt idx="3">
                  <c:v>1.416640507338281</c:v>
                </c:pt>
                <c:pt idx="4">
                  <c:v>1.725094521081469</c:v>
                </c:pt>
                <c:pt idx="5">
                  <c:v>1.3820170425748683</c:v>
                </c:pt>
                <c:pt idx="6">
                  <c:v>1.725094521081469</c:v>
                </c:pt>
                <c:pt idx="7">
                  <c:v>1.1172712956557642</c:v>
                </c:pt>
                <c:pt idx="8">
                  <c:v>1.1172712956557642</c:v>
                </c:pt>
                <c:pt idx="9">
                  <c:v>1.8639173769578605</c:v>
                </c:pt>
                <c:pt idx="10">
                  <c:v>1.9689496809813425</c:v>
                </c:pt>
                <c:pt idx="11">
                  <c:v>2.230704313612569</c:v>
                </c:pt>
                <c:pt idx="12">
                  <c:v>2.426673888021373</c:v>
                </c:pt>
                <c:pt idx="13">
                  <c:v>2.4331295175804857</c:v>
                </c:pt>
                <c:pt idx="14">
                  <c:v>1.909020854211156</c:v>
                </c:pt>
                <c:pt idx="15">
                  <c:v>2.140193678578631</c:v>
                </c:pt>
                <c:pt idx="16">
                  <c:v>1.9498777040368747</c:v>
                </c:pt>
                <c:pt idx="17">
                  <c:v>2.049605612594973</c:v>
                </c:pt>
                <c:pt idx="18">
                  <c:v>1.3242824552976926</c:v>
                </c:pt>
                <c:pt idx="19">
                  <c:v>1.7566361082458481</c:v>
                </c:pt>
              </c:numCache>
            </c:numRef>
          </c:xVal>
          <c:yVal>
            <c:numRef>
              <c:f xml:space="preserve">'Частина 3'!$I$5:$I$24</c:f>
              <c:numCache>
                <c:formatCode>General</c:formatCode>
                <c:ptCount val="20"/>
                <c:pt idx="0">
                  <c:v>-0.6478174818886375</c:v>
                </c:pt>
                <c:pt idx="1">
                  <c:v>-0.7099653886374819</c:v>
                </c:pt>
                <c:pt idx="2">
                  <c:v>-0.4509967379742122</c:v>
                </c:pt>
                <c:pt idx="3">
                  <c:v>-0.41680122603137726</c:v>
                </c:pt>
                <c:pt idx="4">
                  <c:v>-1</c:v>
                </c:pt>
                <c:pt idx="5">
                  <c:v>-0.8153085691824012</c:v>
                </c:pt>
                <c:pt idx="6">
                  <c:v>-1</c:v>
                </c:pt>
                <c:pt idx="7">
                  <c:v>-0.23507701535011155</c:v>
                </c:pt>
                <c:pt idx="8">
                  <c:v>-0.20134935455473107</c:v>
                </c:pt>
                <c:pt idx="9">
                  <c:v>-0.3133637307377066</c:v>
                </c:pt>
                <c:pt idx="10">
                  <c:v>-0.2596373105057561</c:v>
                </c:pt>
                <c:pt idx="11">
                  <c:v>-0.16367588429324834</c:v>
                </c:pt>
                <c:pt idx="12">
                  <c:v>-0.30627305107635305</c:v>
                </c:pt>
                <c:pt idx="13">
                  <c:v>-0.1739251972991736</c:v>
                </c:pt>
                <c:pt idx="14">
                  <c:v>-0.1938200260161128</c:v>
                </c:pt>
                <c:pt idx="15">
                  <c:v>-0.3098039199714863</c:v>
                </c:pt>
                <c:pt idx="16">
                  <c:v>-0.3467874862246564</c:v>
                </c:pt>
                <c:pt idx="17">
                  <c:v>-0.1917890270757779</c:v>
                </c:pt>
                <c:pt idx="18">
                  <c:v>-0.19517932127883766</c:v>
                </c:pt>
                <c:pt idx="19">
                  <c:v>-0.2358238676096693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31357231"/>
        <c:axId val="299744127"/>
      </c:scatterChart>
      <c:valAx>
        <c:axId val="213135723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99744127"/>
        <c:crosses val="autoZero"/>
        <c:crossBetween val="midCat"/>
      </c:valAx>
      <c:valAx>
        <c:axId val="29974412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31357231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solidFill>
                  <a:sysClr val="windowText" lastClr="000000"/>
                </a:solidFill>
              </a:rPr>
              <a:t>Експоненційне кореляційне поле</a:t>
            </a:r>
            <a:endParaRPr/>
          </a:p>
        </c:rich>
      </c:tx>
      <c:layout>
        <c:manualLayout>
          <c:xMode val="edge"/>
          <c:yMode val="edge"/>
          <c:x val="0.15605955678670361"/>
          <c:y val="0.032407199100112492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2540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010646160298491431"/>
                  <c:y val="0.22251153950583763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 xml:space="preserve">'Частина 3'!$B$5:$B$24</c:f>
              <c:numCache>
                <c:formatCode>General</c:formatCode>
                <c:ptCount val="20"/>
                <c:pt idx="0">
                  <c:v>54</c:v>
                </c:pt>
                <c:pt idx="1">
                  <c:v>48</c:v>
                </c:pt>
                <c:pt idx="2">
                  <c:v>59</c:v>
                </c:pt>
                <c:pt idx="3">
                  <c:v>26</c:v>
                </c:pt>
                <c:pt idx="4">
                  <c:v>53</c:v>
                </c:pt>
                <c:pt idx="5">
                  <c:v>24</c:v>
                </c:pt>
                <c:pt idx="6">
                  <c:v>53</c:v>
                </c:pt>
                <c:pt idx="7">
                  <c:v>13</c:v>
                </c:pt>
                <c:pt idx="8">
                  <c:v>13</c:v>
                </c:pt>
                <c:pt idx="9">
                  <c:v>73</c:v>
                </c:pt>
                <c:pt idx="10">
                  <c:v>93</c:v>
                </c:pt>
                <c:pt idx="11">
                  <c:v>170</c:v>
                </c:pt>
                <c:pt idx="12">
                  <c:v>267</c:v>
                </c:pt>
                <c:pt idx="13">
                  <c:v>271</c:v>
                </c:pt>
                <c:pt idx="14">
                  <c:v>81</c:v>
                </c:pt>
                <c:pt idx="15">
                  <c:v>138</c:v>
                </c:pt>
                <c:pt idx="16">
                  <c:v>89</c:v>
                </c:pt>
                <c:pt idx="17">
                  <c:v>112</c:v>
                </c:pt>
                <c:pt idx="18">
                  <c:v>21</c:v>
                </c:pt>
                <c:pt idx="19">
                  <c:v>57</c:v>
                </c:pt>
              </c:numCache>
            </c:numRef>
          </c:xVal>
          <c:yVal>
            <c:numRef>
              <c:f xml:space="preserve">'Частина 3'!$I$5:$I$24</c:f>
              <c:numCache>
                <c:formatCode>General</c:formatCode>
                <c:ptCount val="20"/>
                <c:pt idx="0">
                  <c:v>-0.6478174818886375</c:v>
                </c:pt>
                <c:pt idx="1">
                  <c:v>-0.7099653886374819</c:v>
                </c:pt>
                <c:pt idx="2">
                  <c:v>-0.4509967379742122</c:v>
                </c:pt>
                <c:pt idx="3">
                  <c:v>-0.41680122603137726</c:v>
                </c:pt>
                <c:pt idx="4">
                  <c:v>-1</c:v>
                </c:pt>
                <c:pt idx="5">
                  <c:v>-0.8153085691824012</c:v>
                </c:pt>
                <c:pt idx="6">
                  <c:v>-1</c:v>
                </c:pt>
                <c:pt idx="7">
                  <c:v>-0.23507701535011155</c:v>
                </c:pt>
                <c:pt idx="8">
                  <c:v>-0.20134935455473107</c:v>
                </c:pt>
                <c:pt idx="9">
                  <c:v>-0.3133637307377066</c:v>
                </c:pt>
                <c:pt idx="10">
                  <c:v>-0.2596373105057561</c:v>
                </c:pt>
                <c:pt idx="11">
                  <c:v>-0.16367588429324834</c:v>
                </c:pt>
                <c:pt idx="12">
                  <c:v>-0.30627305107635305</c:v>
                </c:pt>
                <c:pt idx="13">
                  <c:v>-0.1739251972991736</c:v>
                </c:pt>
                <c:pt idx="14">
                  <c:v>-0.1938200260161128</c:v>
                </c:pt>
                <c:pt idx="15">
                  <c:v>-0.3098039199714863</c:v>
                </c:pt>
                <c:pt idx="16">
                  <c:v>-0.3467874862246564</c:v>
                </c:pt>
                <c:pt idx="17">
                  <c:v>-0.1917890270757779</c:v>
                </c:pt>
                <c:pt idx="18">
                  <c:v>-0.19517932127883766</c:v>
                </c:pt>
                <c:pt idx="19">
                  <c:v>-0.2358238676096693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31357231"/>
        <c:axId val="299744127"/>
      </c:scatterChart>
      <c:valAx>
        <c:axId val="213135723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99744127"/>
        <c:crosses val="autoZero"/>
        <c:crossBetween val="midCat"/>
      </c:valAx>
      <c:valAx>
        <c:axId val="29974412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31357231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Relationship Id="rId2" Type="http://schemas.openxmlformats.org/officeDocument/2006/relationships/chart" Target="../charts/chart3.xml" /><Relationship Id="rId3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</xdr:col>
      <xdr:colOff>281152</xdr:colOff>
      <xdr:row>4</xdr:row>
      <xdr:rowOff>88</xdr:rowOff>
    </xdr:from>
    <xdr:ext cx="151067" cy="172226"/>
    <xdr:sp>
      <xdr:nvSpPr>
        <xdr:cNvPr id="2" name="TextBox 1" hidden="0"/>
        <xdr:cNvSpPr txBox="1"/>
      </xdr:nvSpPr>
      <xdr:spPr bwMode="auto">
        <a:xfrm>
          <a:off x="894255" y="735812"/>
          <a:ext cx="151067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13</xdr:col>
      <xdr:colOff>251460</xdr:colOff>
      <xdr:row>7</xdr:row>
      <xdr:rowOff>15240</xdr:rowOff>
    </xdr:from>
    <xdr:ext cx="111247" cy="172226"/>
    <xdr:sp>
      <xdr:nvSpPr>
        <xdr:cNvPr id="4" name="TextBox 3" hidden="0"/>
        <xdr:cNvSpPr txBox="1"/>
      </xdr:nvSpPr>
      <xdr:spPr bwMode="auto">
        <a:xfrm>
          <a:off x="5737860" y="6781800"/>
          <a:ext cx="111248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acc>
                      <m:accPr>
                        <m:chr m:val="̅"/>
                        <m:ctrlPr>
                          <a:rPr lang="uk-UA" sz="1100" i="1">
                            <a:latin typeface="Cambria Math"/>
                          </a:rPr>
                        </m:ctrlPr>
                      </m:acc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13</xdr:col>
      <xdr:colOff>243840</xdr:colOff>
      <xdr:row>8</xdr:row>
      <xdr:rowOff>15240</xdr:rowOff>
    </xdr:from>
    <xdr:ext cx="179152" cy="175369"/>
    <xdr:sp>
      <xdr:nvSpPr>
        <xdr:cNvPr id="5" name="TextBox 4" hidden="0"/>
        <xdr:cNvSpPr txBox="1"/>
      </xdr:nvSpPr>
      <xdr:spPr bwMode="auto">
        <a:xfrm>
          <a:off x="5730240" y="6964680"/>
          <a:ext cx="179152" cy="175369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p>
                      <m:sSupPr>
                        <m:ctrlPr>
                          <a:rPr lang="uk-UA" sz="1100" i="1">
                            <a:latin typeface="Cambria Math"/>
                          </a:rPr>
                        </m:ctrlPr>
                      </m:sSup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𝑆</m:t>
                        </m:r>
                      </m:e>
                      <m:sup>
                        <m:r>
                          <m:rPr/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2</xdr:col>
      <xdr:colOff>53340</xdr:colOff>
      <xdr:row>4</xdr:row>
      <xdr:rowOff>0</xdr:rowOff>
    </xdr:from>
    <xdr:ext cx="515654" cy="172226"/>
    <xdr:sp>
      <xdr:nvSpPr>
        <xdr:cNvPr id="6" name="TextBox 5" hidden="0"/>
        <xdr:cNvSpPr txBox="1"/>
      </xdr:nvSpPr>
      <xdr:spPr bwMode="auto">
        <a:xfrm>
          <a:off x="1272540" y="6766560"/>
          <a:ext cx="515654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r>
                      <m:rPr/>
                      <a:rPr lang="en-US" sz="1100" b="0" i="1">
                        <a:latin typeface="Cambria Math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m:rPr/>
                      <a:rPr lang="en-US" sz="1100" b="0" i="1">
                        <a:latin typeface="Cambria Math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m:rPr/>
                      <a:rPr lang="en-US" sz="1100" b="0" i="1">
                        <a:latin typeface="Cambria Math"/>
                      </a:rPr>
                      <m:t>)</m:t>
                    </m:r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3</xdr:col>
      <xdr:colOff>38100</xdr:colOff>
      <xdr:row>4</xdr:row>
      <xdr:rowOff>0</xdr:rowOff>
    </xdr:from>
    <xdr:ext cx="581057" cy="175369"/>
    <xdr:sp>
      <xdr:nvSpPr>
        <xdr:cNvPr id="7" name="TextBox 6" hidden="0"/>
        <xdr:cNvSpPr txBox="1"/>
      </xdr:nvSpPr>
      <xdr:spPr bwMode="auto">
        <a:xfrm>
          <a:off x="1866900" y="6766560"/>
          <a:ext cx="581057" cy="175369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m:rPr/>
                          <a:rPr lang="en-US" sz="11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m:rPr/>
                          <a:rPr lang="en-US" sz="11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m:rPr/>
                          <a:rPr lang="en-US" sz="11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m:rPr/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6</xdr:col>
      <xdr:colOff>113599</xdr:colOff>
      <xdr:row>4</xdr:row>
      <xdr:rowOff>7620</xdr:rowOff>
    </xdr:from>
    <xdr:ext cx="411395" cy="184731"/>
    <xdr:sp>
      <xdr:nvSpPr>
        <xdr:cNvPr id="8" name="TextBox 7" hidden="0"/>
        <xdr:cNvSpPr txBox="1"/>
      </xdr:nvSpPr>
      <xdr:spPr bwMode="auto">
        <a:xfrm>
          <a:off x="3582012" y="559413"/>
          <a:ext cx="411395" cy="184731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uk-UA" sz="1100" b="0" i="1">
                            <a:latin typeface="Cambria Math"/>
                          </a:rPr>
                          <m:t>Не </m:t>
                        </m:r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m:rPr/>
                          <a:rPr lang="uk-UA" sz="1100" b="0" i="1">
                            <a:latin typeface="Cambria Math"/>
                          </a:rPr>
                          <m:t>гр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13</xdr:col>
      <xdr:colOff>251460</xdr:colOff>
      <xdr:row>15</xdr:row>
      <xdr:rowOff>15240</xdr:rowOff>
    </xdr:from>
    <xdr:ext cx="111247" cy="172226"/>
    <xdr:sp>
      <xdr:nvSpPr>
        <xdr:cNvPr id="9" name="TextBox 8" hidden="0"/>
        <xdr:cNvSpPr txBox="1"/>
      </xdr:nvSpPr>
      <xdr:spPr bwMode="auto">
        <a:xfrm>
          <a:off x="5737860" y="6781800"/>
          <a:ext cx="111248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acc>
                      <m:accPr>
                        <m:chr m:val="̅"/>
                        <m:ctrlPr>
                          <a:rPr lang="uk-UA" sz="1100" i="1">
                            <a:latin typeface="Cambria Math"/>
                          </a:rPr>
                        </m:ctrlPr>
                      </m:acc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13</xdr:col>
      <xdr:colOff>243840</xdr:colOff>
      <xdr:row>16</xdr:row>
      <xdr:rowOff>15240</xdr:rowOff>
    </xdr:from>
    <xdr:ext cx="179152" cy="175369"/>
    <xdr:sp>
      <xdr:nvSpPr>
        <xdr:cNvPr id="10" name="TextBox 9" hidden="0"/>
        <xdr:cNvSpPr txBox="1"/>
      </xdr:nvSpPr>
      <xdr:spPr bwMode="auto">
        <a:xfrm>
          <a:off x="5730240" y="6964680"/>
          <a:ext cx="179152" cy="175369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p>
                      <m:sSupPr>
                        <m:ctrlPr>
                          <a:rPr lang="uk-UA" sz="1100" i="1">
                            <a:latin typeface="Cambria Math"/>
                          </a:rPr>
                        </m:ctrlPr>
                      </m:sSup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𝑆</m:t>
                        </m:r>
                      </m:e>
                      <m:sup>
                        <m:r>
                          <m:rPr/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8</xdr:col>
      <xdr:colOff>53340</xdr:colOff>
      <xdr:row>4</xdr:row>
      <xdr:rowOff>0</xdr:rowOff>
    </xdr:from>
    <xdr:ext cx="515654" cy="172226"/>
    <xdr:sp>
      <xdr:nvSpPr>
        <xdr:cNvPr id="11" name="TextBox 10" hidden="0"/>
        <xdr:cNvSpPr txBox="1"/>
      </xdr:nvSpPr>
      <xdr:spPr bwMode="auto">
        <a:xfrm>
          <a:off x="4320540" y="6766560"/>
          <a:ext cx="515654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r>
                      <m:rPr/>
                      <a:rPr lang="en-US" sz="1100" b="0" i="1">
                        <a:latin typeface="Cambria Math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m:rPr/>
                      <a:rPr lang="en-US" sz="1100" b="0" i="1">
                        <a:latin typeface="Cambria Math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m:rPr/>
                      <a:rPr lang="en-US" sz="1100" b="0" i="1">
                        <a:latin typeface="Cambria Math"/>
                      </a:rPr>
                      <m:t>)</m:t>
                    </m:r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9</xdr:col>
      <xdr:colOff>45720</xdr:colOff>
      <xdr:row>4</xdr:row>
      <xdr:rowOff>0</xdr:rowOff>
    </xdr:from>
    <xdr:ext cx="581057" cy="175369"/>
    <xdr:sp>
      <xdr:nvSpPr>
        <xdr:cNvPr id="12" name="TextBox 11" hidden="0"/>
        <xdr:cNvSpPr txBox="1"/>
      </xdr:nvSpPr>
      <xdr:spPr bwMode="auto">
        <a:xfrm>
          <a:off x="4922520" y="6766560"/>
          <a:ext cx="581057" cy="175369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m:rPr/>
                          <a:rPr lang="en-US" sz="11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m:rPr/>
                          <a:rPr lang="en-US" sz="11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m:rPr/>
                          <a:rPr lang="en-US" sz="11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m:rPr/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13</xdr:col>
      <xdr:colOff>231140</xdr:colOff>
      <xdr:row>20</xdr:row>
      <xdr:rowOff>12700</xdr:rowOff>
    </xdr:from>
    <xdr:ext cx="122532" cy="181525"/>
    <xdr:sp>
      <xdr:nvSpPr>
        <xdr:cNvPr id="13" name="TextBox 12" hidden="0"/>
        <xdr:cNvSpPr txBox="1"/>
      </xdr:nvSpPr>
      <xdr:spPr bwMode="auto">
        <a:xfrm>
          <a:off x="7768590" y="3511550"/>
          <a:ext cx="122533" cy="181525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acc>
                      <m:accPr>
                        <m:chr m:val="̂"/>
                        <m:ctrlPr>
                          <a:rPr lang="uk-UA" sz="1100" i="1">
                            <a:latin typeface="Cambria Math"/>
                          </a:rPr>
                        </m:ctrlPr>
                      </m:acc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𝐴</m:t>
                        </m:r>
                      </m:e>
                    </m:acc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13</xdr:col>
      <xdr:colOff>251460</xdr:colOff>
      <xdr:row>23</xdr:row>
      <xdr:rowOff>7620</xdr:rowOff>
    </xdr:from>
    <xdr:ext cx="125484" cy="180370"/>
    <xdr:sp>
      <xdr:nvSpPr>
        <xdr:cNvPr id="14" name="TextBox 13" hidden="0"/>
        <xdr:cNvSpPr txBox="1"/>
      </xdr:nvSpPr>
      <xdr:spPr bwMode="auto">
        <a:xfrm>
          <a:off x="7101840" y="9517380"/>
          <a:ext cx="125484" cy="18037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acc>
                      <m:accPr>
                        <m:chr m:val="̂"/>
                        <m:ctrlPr>
                          <a:rPr lang="uk-UA" sz="1100" i="1">
                            <a:latin typeface="Cambria Math"/>
                          </a:rPr>
                        </m:ctrlPr>
                      </m:acc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𝐸</m:t>
                        </m:r>
                      </m:e>
                    </m:acc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10</xdr:col>
      <xdr:colOff>30480</xdr:colOff>
      <xdr:row>3</xdr:row>
      <xdr:rowOff>175260</xdr:rowOff>
    </xdr:from>
    <xdr:ext cx="581057" cy="175369"/>
    <xdr:sp>
      <xdr:nvSpPr>
        <xdr:cNvPr id="15" name="TextBox 14" hidden="0"/>
        <xdr:cNvSpPr txBox="1"/>
      </xdr:nvSpPr>
      <xdr:spPr bwMode="auto">
        <a:xfrm>
          <a:off x="5516880" y="6758940"/>
          <a:ext cx="581057" cy="175369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m:rPr/>
                          <a:rPr lang="en-US" sz="11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m:rPr/>
                          <a:rPr lang="en-US" sz="11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m:rPr/>
                          <a:rPr lang="en-US" sz="11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m:rPr/>
                          <a:rPr lang="uk-UA" sz="1100" b="0" i="1">
                            <a:latin typeface="Cambria Math"/>
                          </a:rPr>
                          <m:t>3</m:t>
                        </m:r>
                      </m:sup>
                    </m:sSup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11</xdr:col>
      <xdr:colOff>76200</xdr:colOff>
      <xdr:row>4</xdr:row>
      <xdr:rowOff>0</xdr:rowOff>
    </xdr:from>
    <xdr:ext cx="581057" cy="174663"/>
    <xdr:sp>
      <xdr:nvSpPr>
        <xdr:cNvPr id="16" name="TextBox 15" hidden="0"/>
        <xdr:cNvSpPr txBox="1"/>
      </xdr:nvSpPr>
      <xdr:spPr bwMode="auto">
        <a:xfrm>
          <a:off x="6172200" y="6766560"/>
          <a:ext cx="581057" cy="174663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m:rPr/>
                          <a:rPr lang="en-US" sz="11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m:rPr/>
                          <a:rPr lang="en-US" sz="11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m:rPr/>
                          <a:rPr lang="en-US" sz="11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m:rPr/>
                          <a:rPr lang="uk-UA" sz="1100" b="0" i="1">
                            <a:latin typeface="Cambria Math"/>
                          </a:rPr>
                          <m:t>4</m:t>
                        </m:r>
                      </m:sup>
                    </m:sSup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13</xdr:col>
      <xdr:colOff>243840</xdr:colOff>
      <xdr:row>8</xdr:row>
      <xdr:rowOff>15240</xdr:rowOff>
    </xdr:from>
    <xdr:ext cx="171027" cy="171027"/>
    <xdr:sp>
      <xdr:nvSpPr>
        <xdr:cNvPr id="17" name="TextBox 16" hidden="0"/>
        <xdr:cNvSpPr txBox="1"/>
      </xdr:nvSpPr>
      <xdr:spPr bwMode="auto">
        <a:xfrm>
          <a:off x="8261773" y="1505373"/>
          <a:ext cx="171027" cy="1710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>
            <a:defRPr/>
          </a:pPr>
          <a:endParaRPr lang="uk-UA" sz="1100" i="0"/>
        </a:p>
      </xdr:txBody>
    </xdr:sp>
    <xdr:clientData/>
  </xdr:oneCellAnchor>
  <xdr:oneCellAnchor>
    <xdr:from>
      <xdr:col>7</xdr:col>
      <xdr:colOff>249621</xdr:colOff>
      <xdr:row>4</xdr:row>
      <xdr:rowOff>3592</xdr:rowOff>
    </xdr:from>
    <xdr:ext cx="151067" cy="172226"/>
    <xdr:sp>
      <xdr:nvSpPr>
        <xdr:cNvPr id="19" name="TextBox 18" hidden="0"/>
        <xdr:cNvSpPr txBox="1"/>
      </xdr:nvSpPr>
      <xdr:spPr bwMode="auto">
        <a:xfrm>
          <a:off x="4331138" y="739316"/>
          <a:ext cx="151067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13</xdr:col>
      <xdr:colOff>165393</xdr:colOff>
      <xdr:row>29</xdr:row>
      <xdr:rowOff>6806</xdr:rowOff>
    </xdr:from>
    <xdr:ext cx="280777" cy="172226"/>
    <xdr:sp>
      <xdr:nvSpPr>
        <xdr:cNvPr id="21" name="TextBox 20" hidden="0"/>
        <xdr:cNvSpPr txBox="1"/>
      </xdr:nvSpPr>
      <xdr:spPr bwMode="auto">
        <a:xfrm>
          <a:off x="8101222" y="5313234"/>
          <a:ext cx="280777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𝑚𝑖𝑛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13</xdr:col>
      <xdr:colOff>172410</xdr:colOff>
      <xdr:row>30</xdr:row>
      <xdr:rowOff>3798</xdr:rowOff>
    </xdr:from>
    <xdr:ext cx="280777" cy="172226"/>
    <xdr:sp>
      <xdr:nvSpPr>
        <xdr:cNvPr id="22" name="TextBox 21" hidden="0"/>
        <xdr:cNvSpPr txBox="1"/>
      </xdr:nvSpPr>
      <xdr:spPr bwMode="auto">
        <a:xfrm>
          <a:off x="8108240" y="5493206"/>
          <a:ext cx="280777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𝑚𝑎𝑥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</xdr:col>
      <xdr:colOff>312420</xdr:colOff>
      <xdr:row>3</xdr:row>
      <xdr:rowOff>0</xdr:rowOff>
    </xdr:from>
    <xdr:ext cx="151067" cy="172226"/>
    <xdr:sp>
      <xdr:nvSpPr>
        <xdr:cNvPr id="2" name="TextBox 1" hidden="0"/>
        <xdr:cNvSpPr txBox="1"/>
      </xdr:nvSpPr>
      <xdr:spPr bwMode="auto">
        <a:xfrm>
          <a:off x="922020" y="548640"/>
          <a:ext cx="151067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4</xdr:col>
      <xdr:colOff>304800</xdr:colOff>
      <xdr:row>2</xdr:row>
      <xdr:rowOff>175260</xdr:rowOff>
    </xdr:from>
    <xdr:ext cx="151067" cy="172226"/>
    <xdr:sp>
      <xdr:nvSpPr>
        <xdr:cNvPr id="3" name="TextBox 2" hidden="0"/>
        <xdr:cNvSpPr txBox="1"/>
      </xdr:nvSpPr>
      <xdr:spPr bwMode="auto">
        <a:xfrm>
          <a:off x="3040380" y="541020"/>
          <a:ext cx="151067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18</xdr:col>
      <xdr:colOff>259079</xdr:colOff>
      <xdr:row>7</xdr:row>
      <xdr:rowOff>15240</xdr:rowOff>
    </xdr:from>
    <xdr:ext cx="251460" cy="172226"/>
    <xdr:sp>
      <xdr:nvSpPr>
        <xdr:cNvPr id="4" name="TextBox 3" hidden="0"/>
        <xdr:cNvSpPr txBox="1"/>
      </xdr:nvSpPr>
      <xdr:spPr bwMode="auto">
        <a:xfrm>
          <a:off x="8999220" y="1112520"/>
          <a:ext cx="251460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"/>
                  </m:oMathParaPr>
                  <m:oMath>
                    <m:acc>
                      <m:accPr>
                        <m:chr m:val="̂"/>
                        <m:ctrlPr>
                          <a:rPr lang="uk-UA" sz="1100" i="1">
                            <a:latin typeface="Cambria Math"/>
                          </a:rPr>
                        </m:ctrlPr>
                      </m:accPr>
                      <m:e>
                        <m:r>
                          <m:rPr/>
                          <a:rPr lang="uk-UA" sz="1100" i="1">
                            <a:latin typeface="Cambria Math"/>
                            <a:ea typeface="Cambria Math"/>
                          </a:rPr>
                          <m:t>𝜏</m:t>
                        </m:r>
                      </m:e>
                    </m:acc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7</xdr:col>
      <xdr:colOff>152400</xdr:colOff>
      <xdr:row>3</xdr:row>
      <xdr:rowOff>0</xdr:rowOff>
    </xdr:from>
    <xdr:ext cx="428579" cy="172226"/>
    <xdr:sp>
      <xdr:nvSpPr>
        <xdr:cNvPr id="5" name="TextBox 4" hidden="0"/>
        <xdr:cNvSpPr txBox="1"/>
      </xdr:nvSpPr>
      <xdr:spPr bwMode="auto">
        <a:xfrm>
          <a:off x="4869180" y="548640"/>
          <a:ext cx="428579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𝑅𝑎𝑛𝑘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8</xdr:col>
      <xdr:colOff>137160</xdr:colOff>
      <xdr:row>2</xdr:row>
      <xdr:rowOff>175260</xdr:rowOff>
    </xdr:from>
    <xdr:ext cx="432683" cy="182935"/>
    <xdr:sp>
      <xdr:nvSpPr>
        <xdr:cNvPr id="6" name="TextBox 5" hidden="0"/>
        <xdr:cNvSpPr txBox="1"/>
      </xdr:nvSpPr>
      <xdr:spPr bwMode="auto">
        <a:xfrm>
          <a:off x="5463539" y="541020"/>
          <a:ext cx="432683" cy="182935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𝑅𝑎𝑛𝑘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𝑦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9</xdr:col>
      <xdr:colOff>129539</xdr:colOff>
      <xdr:row>3</xdr:row>
      <xdr:rowOff>0</xdr:rowOff>
    </xdr:from>
    <xdr:ext cx="428579" cy="172226"/>
    <xdr:sp>
      <xdr:nvSpPr>
        <xdr:cNvPr id="7" name="TextBox 6" hidden="0"/>
        <xdr:cNvSpPr txBox="1"/>
      </xdr:nvSpPr>
      <xdr:spPr bwMode="auto">
        <a:xfrm>
          <a:off x="6065520" y="548640"/>
          <a:ext cx="428579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𝑅𝑎𝑛𝑘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10</xdr:col>
      <xdr:colOff>121920</xdr:colOff>
      <xdr:row>2</xdr:row>
      <xdr:rowOff>175260</xdr:rowOff>
    </xdr:from>
    <xdr:ext cx="432683" cy="182935"/>
    <xdr:sp>
      <xdr:nvSpPr>
        <xdr:cNvPr id="8" name="TextBox 7" hidden="0"/>
        <xdr:cNvSpPr txBox="1"/>
      </xdr:nvSpPr>
      <xdr:spPr bwMode="auto">
        <a:xfrm>
          <a:off x="6667500" y="541020"/>
          <a:ext cx="432683" cy="182935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𝑅𝑎𝑛𝑘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𝑦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twoCellAnchor editAs="twoCell">
    <xdr:from>
      <xdr:col>18</xdr:col>
      <xdr:colOff>0</xdr:colOff>
      <xdr:row>13</xdr:row>
      <xdr:rowOff>0</xdr:rowOff>
    </xdr:from>
    <xdr:to>
      <xdr:col>25</xdr:col>
      <xdr:colOff>76200</xdr:colOff>
      <xdr:row>28</xdr:row>
      <xdr:rowOff>0</xdr:rowOff>
    </xdr:to>
    <xdr:graphicFrame>
      <xdr:nvGraphicFramePr>
        <xdr:cNvPr id="9" name="Chart 8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144780</xdr:colOff>
      <xdr:row>2</xdr:row>
      <xdr:rowOff>175260</xdr:rowOff>
    </xdr:from>
    <xdr:ext cx="236220" cy="175260"/>
    <xdr:sp>
      <xdr:nvSpPr>
        <xdr:cNvPr id="10" name="TextBox 9" hidden="0"/>
        <xdr:cNvSpPr txBox="1"/>
      </xdr:nvSpPr>
      <xdr:spPr bwMode="auto">
        <a:xfrm>
          <a:off x="7315200" y="541020"/>
          <a:ext cx="236220" cy="1752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𝑡𝑖𝑒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15</xdr:col>
      <xdr:colOff>160020</xdr:colOff>
      <xdr:row>2</xdr:row>
      <xdr:rowOff>167640</xdr:rowOff>
    </xdr:from>
    <xdr:ext cx="236220" cy="175260"/>
    <xdr:sp>
      <xdr:nvSpPr>
        <xdr:cNvPr id="11" name="TextBox 10" hidden="0"/>
        <xdr:cNvSpPr txBox="1"/>
      </xdr:nvSpPr>
      <xdr:spPr bwMode="auto">
        <a:xfrm>
          <a:off x="7856220" y="533400"/>
          <a:ext cx="236220" cy="1752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𝑡𝑖𝑒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18</xdr:col>
      <xdr:colOff>297180</xdr:colOff>
      <xdr:row>6</xdr:row>
      <xdr:rowOff>0</xdr:rowOff>
    </xdr:from>
    <xdr:ext cx="236220" cy="175260"/>
    <xdr:sp>
      <xdr:nvSpPr>
        <xdr:cNvPr id="12" name="TextBox 11" hidden="0"/>
        <xdr:cNvSpPr txBox="1"/>
      </xdr:nvSpPr>
      <xdr:spPr bwMode="auto">
        <a:xfrm>
          <a:off x="9037320" y="731520"/>
          <a:ext cx="236220" cy="1752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𝑛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18</xdr:col>
      <xdr:colOff>160020</xdr:colOff>
      <xdr:row>4</xdr:row>
      <xdr:rowOff>7620</xdr:rowOff>
    </xdr:from>
    <xdr:ext cx="541019" cy="173509"/>
    <xdr:sp>
      <xdr:nvSpPr>
        <xdr:cNvPr id="15" name="TextBox 14" hidden="0"/>
        <xdr:cNvSpPr txBox="1"/>
      </xdr:nvSpPr>
      <xdr:spPr bwMode="auto">
        <a:xfrm>
          <a:off x="8900160" y="1470660"/>
          <a:ext cx="541020" cy="173509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uk-UA" sz="110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𝑡</m:t>
                            </m:r>
                          </m:e>
                        </m:acc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𝑐𝑟𝑖𝑡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5080</xdr:colOff>
      <xdr:row>37</xdr:row>
      <xdr:rowOff>0</xdr:rowOff>
    </xdr:from>
    <xdr:to>
      <xdr:col>8</xdr:col>
      <xdr:colOff>568960</xdr:colOff>
      <xdr:row>49</xdr:row>
      <xdr:rowOff>7620</xdr:rowOff>
    </xdr:to>
    <xdr:graphicFrame>
      <xdr:nvGraphicFramePr>
        <xdr:cNvPr id="3" name="Chart 2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17</xdr:col>
      <xdr:colOff>378460</xdr:colOff>
      <xdr:row>36</xdr:row>
      <xdr:rowOff>180340</xdr:rowOff>
    </xdr:from>
    <xdr:to>
      <xdr:col>22</xdr:col>
      <xdr:colOff>492759</xdr:colOff>
      <xdr:row>48</xdr:row>
      <xdr:rowOff>172719</xdr:rowOff>
    </xdr:to>
    <xdr:graphicFrame>
      <xdr:nvGraphicFramePr>
        <xdr:cNvPr id="4" name="Chart 3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10</xdr:col>
      <xdr:colOff>2540</xdr:colOff>
      <xdr:row>37</xdr:row>
      <xdr:rowOff>7620</xdr:rowOff>
    </xdr:from>
    <xdr:to>
      <xdr:col>17</xdr:col>
      <xdr:colOff>7620</xdr:colOff>
      <xdr:row>49</xdr:row>
      <xdr:rowOff>7620</xdr:rowOff>
    </xdr:to>
    <xdr:graphicFrame>
      <xdr:nvGraphicFramePr>
        <xdr:cNvPr id="5" name="Chart 4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160020</xdr:colOff>
      <xdr:row>3</xdr:row>
      <xdr:rowOff>7620</xdr:rowOff>
    </xdr:from>
    <xdr:ext cx="357469" cy="172226"/>
    <xdr:sp>
      <xdr:nvSpPr>
        <xdr:cNvPr id="7" name="TextBox 6" hidden="0"/>
        <xdr:cNvSpPr txBox="1"/>
      </xdr:nvSpPr>
      <xdr:spPr bwMode="auto">
        <a:xfrm>
          <a:off x="3589019" y="556260"/>
          <a:ext cx="357469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func>
                      <m:funcPr>
                        <m:ctrlPr>
                          <a:rPr lang="en-US" sz="110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/>
                          </a:rPr>
                          <m:t>log</m:t>
                        </m:r>
                      </m:fName>
                      <m:e>
                        <m:sSub>
                          <m:sSub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func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8</xdr:col>
      <xdr:colOff>121920</xdr:colOff>
      <xdr:row>3</xdr:row>
      <xdr:rowOff>7620</xdr:rowOff>
    </xdr:from>
    <xdr:ext cx="358367" cy="172226"/>
    <xdr:sp>
      <xdr:nvSpPr>
        <xdr:cNvPr id="8" name="TextBox 7" hidden="0"/>
        <xdr:cNvSpPr txBox="1"/>
      </xdr:nvSpPr>
      <xdr:spPr bwMode="auto">
        <a:xfrm>
          <a:off x="4160519" y="556260"/>
          <a:ext cx="358367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func>
                      <m:funcPr>
                        <m:ctrlPr>
                          <a:rPr lang="en-US" sz="110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/>
                          </a:rPr>
                          <m:t>log</m:t>
                        </m:r>
                      </m:fName>
                      <m:e>
                        <m:sSub>
                          <m:sSub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func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10</xdr:col>
      <xdr:colOff>182880</xdr:colOff>
      <xdr:row>2</xdr:row>
      <xdr:rowOff>175260</xdr:rowOff>
    </xdr:from>
    <xdr:ext cx="271164" cy="172226"/>
    <xdr:sp>
      <xdr:nvSpPr>
        <xdr:cNvPr id="9" name="TextBox 8" hidden="0"/>
        <xdr:cNvSpPr txBox="1"/>
      </xdr:nvSpPr>
      <xdr:spPr bwMode="auto">
        <a:xfrm>
          <a:off x="4739640" y="541020"/>
          <a:ext cx="271164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12</xdr:col>
      <xdr:colOff>83820</xdr:colOff>
      <xdr:row>3</xdr:row>
      <xdr:rowOff>7620</xdr:rowOff>
    </xdr:from>
    <xdr:ext cx="707501" cy="172226"/>
    <xdr:sp>
      <xdr:nvSpPr>
        <xdr:cNvPr id="10" name="TextBox 9" hidden="0"/>
        <xdr:cNvSpPr txBox="1"/>
      </xdr:nvSpPr>
      <xdr:spPr bwMode="auto">
        <a:xfrm>
          <a:off x="5859780" y="556260"/>
          <a:ext cx="707501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func>
                      <m:funcPr>
                        <m:ctrlPr>
                          <a:rPr lang="en-US" sz="110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/>
                          </a:rPr>
                          <m:t>log</m:t>
                        </m:r>
                      </m:fName>
                      <m:e>
                        <m:sSub>
                          <m:sSub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func>
                    <m:func>
                      <m:funcPr>
                        <m:ctrlPr>
                          <a:rPr lang="en-US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log</m:t>
                        </m:r>
                      </m:fName>
                      <m:e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func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17</xdr:col>
      <xdr:colOff>335280</xdr:colOff>
      <xdr:row>3</xdr:row>
      <xdr:rowOff>0</xdr:rowOff>
    </xdr:from>
    <xdr:ext cx="243840" cy="172226"/>
    <xdr:sp>
      <xdr:nvSpPr>
        <xdr:cNvPr id="11" name="TextBox 10" hidden="0"/>
        <xdr:cNvSpPr txBox="1"/>
      </xdr:nvSpPr>
      <xdr:spPr bwMode="auto">
        <a:xfrm>
          <a:off x="7124700" y="2011680"/>
          <a:ext cx="243840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acc>
                      <m:accPr>
                        <m:chr m:val="̅"/>
                        <m:ctrlPr>
                          <a:rPr lang="uk-UA" sz="1100" i="1">
                            <a:latin typeface="Cambria Math"/>
                          </a:rPr>
                        </m:ctrlPr>
                      </m:acc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17</xdr:col>
      <xdr:colOff>320040</xdr:colOff>
      <xdr:row>4</xdr:row>
      <xdr:rowOff>0</xdr:rowOff>
    </xdr:from>
    <xdr:ext cx="243840" cy="172226"/>
    <xdr:sp>
      <xdr:nvSpPr>
        <xdr:cNvPr id="12" name="TextBox 11" hidden="0"/>
        <xdr:cNvSpPr txBox="1"/>
      </xdr:nvSpPr>
      <xdr:spPr bwMode="auto">
        <a:xfrm>
          <a:off x="7109460" y="2194560"/>
          <a:ext cx="243840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acc>
                      <m:accPr>
                        <m:chr m:val="̅"/>
                        <m:ctrlPr>
                          <a:rPr lang="uk-UA" sz="1100" i="1">
                            <a:latin typeface="Cambria Math"/>
                          </a:rPr>
                        </m:ctrlPr>
                      </m:acc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𝑦</m:t>
                        </m:r>
                      </m:e>
                    </m:acc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17</xdr:col>
      <xdr:colOff>274320</xdr:colOff>
      <xdr:row>5</xdr:row>
      <xdr:rowOff>15241</xdr:rowOff>
    </xdr:from>
    <xdr:ext cx="320040" cy="179601"/>
    <xdr:sp>
      <xdr:nvSpPr>
        <xdr:cNvPr id="13" name="TextBox 12" hidden="0"/>
        <xdr:cNvSpPr txBox="1"/>
      </xdr:nvSpPr>
      <xdr:spPr bwMode="auto">
        <a:xfrm>
          <a:off x="7063740" y="2392681"/>
          <a:ext cx="320040" cy="179601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acc>
                      <m:accPr>
                        <m:chr m:val="̅"/>
                        <m:ctrlPr>
                          <a:rPr lang="uk-UA" sz="1100" i="1">
                            <a:latin typeface="Cambria Math"/>
                          </a:rPr>
                        </m:ctrlPr>
                      </m:acc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𝑙𝑜𝑔𝑥</m:t>
                        </m:r>
                      </m:e>
                    </m:acc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17</xdr:col>
      <xdr:colOff>274320</xdr:colOff>
      <xdr:row>6</xdr:row>
      <xdr:rowOff>7621</xdr:rowOff>
    </xdr:from>
    <xdr:ext cx="297180" cy="179601"/>
    <xdr:sp>
      <xdr:nvSpPr>
        <xdr:cNvPr id="14" name="TextBox 13" hidden="0"/>
        <xdr:cNvSpPr txBox="1"/>
      </xdr:nvSpPr>
      <xdr:spPr bwMode="auto">
        <a:xfrm>
          <a:off x="7063740" y="2567940"/>
          <a:ext cx="297180" cy="179601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acc>
                      <m:accPr>
                        <m:chr m:val="̅"/>
                        <m:ctrlPr>
                          <a:rPr lang="uk-UA" sz="1100" i="1">
                            <a:latin typeface="Cambria Math"/>
                          </a:rPr>
                        </m:ctrlPr>
                      </m:acc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𝑙𝑜𝑔𝑦</m:t>
                        </m:r>
                      </m:e>
                    </m:acc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11</xdr:col>
      <xdr:colOff>68580</xdr:colOff>
      <xdr:row>3</xdr:row>
      <xdr:rowOff>7620</xdr:rowOff>
    </xdr:from>
    <xdr:ext cx="510653" cy="172226"/>
    <xdr:sp>
      <xdr:nvSpPr>
        <xdr:cNvPr id="15" name="TextBox 14" hidden="0"/>
        <xdr:cNvSpPr txBox="1"/>
      </xdr:nvSpPr>
      <xdr:spPr bwMode="auto">
        <a:xfrm>
          <a:off x="5234940" y="556260"/>
          <a:ext cx="510653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log</m:t>
                        </m:r>
                      </m:fName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func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14</xdr:col>
      <xdr:colOff>205740</xdr:colOff>
      <xdr:row>3</xdr:row>
      <xdr:rowOff>0</xdr:rowOff>
    </xdr:from>
    <xdr:ext cx="180113" cy="175369"/>
    <xdr:sp>
      <xdr:nvSpPr>
        <xdr:cNvPr id="2" name="TextBox 1" hidden="0"/>
        <xdr:cNvSpPr txBox="1"/>
      </xdr:nvSpPr>
      <xdr:spPr bwMode="auto">
        <a:xfrm>
          <a:off x="7101840" y="548640"/>
          <a:ext cx="180114" cy="175369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p>
                      <m:sSupPr>
                        <m:ctrlPr>
                          <a:rPr lang="uk-UA" sz="1100" i="1">
                            <a:latin typeface="Cambria Math"/>
                          </a:rPr>
                        </m:ctrlPr>
                      </m:sSup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m:rPr/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15</xdr:col>
      <xdr:colOff>99060</xdr:colOff>
      <xdr:row>3</xdr:row>
      <xdr:rowOff>0</xdr:rowOff>
    </xdr:from>
    <xdr:ext cx="386131" cy="175369"/>
    <xdr:sp>
      <xdr:nvSpPr>
        <xdr:cNvPr id="6" name="TextBox 5" hidden="0"/>
        <xdr:cNvSpPr txBox="1"/>
      </xdr:nvSpPr>
      <xdr:spPr bwMode="auto">
        <a:xfrm>
          <a:off x="7513320" y="548640"/>
          <a:ext cx="386131" cy="175369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p>
                      <m:sSupPr>
                        <m:ctrlPr>
                          <a:rPr lang="uk-UA" sz="1100" i="1">
                            <a:latin typeface="Cambria Math"/>
                          </a:rPr>
                        </m:ctrlPr>
                      </m:sSup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𝑙𝑜𝑔𝑥</m:t>
                        </m:r>
                      </m:e>
                      <m:sup>
                        <m:r>
                          <m:rPr/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gion" id="{429F8C49-D309-8FD6-EB46-ED4788C2C636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personId="{429F8C49-D309-8FD6-EB46-ED4788C2C636}" id="{00CB00B6-0063-42FB-BEB1-00F600770050}" done="0">
    <text xml:space="preserve">Для обрання метрики потрібно ввести в це поле її номер (наприклад, 1)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" personId="{429F8C49-D309-8FD6-EB46-ED4788C2C636}" id="{001C00A5-0080-43CC-85D1-00000070002A}" done="0">
    <text xml:space="preserve">Для обрання першої метрики потрібно ввести в це поле її номер (наприклад, 1)
</text>
  </threadedComment>
  <threadedComment ref="F3" personId="{429F8C49-D309-8FD6-EB46-ED4788C2C636}" id="{005B0071-0075-4340-936F-00FB00BF000E}" done="0">
    <text xml:space="preserve">Для обрання другої метрики потрібно ввести в це поле її номер (наприклад, 1)
</text>
  </threadedComment>
  <threadedComment ref="J3" personId="{429F8C49-D309-8FD6-EB46-ED4788C2C636}" id="{005A005E-009A-4A89-A3B4-007300DA008F}" done="0">
    <text xml:space="preserve">Для скоригування рангів потрібно скопіювати значення стовпців H:I та перенести їх до стовпців J:K, після чого натиснути на функцію сортування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3" personId="{429F8C49-D309-8FD6-EB46-ED4788C2C636}" id="{00D800F1-007C-41CA-BF31-001E0030000E}" done="0">
    <text xml:space="preserve">Для обрання першої метрики потрібно ввести в це поле її номер (наприклад, 1)
</text>
  </threadedComment>
  <threadedComment ref="F3" personId="{429F8C49-D309-8FD6-EB46-ED4788C2C636}" id="{008E00BD-0034-4AFE-80B8-007E009B00F7}" done="0">
    <text xml:space="preserve">Для обрання другої метрики потрібно ввести в це поле її номер (наприклад, 1)
</text>
  </threadedComment>
</ThreadedComments>
</file>

<file path=xl/worksheets/_rels/sheet1.xml.rels><?xml version="1.0" encoding="UTF-8" standalone="yes"?><Relationships xmlns="http://schemas.openxmlformats.org/package/2006/relationships"><Relationship  Id="rId4" Type="http://schemas.openxmlformats.org/officeDocument/2006/relationships/vmlDrawing" Target="../drawings/vmlDrawing1.vml"/><Relationship  Id="rId3" Type="http://schemas.openxmlformats.org/officeDocument/2006/relationships/drawing" Target="../drawings/drawing1.x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_rels/sheet2.xml.rels><?xml version="1.0" encoding="UTF-8" standalone="yes"?><Relationships xmlns="http://schemas.openxmlformats.org/package/2006/relationships"><Relationship  Id="rId4" Type="http://schemas.openxmlformats.org/officeDocument/2006/relationships/vmlDrawing" Target="../drawings/vmlDrawing2.vml"/><Relationship  Id="rId3" Type="http://schemas.openxmlformats.org/officeDocument/2006/relationships/drawing" Target="../drawings/drawing2.xml"/><Relationship  Id="rId2" Type="http://schemas.openxmlformats.org/officeDocument/2006/relationships/comments" Target="../comments2.xml"/><Relationship  Id="rId1" Type="http://schemas.microsoft.com/office/2017/10/relationships/threadedComment" Target="../threadedComments/threadedComment2.xml"/></Relationships>
</file>

<file path=xl/worksheets/_rels/sheet3.xml.rels><?xml version="1.0" encoding="UTF-8" standalone="yes"?><Relationships xmlns="http://schemas.openxmlformats.org/package/2006/relationships"><Relationship  Id="rId4" Type="http://schemas.openxmlformats.org/officeDocument/2006/relationships/vmlDrawing" Target="../drawings/vmlDrawing3.vml"/><Relationship  Id="rId3" Type="http://schemas.openxmlformats.org/officeDocument/2006/relationships/drawing" Target="../drawings/drawing3.xml"/><Relationship  Id="rId2" Type="http://schemas.openxmlformats.org/officeDocument/2006/relationships/comments" Target="../comments3.xml"/><Relationship  Id="rId1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70">
      <selection activeCell="D3" activeCellId="0" sqref="D3"/>
    </sheetView>
  </sheetViews>
  <sheetFormatPr defaultRowHeight="14.25"/>
  <cols>
    <col customWidth="1" min="2" max="2" width="10"/>
    <col customWidth="1" min="6" max="6" width="5.88671875"/>
    <col customWidth="1" min="11" max="11" width="10"/>
    <col bestFit="1" customWidth="1" min="12" max="12" width="11"/>
    <col customWidth="1" min="15" max="15" width="15.33203125"/>
    <col customWidth="1" min="16" max="16" width="13.33203125"/>
  </cols>
  <sheetData>
    <row r="2">
      <c r="B2" s="1" t="s">
        <v>0</v>
      </c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</row>
    <row r="3">
      <c r="B3" t="s">
        <v>1</v>
      </c>
      <c r="C3">
        <v>1</v>
      </c>
    </row>
    <row r="4">
      <c r="B4" t="s">
        <v>2</v>
      </c>
      <c r="G4" t="s">
        <v>3</v>
      </c>
      <c r="N4" s="2" t="s">
        <v>4</v>
      </c>
      <c r="O4" s="2"/>
      <c r="P4" s="2"/>
    </row>
    <row r="5">
      <c r="B5" s="3"/>
      <c r="C5" s="4"/>
      <c r="D5" s="4"/>
      <c r="E5" s="5" t="s">
        <v>5</v>
      </c>
      <c r="G5" s="3"/>
      <c r="H5" s="3"/>
      <c r="I5" s="4"/>
      <c r="J5" s="4"/>
      <c r="K5" s="4"/>
      <c r="L5" s="4"/>
    </row>
    <row r="6">
      <c r="B6">
        <f>IF($C$3=1,Додаток!$B5,IF($C$3=2,Додаток!$C5,IF($C$3=3,#REF!,IF($C$3=4,Додаток!$E5,IF($C$3=5,Додаток!$F5,IF($C$3=6,Додаток!$H5,IF($C$3=7,Додаток!$I5,IF($C$3=8,Додаток!$J5,IF($C$3=9,Додаток!$K5,IF($C$3=10,Додаток!$L5))))))))))</f>
        <v>199</v>
      </c>
      <c r="C6">
        <f t="shared" ref="C6:C25" si="0">B6-$O$8</f>
        <v>-21578.799999999999</v>
      </c>
      <c r="D6">
        <f t="shared" ref="D6:D25" si="1">POWER(C6,2)</f>
        <v>465644609.44</v>
      </c>
      <c r="E6">
        <f t="shared" ref="E6:E25" si="2">ABS(C6)/$O$10</f>
        <v>0.83208252693536955</v>
      </c>
      <c r="G6" t="b">
        <f t="shared" ref="G6:G25" si="3">IF(E6&lt;1.96,TRUE,FALSE)</f>
        <v>1</v>
      </c>
      <c r="H6">
        <f t="shared" ref="H6:H25" si="4">IF(G6=TRUE,B6,NA())</f>
        <v>199</v>
      </c>
      <c r="I6">
        <f t="shared" ref="I6:I25" si="5">IF(G6=TRUE,B6-$O$16,0)</f>
        <v>-21578.799999999999</v>
      </c>
      <c r="J6">
        <f t="shared" ref="J6:J25" si="6">POWER(I6,2)</f>
        <v>465644609.44</v>
      </c>
      <c r="K6">
        <f t="shared" ref="K6:K25" si="7">POWER(I6,3)</f>
        <v>-10048051898183.871</v>
      </c>
      <c r="L6">
        <f t="shared" ref="L6:L25" si="8">POWER(I6,4)</f>
        <v>2.1682490230053014e+17</v>
      </c>
      <c r="N6" s="6" t="s">
        <v>6</v>
      </c>
      <c r="O6">
        <v>20</v>
      </c>
    </row>
    <row r="7">
      <c r="B7">
        <f>IF($C$3=1,Додаток!$B6,IF($C$3=2,Додаток!$C6,IF($C$3=3,#REF!,IF($C$3=4,Додаток!$E6,IF($C$3=5,Додаток!$F6,IF($C$3=6,Додаток!$H6,IF($C$3=7,Додаток!$I6,IF($C$3=8,Додаток!$J6,IF($C$3=9,Додаток!$K6,IF($C$3=10,Додаток!$L6))))))))))</f>
        <v>43921</v>
      </c>
      <c r="C7">
        <f t="shared" si="0"/>
        <v>22143.200000000001</v>
      </c>
      <c r="D7">
        <f t="shared" si="1"/>
        <v>490321306.24000001</v>
      </c>
      <c r="E7">
        <f t="shared" si="2"/>
        <v>0.85384589552872614</v>
      </c>
      <c r="G7" t="b">
        <f t="shared" si="3"/>
        <v>1</v>
      </c>
      <c r="H7">
        <f t="shared" si="4"/>
        <v>43921</v>
      </c>
      <c r="I7">
        <f t="shared" si="5"/>
        <v>22143.200000000001</v>
      </c>
      <c r="J7">
        <f t="shared" si="6"/>
        <v>490321306.24000001</v>
      </c>
      <c r="K7">
        <f t="shared" si="7"/>
        <v>10857282748333.568</v>
      </c>
      <c r="L7">
        <f t="shared" si="8"/>
        <v>2.4041498335289987e+17</v>
      </c>
    </row>
    <row r="8">
      <c r="B8">
        <f>IF($C$3=1,Додаток!$B7,IF($C$3=2,Додаток!$C7,IF($C$3=3,#REF!,IF($C$3=4,Додаток!$E7,IF($C$3=5,Додаток!$F7,IF($C$3=6,Додаток!$H7,IF($C$3=7,Додаток!$I7,IF($C$3=8,Додаток!$J7,IF($C$3=9,Додаток!$K7,IF($C$3=10,Додаток!$L7))))))))))</f>
        <v>20098</v>
      </c>
      <c r="C8">
        <f t="shared" si="0"/>
        <v>-1679.7999999999993</v>
      </c>
      <c r="D8">
        <f t="shared" si="1"/>
        <v>2821728.0399999977</v>
      </c>
      <c r="E8">
        <f t="shared" si="2"/>
        <v>0.064773399296811376</v>
      </c>
      <c r="G8" t="b">
        <f t="shared" si="3"/>
        <v>1</v>
      </c>
      <c r="H8">
        <f t="shared" si="4"/>
        <v>20098</v>
      </c>
      <c r="I8">
        <f t="shared" si="5"/>
        <v>-1679.7999999999993</v>
      </c>
      <c r="J8">
        <f t="shared" si="6"/>
        <v>2821728.0399999977</v>
      </c>
      <c r="K8">
        <f t="shared" si="7"/>
        <v>-4739938761.5919943</v>
      </c>
      <c r="L8">
        <f t="shared" si="8"/>
        <v>7962149131722.2285</v>
      </c>
      <c r="O8">
        <f>SUM($B$6:$B$25)/$O$6</f>
        <v>21777.799999999999</v>
      </c>
    </row>
    <row r="9">
      <c r="B9">
        <f>IF($C$3=1,Додаток!$B8,IF($C$3=2,Додаток!$C8,IF($C$3=3,#REF!,IF($C$3=4,Додаток!$E8,IF($C$3=5,Додаток!$F8,IF($C$3=6,Додаток!$H8,IF($C$3=7,Додаток!$I8,IF($C$3=8,Додаток!$J8,IF($C$3=9,Додаток!$K8,IF($C$3=10,Додаток!$L8))))))))))</f>
        <v>21220</v>
      </c>
      <c r="C9">
        <f t="shared" si="0"/>
        <v>-557.79999999999927</v>
      </c>
      <c r="D9">
        <f t="shared" si="1"/>
        <v>311140.83999999921</v>
      </c>
      <c r="E9">
        <f t="shared" si="2"/>
        <v>0.021508871370259169</v>
      </c>
      <c r="G9" t="b">
        <f t="shared" si="3"/>
        <v>1</v>
      </c>
      <c r="H9">
        <f t="shared" si="4"/>
        <v>21220</v>
      </c>
      <c r="I9">
        <f t="shared" si="5"/>
        <v>-557.79999999999927</v>
      </c>
      <c r="J9">
        <f t="shared" si="6"/>
        <v>311140.83999999921</v>
      </c>
      <c r="K9">
        <f t="shared" si="7"/>
        <v>-173554360.55199933</v>
      </c>
      <c r="L9">
        <f t="shared" si="8"/>
        <v>96808622315.905106</v>
      </c>
      <c r="O9">
        <f>SUM($D$6:$D$25)/($O$6-1)</f>
        <v>672545661.0105263</v>
      </c>
    </row>
    <row r="10">
      <c r="B10">
        <f>IF($C$3=1,Додаток!$B9,IF($C$3=2,Додаток!$C9,IF($C$3=3,#REF!,IF($C$3=4,Додаток!$E9,IF($C$3=5,Додаток!$F9,IF($C$3=6,Додаток!$H9,IF($C$3=7,Додаток!$I9,IF($C$3=8,Додаток!$J9,IF($C$3=9,Додаток!$K9,IF($C$3=10,Додаток!$L9))))))))))</f>
        <v>611</v>
      </c>
      <c r="C10">
        <f t="shared" si="0"/>
        <v>-21166.799999999999</v>
      </c>
      <c r="D10">
        <f t="shared" si="1"/>
        <v>448033422.23999995</v>
      </c>
      <c r="E10">
        <f t="shared" si="2"/>
        <v>0.81619573058444306</v>
      </c>
      <c r="G10" t="b">
        <f t="shared" si="3"/>
        <v>1</v>
      </c>
      <c r="H10">
        <f t="shared" si="4"/>
        <v>611</v>
      </c>
      <c r="I10">
        <f t="shared" si="5"/>
        <v>-21166.799999999999</v>
      </c>
      <c r="J10">
        <f t="shared" si="6"/>
        <v>448033422.23999995</v>
      </c>
      <c r="K10">
        <f t="shared" si="7"/>
        <v>-9483433841869.6309</v>
      </c>
      <c r="L10">
        <f t="shared" si="8"/>
        <v>2.0073394744408608e+17</v>
      </c>
      <c r="N10" s="7" t="s">
        <v>7</v>
      </c>
      <c r="O10">
        <f>SQRT($O$9)</f>
        <v>25933.485323236564</v>
      </c>
    </row>
    <row r="11">
      <c r="B11">
        <f>IF($C$3=1,Додаток!$B10,IF($C$3=2,Додаток!$C10,IF($C$3=3,#REF!,IF($C$3=4,Додаток!$E10,IF($C$3=5,Додаток!$F10,IF($C$3=6,Додаток!$H10,IF($C$3=7,Додаток!$I10,IF($C$3=8,Додаток!$J10,IF($C$3=9,Додаток!$K10,IF($C$3=10,Додаток!$L10))))))))))</f>
        <v>5541</v>
      </c>
      <c r="C11">
        <f t="shared" si="0"/>
        <v>-16236.799999999999</v>
      </c>
      <c r="D11">
        <f t="shared" si="1"/>
        <v>263633674.23999998</v>
      </c>
      <c r="E11">
        <f t="shared" si="2"/>
        <v>0.62609401696777434</v>
      </c>
      <c r="G11" t="b">
        <f t="shared" si="3"/>
        <v>1</v>
      </c>
      <c r="H11">
        <f t="shared" si="4"/>
        <v>5541</v>
      </c>
      <c r="I11">
        <f t="shared" si="5"/>
        <v>-16236.799999999999</v>
      </c>
      <c r="J11">
        <f t="shared" si="6"/>
        <v>263633674.23999998</v>
      </c>
      <c r="K11">
        <f t="shared" si="7"/>
        <v>-4280567241900.0312</v>
      </c>
      <c r="L11">
        <f t="shared" si="8"/>
        <v>69502714193282432</v>
      </c>
    </row>
    <row r="12">
      <c r="B12">
        <f>IF($C$3=1,Додаток!$B11,IF($C$3=2,Додаток!$C11,IF($C$3=3,#REF!,IF($C$3=4,Додаток!$E11,IF($C$3=5,Додаток!$F11,IF($C$3=6,Додаток!$H11,IF($C$3=7,Додаток!$I11,IF($C$3=8,Додаток!$J11,IF($C$3=9,Додаток!$K11,IF($C$3=10,Додаток!$L11))))))))))</f>
        <v>5043</v>
      </c>
      <c r="C12">
        <f t="shared" si="0"/>
        <v>-16734.799999999999</v>
      </c>
      <c r="D12">
        <f t="shared" si="1"/>
        <v>280053531.03999996</v>
      </c>
      <c r="E12">
        <f t="shared" si="2"/>
        <v>0.64529698925603007</v>
      </c>
      <c r="G12" t="b">
        <f t="shared" si="3"/>
        <v>1</v>
      </c>
      <c r="H12">
        <f t="shared" si="4"/>
        <v>5043</v>
      </c>
      <c r="I12">
        <f t="shared" si="5"/>
        <v>-16734.799999999999</v>
      </c>
      <c r="J12">
        <f t="shared" si="6"/>
        <v>280053531.03999996</v>
      </c>
      <c r="K12">
        <f t="shared" si="7"/>
        <v>-4686639831248.1914</v>
      </c>
      <c r="L12">
        <f t="shared" si="8"/>
        <v>78429980247972224</v>
      </c>
      <c r="N12" s="2" t="s">
        <v>8</v>
      </c>
      <c r="O12" s="2"/>
      <c r="P12" s="2"/>
    </row>
    <row r="13">
      <c r="B13">
        <f>IF($C$3=1,Додаток!$B12,IF($C$3=2,Додаток!$C12,IF($C$3=3,#REF!,IF($C$3=4,Додаток!$E12,IF($C$3=5,Додаток!$F12,IF($C$3=6,Додаток!$H12,IF($C$3=7,Додаток!$I12,IF($C$3=8,Додаток!$J12,IF($C$3=9,Додаток!$K12,IF($C$3=10,Додаток!$L12))))))))))</f>
        <v>7064</v>
      </c>
      <c r="C13">
        <f t="shared" si="0"/>
        <v>-14713.799999999999</v>
      </c>
      <c r="D13">
        <f t="shared" si="1"/>
        <v>216495910.43999997</v>
      </c>
      <c r="E13">
        <f t="shared" si="2"/>
        <v>0.56736685472879123</v>
      </c>
      <c r="G13" t="b">
        <f t="shared" si="3"/>
        <v>1</v>
      </c>
      <c r="H13">
        <f t="shared" si="4"/>
        <v>7064</v>
      </c>
      <c r="I13">
        <f t="shared" si="5"/>
        <v>-14713.799999999999</v>
      </c>
      <c r="J13">
        <f t="shared" si="6"/>
        <v>216495910.43999997</v>
      </c>
      <c r="K13">
        <f t="shared" si="7"/>
        <v>-3185477527032.0713</v>
      </c>
      <c r="L13">
        <f t="shared" si="8"/>
        <v>46870479237244488</v>
      </c>
    </row>
    <row r="14">
      <c r="B14">
        <f>IF($C$3=1,Додаток!$B13,IF($C$3=2,Додаток!$C13,IF($C$3=3,#REF!,IF($C$3=4,Додаток!$E13,IF($C$3=5,Додаток!$F13,IF($C$3=6,Додаток!$H13,IF($C$3=7,Додаток!$I13,IF($C$3=8,Додаток!$J13,IF($C$3=9,Додаток!$K13,IF($C$3=10,Додаток!$L13))))))))))</f>
        <v>1408</v>
      </c>
      <c r="C14">
        <f t="shared" si="0"/>
        <v>-20369.799999999999</v>
      </c>
      <c r="D14">
        <f t="shared" si="1"/>
        <v>414928752.03999996</v>
      </c>
      <c r="E14">
        <f t="shared" si="2"/>
        <v>0.7854632628861703</v>
      </c>
      <c r="G14" t="b">
        <f t="shared" si="3"/>
        <v>1</v>
      </c>
      <c r="H14">
        <f t="shared" si="4"/>
        <v>1408</v>
      </c>
      <c r="I14">
        <f t="shared" si="5"/>
        <v>-20369.799999999999</v>
      </c>
      <c r="J14">
        <f t="shared" si="6"/>
        <v>414928752.03999996</v>
      </c>
      <c r="K14">
        <f t="shared" si="7"/>
        <v>-8452015693304.3906</v>
      </c>
      <c r="L14">
        <f t="shared" si="8"/>
        <v>1.7216586926947178e+17</v>
      </c>
      <c r="N14" s="6" t="s">
        <v>6</v>
      </c>
      <c r="O14">
        <f>COUNTIF($G$6:$G$35, TRUE)</f>
        <v>20</v>
      </c>
    </row>
    <row r="15">
      <c r="B15">
        <f>IF($C$3=1,Додаток!$B14,IF($C$3=2,Додаток!$C14,IF($C$3=3,#REF!,IF($C$3=4,Додаток!$E14,IF($C$3=5,Додаток!$F14,IF($C$3=6,Додаток!$H14,IF($C$3=7,Додаток!$I14,IF($C$3=8,Додаток!$J14,IF($C$3=9,Додаток!$K14,IF($C$3=10,Додаток!$L14))))))))))</f>
        <v>67923</v>
      </c>
      <c r="C15">
        <f t="shared" si="0"/>
        <v>46145.199999999997</v>
      </c>
      <c r="D15">
        <f t="shared" si="1"/>
        <v>2129379483.0399997</v>
      </c>
      <c r="E15">
        <f t="shared" si="2"/>
        <v>1.7793674635261467</v>
      </c>
      <c r="G15" t="b">
        <f t="shared" si="3"/>
        <v>1</v>
      </c>
      <c r="H15">
        <f t="shared" si="4"/>
        <v>67923</v>
      </c>
      <c r="I15">
        <f t="shared" si="5"/>
        <v>46145.199999999997</v>
      </c>
      <c r="J15">
        <f t="shared" si="6"/>
        <v>2129379483.0399997</v>
      </c>
      <c r="K15">
        <f t="shared" si="7"/>
        <v>98260642120777.391</v>
      </c>
      <c r="L15">
        <f t="shared" si="8"/>
        <v>4.5342569827916964e+18</v>
      </c>
    </row>
    <row r="16">
      <c r="B16">
        <f>IF($C$3=1,Додаток!$B15,IF($C$3=2,Додаток!$C15,IF($C$3=3,#REF!,IF($C$3=4,Додаток!$E15,IF($C$3=5,Додаток!$F15,IF($C$3=6,Додаток!$H15,IF($C$3=7,Додаток!$I15,IF($C$3=8,Додаток!$J15,IF($C$3=9,Додаток!$K15,IF($C$3=10,Додаток!$L15))))))))))</f>
        <v>62274</v>
      </c>
      <c r="C16">
        <f t="shared" si="0"/>
        <v>40496.199999999997</v>
      </c>
      <c r="D16">
        <f t="shared" si="1"/>
        <v>1639942214.4399998</v>
      </c>
      <c r="E16">
        <f t="shared" si="2"/>
        <v>1.5615409766659922</v>
      </c>
      <c r="G16" t="b">
        <f t="shared" si="3"/>
        <v>1</v>
      </c>
      <c r="H16">
        <f t="shared" si="4"/>
        <v>62274</v>
      </c>
      <c r="I16">
        <f t="shared" si="5"/>
        <v>40496.199999999997</v>
      </c>
      <c r="J16">
        <f t="shared" si="6"/>
        <v>1639942214.4399998</v>
      </c>
      <c r="K16">
        <f t="shared" si="7"/>
        <v>66411427904405.117</v>
      </c>
      <c r="L16">
        <f t="shared" si="8"/>
        <v>2.6894104667023703e+18</v>
      </c>
      <c r="O16">
        <f>SUMIFS($B$6:$B$25,$G$6:$G25,TRUE)/$O$14</f>
        <v>21777.799999999999</v>
      </c>
    </row>
    <row r="17">
      <c r="B17">
        <f>IF($C$3=1,Додаток!$B16,IF($C$3=2,Додаток!$C16,IF($C$3=3,#REF!,IF($C$3=4,Додаток!$E16,IF($C$3=5,Додаток!$F16,IF($C$3=6,Додаток!$H16,IF($C$3=7,Додаток!$I16,IF($C$3=8,Додаток!$J16,IF($C$3=9,Додаток!$K16,IF($C$3=10,Додаток!$L16))))))))))</f>
        <v>2475</v>
      </c>
      <c r="C17">
        <f t="shared" si="0"/>
        <v>-19302.799999999999</v>
      </c>
      <c r="D17">
        <f t="shared" si="1"/>
        <v>372598087.83999997</v>
      </c>
      <c r="E17">
        <f t="shared" si="2"/>
        <v>0.74431954515209608</v>
      </c>
      <c r="G17" t="b">
        <f t="shared" si="3"/>
        <v>1</v>
      </c>
      <c r="H17">
        <f t="shared" si="4"/>
        <v>2475</v>
      </c>
      <c r="I17">
        <f t="shared" si="5"/>
        <v>-19302.799999999999</v>
      </c>
      <c r="J17">
        <f t="shared" si="6"/>
        <v>372598087.83999997</v>
      </c>
      <c r="K17">
        <f t="shared" si="7"/>
        <v>-7192186369957.9512</v>
      </c>
      <c r="L17">
        <f t="shared" si="8"/>
        <v>1.3882933506202434e+17</v>
      </c>
      <c r="O17">
        <f>SUM($J$6:$J$25)/($O$14-1)</f>
        <v>672545661.0105263</v>
      </c>
    </row>
    <row r="18">
      <c r="B18">
        <f>IF($C$3=1,Додаток!$B17,IF($C$3=2,Додаток!$C17,IF($C$3=3,#REF!,IF($C$3=4,Додаток!$E17,IF($C$3=5,Додаток!$F17,IF($C$3=6,Додаток!$H17,IF($C$3=7,Додаток!$I17,IF($C$3=8,Додаток!$J17,IF($C$3=9,Додаток!$K17,IF($C$3=10,Додаток!$L17))))))))))</f>
        <v>983</v>
      </c>
      <c r="C18">
        <f t="shared" si="0"/>
        <v>-20794.799999999999</v>
      </c>
      <c r="D18">
        <f t="shared" si="1"/>
        <v>432423707.03999996</v>
      </c>
      <c r="E18">
        <f t="shared" si="2"/>
        <v>0.80185134164622796</v>
      </c>
      <c r="G18" t="b">
        <f t="shared" si="3"/>
        <v>1</v>
      </c>
      <c r="H18">
        <f t="shared" si="4"/>
        <v>983</v>
      </c>
      <c r="I18">
        <f t="shared" si="5"/>
        <v>-20794.799999999999</v>
      </c>
      <c r="J18">
        <f t="shared" si="6"/>
        <v>432423707.03999996</v>
      </c>
      <c r="K18">
        <f t="shared" si="7"/>
        <v>-8992164503155.3906</v>
      </c>
      <c r="L18">
        <f t="shared" si="8"/>
        <v>1.8699026241021571e+17</v>
      </c>
      <c r="N18" s="7" t="s">
        <v>7</v>
      </c>
      <c r="O18">
        <f>SQRT($O$17)</f>
        <v>25933.485323236564</v>
      </c>
    </row>
    <row r="19">
      <c r="B19">
        <f>IF($C$3=1,Додаток!$B18,IF($C$3=2,Додаток!$C18,IF($C$3=3,#REF!,IF($C$3=4,Додаток!$E18,IF($C$3=5,Додаток!$F18,IF($C$3=6,Додаток!$H18,IF($C$3=7,Додаток!$I18,IF($C$3=8,Додаток!$J18,IF($C$3=9,Додаток!$K18,IF($C$3=10,Додаток!$L18))))))))))</f>
        <v>3160</v>
      </c>
      <c r="C19">
        <f t="shared" si="0"/>
        <v>-18617.799999999999</v>
      </c>
      <c r="D19">
        <f t="shared" si="1"/>
        <v>346622476.83999997</v>
      </c>
      <c r="E19">
        <f t="shared" si="2"/>
        <v>0.7179058182094149</v>
      </c>
      <c r="G19" t="b">
        <f t="shared" si="3"/>
        <v>1</v>
      </c>
      <c r="H19">
        <f t="shared" si="4"/>
        <v>3160</v>
      </c>
      <c r="I19">
        <f t="shared" si="5"/>
        <v>-18617.799999999999</v>
      </c>
      <c r="J19">
        <f t="shared" si="6"/>
        <v>346622476.83999997</v>
      </c>
      <c r="K19">
        <f t="shared" si="7"/>
        <v>-6453347949311.751</v>
      </c>
      <c r="L19">
        <f t="shared" si="8"/>
        <v>1.2014714145069632e+17</v>
      </c>
    </row>
    <row r="20">
      <c r="B20">
        <f>IF($C$3=1,Додаток!$B19,IF($C$3=2,Додаток!$C19,IF($C$3=3,#REF!,IF($C$3=4,Додаток!$E19,IF($C$3=5,Додаток!$F19,IF($C$3=6,Додаток!$H19,IF($C$3=7,Додаток!$I19,IF($C$3=8,Додаток!$J19,IF($C$3=9,Додаток!$K19,IF($C$3=10,Додаток!$L19))))))))))</f>
        <v>34563</v>
      </c>
      <c r="C20">
        <f t="shared" si="0"/>
        <v>12785.200000000001</v>
      </c>
      <c r="D20">
        <f t="shared" si="1"/>
        <v>163461339.04000002</v>
      </c>
      <c r="E20">
        <f t="shared" si="2"/>
        <v>0.49299968132491556</v>
      </c>
      <c r="G20" t="b">
        <f t="shared" si="3"/>
        <v>1</v>
      </c>
      <c r="H20">
        <f t="shared" si="4"/>
        <v>34563</v>
      </c>
      <c r="I20">
        <f t="shared" si="5"/>
        <v>12785.200000000001</v>
      </c>
      <c r="J20">
        <f t="shared" si="6"/>
        <v>163461339.04000002</v>
      </c>
      <c r="K20">
        <f t="shared" si="7"/>
        <v>2089885911894.2085</v>
      </c>
      <c r="L20">
        <f t="shared" si="8"/>
        <v>26719609360749836</v>
      </c>
    </row>
    <row r="21">
      <c r="B21">
        <f>IF($C$3=1,Додаток!$B20,IF($C$3=2,Додаток!$C20,IF($C$3=3,#REF!,IF($C$3=4,Додаток!$E20,IF($C$3=5,Додаток!$F20,IF($C$3=6,Додаток!$H20,IF($C$3=7,Додаток!$I20,IF($C$3=8,Додаток!$J20,IF($C$3=9,Додаток!$K20,IF($C$3=10,Додаток!$L20))))))))))</f>
        <v>67345</v>
      </c>
      <c r="C21">
        <f t="shared" si="0"/>
        <v>45567.199999999997</v>
      </c>
      <c r="D21">
        <f t="shared" si="1"/>
        <v>2076369715.8399997</v>
      </c>
      <c r="E21">
        <f t="shared" si="2"/>
        <v>1.7570796764124683</v>
      </c>
      <c r="G21" t="b">
        <f t="shared" si="3"/>
        <v>1</v>
      </c>
      <c r="H21">
        <f t="shared" si="4"/>
        <v>67345</v>
      </c>
      <c r="I21">
        <f t="shared" si="5"/>
        <v>45567.199999999997</v>
      </c>
      <c r="J21">
        <f t="shared" si="6"/>
        <v>2076369715.8399997</v>
      </c>
      <c r="K21">
        <f t="shared" si="7"/>
        <v>94614354115624.422</v>
      </c>
      <c r="L21">
        <f t="shared" si="8"/>
        <v>4.3113111968574812e+18</v>
      </c>
      <c r="O21">
        <f>SUM($K$6:$K$25)/($O$14*POWER($O$18,3))</f>
        <v>0.82118223536850821</v>
      </c>
    </row>
    <row r="22">
      <c r="B22">
        <f>IF($C$3=1,Додаток!$B21,IF($C$3=2,Додаток!$C21,IF($C$3=3,#REF!,IF($C$3=4,Додаток!$E21,IF($C$3=5,Додаток!$F21,IF($C$3=6,Додаток!$H21,IF($C$3=7,Додаток!$I21,IF($C$3=8,Додаток!$J21,IF($C$3=9,Додаток!$K21,IF($C$3=10,Додаток!$L21))))))))))</f>
        <v>23453</v>
      </c>
      <c r="C22">
        <f t="shared" si="0"/>
        <v>1675.2000000000007</v>
      </c>
      <c r="D22">
        <f t="shared" si="1"/>
        <v>2806295.0400000024</v>
      </c>
      <c r="E22">
        <f t="shared" si="2"/>
        <v>0.064596022444349629</v>
      </c>
      <c r="G22" t="b">
        <f t="shared" si="3"/>
        <v>1</v>
      </c>
      <c r="H22">
        <f t="shared" si="4"/>
        <v>23453</v>
      </c>
      <c r="I22">
        <f t="shared" si="5"/>
        <v>1675.2000000000007</v>
      </c>
      <c r="J22">
        <f t="shared" si="6"/>
        <v>2806295.0400000024</v>
      </c>
      <c r="K22">
        <f t="shared" si="7"/>
        <v>4701105451.0080061</v>
      </c>
      <c r="L22">
        <f t="shared" si="8"/>
        <v>7875291851528.6152</v>
      </c>
      <c r="N22" s="8" t="str">
        <f>IF($O$21&gt;0,"Позитивний перекіс",IF($O$21&lt;0, "Негативний перекіс", "Нормальний розподіл"))</f>
        <v xml:space="preserve">Позитивний перекіс</v>
      </c>
      <c r="O22" s="8"/>
    </row>
    <row r="23">
      <c r="B23">
        <f>IF($C$3=1,Додаток!$B22,IF($C$3=2,Додаток!$C22,IF($C$3=3,#REF!,IF($C$3=4,Додаток!$E22,IF($C$3=5,Додаток!$F22,IF($C$3=6,Додаток!$H22,IF($C$3=7,Додаток!$I22,IF($C$3=8,Додаток!$J22,IF($C$3=9,Додаток!$K22,IF($C$3=10,Додаток!$L22))))))))))</f>
        <v>341</v>
      </c>
      <c r="C23">
        <f t="shared" si="0"/>
        <v>-21436.799999999999</v>
      </c>
      <c r="D23">
        <f t="shared" si="1"/>
        <v>459536394.23999995</v>
      </c>
      <c r="E23">
        <f t="shared" si="2"/>
        <v>0.8266069806202444</v>
      </c>
      <c r="G23" t="b">
        <f t="shared" si="3"/>
        <v>1</v>
      </c>
      <c r="H23">
        <f t="shared" si="4"/>
        <v>341</v>
      </c>
      <c r="I23">
        <f t="shared" si="5"/>
        <v>-21436.799999999999</v>
      </c>
      <c r="J23">
        <f t="shared" si="6"/>
        <v>459536394.23999995</v>
      </c>
      <c r="K23">
        <f t="shared" si="7"/>
        <v>-9850989776044.0312</v>
      </c>
      <c r="L23">
        <f t="shared" si="8"/>
        <v>2.1117369763110067e+17</v>
      </c>
    </row>
    <row r="24">
      <c r="B24">
        <f>IF($C$3=1,Додаток!$B23,IF($C$3=2,Додаток!$C23,IF($C$3=3,#REF!,IF($C$3=4,Додаток!$E23,IF($C$3=5,Додаток!$F23,IF($C$3=6,Додаток!$H23,IF($C$3=7,Додаток!$I23,IF($C$3=8,Додаток!$J23,IF($C$3=9,Додаток!$K23,IF($C$3=10,Додаток!$L23))))))))))</f>
        <v>67700</v>
      </c>
      <c r="C24">
        <f t="shared" si="0"/>
        <v>45922.199999999997</v>
      </c>
      <c r="D24">
        <f t="shared" si="1"/>
        <v>2108848452.8399997</v>
      </c>
      <c r="E24">
        <f t="shared" si="2"/>
        <v>1.7707685422002812</v>
      </c>
      <c r="G24" t="b">
        <f t="shared" si="3"/>
        <v>1</v>
      </c>
      <c r="H24">
        <f t="shared" si="4"/>
        <v>67700</v>
      </c>
      <c r="I24">
        <f t="shared" si="5"/>
        <v>45922.199999999997</v>
      </c>
      <c r="J24">
        <f t="shared" si="6"/>
        <v>2108848452.8399997</v>
      </c>
      <c r="K24">
        <f t="shared" si="7"/>
        <v>96842960421009.031</v>
      </c>
      <c r="L24">
        <f t="shared" si="8"/>
        <v>4.4472417970456602e+18</v>
      </c>
      <c r="O24">
        <f>SUM($L$6:$L$25)/($O$14*POWER($O$18,4)) - 3</f>
        <v>-1.0205879370046114</v>
      </c>
    </row>
    <row r="25">
      <c r="B25">
        <f>IF($C$3=1,Додаток!$B24,IF($C$3=2,Додаток!$C24,IF($C$3=3,#REF!,IF($C$3=4,Додаток!$E24,IF($C$3=5,Додаток!$F24,IF($C$3=6,Додаток!$H24,IF($C$3=7,Додаток!$I24,IF($C$3=8,Додаток!$J24,IF($C$3=9,Додаток!$K24,IF($C$3=10,Додаток!$L24))))))))))</f>
        <v>234</v>
      </c>
      <c r="C25">
        <f t="shared" si="0"/>
        <v>-21543.799999999999</v>
      </c>
      <c r="D25">
        <f t="shared" si="1"/>
        <v>464135318.44</v>
      </c>
      <c r="E25">
        <f t="shared" si="2"/>
        <v>0.83073292044924718</v>
      </c>
      <c r="G25" t="b">
        <f t="shared" si="3"/>
        <v>1</v>
      </c>
      <c r="H25">
        <f t="shared" si="4"/>
        <v>234</v>
      </c>
      <c r="I25">
        <f t="shared" si="5"/>
        <v>-21543.799999999999</v>
      </c>
      <c r="J25">
        <f t="shared" si="6"/>
        <v>464135318.44</v>
      </c>
      <c r="K25">
        <f t="shared" si="7"/>
        <v>-9999238473407.6719</v>
      </c>
      <c r="L25">
        <f t="shared" si="8"/>
        <v>2.1542159382340019e+17</v>
      </c>
      <c r="N25" s="8" t="str">
        <f>IF($O$21&gt;0,"Гостріший пік",IF($O$21&lt;0, "Плоскіший пік", "Нормальний розподіл"))</f>
        <v xml:space="preserve">Гостріший пік</v>
      </c>
      <c r="O25" s="8"/>
    </row>
    <row r="29">
      <c r="N29" s="2" t="s">
        <v>9</v>
      </c>
      <c r="O29" s="2"/>
    </row>
    <row r="30">
      <c r="O30">
        <f>MIN($B$6:$B$25)</f>
        <v>199</v>
      </c>
    </row>
    <row r="31">
      <c r="O31">
        <f>MAX($B$6:$B$25)</f>
        <v>67923</v>
      </c>
    </row>
  </sheetData>
  <mergeCells count="4">
    <mergeCell ref="B2:O2"/>
    <mergeCell ref="N22:O22"/>
    <mergeCell ref="N25:O25"/>
    <mergeCell ref="N29:O29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K3" workbookViewId="0" zoomScale="80">
      <selection activeCell="D3" activeCellId="0" sqref="D3"/>
    </sheetView>
  </sheetViews>
  <sheetFormatPr defaultRowHeight="14.25"/>
  <cols>
    <col customWidth="1" min="2" max="2" width="11.5546875"/>
    <col customWidth="1" min="3" max="3" width="4.109375"/>
    <col customWidth="1" min="4" max="4" width="3.5546875"/>
    <col customWidth="1" min="5" max="5" width="11.109375"/>
    <col customWidth="1" min="6" max="6" width="4.33203125"/>
    <col customWidth="1" min="7" max="7" width="3.88671875"/>
    <col customWidth="1" min="14" max="14" width="3.77734375"/>
    <col customWidth="1" min="15" max="16" width="7.6640625"/>
    <col customWidth="1" min="17" max="17" width="3.88671875"/>
    <col customWidth="1" min="18" max="18" width="3.6640625"/>
    <col customWidth="1" min="19" max="19" width="11.33203125"/>
    <col customWidth="1" min="20" max="20" width="8.88671875"/>
    <col customWidth="1" min="22" max="22" width="6.88671875"/>
    <col customWidth="1" min="23" max="23" width="14.21875"/>
  </cols>
  <sheetData>
    <row r="2">
      <c r="B2" s="1" t="s">
        <v>10</v>
      </c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</row>
    <row r="3">
      <c r="B3" t="s">
        <v>11</v>
      </c>
      <c r="C3" s="6">
        <v>5</v>
      </c>
      <c r="E3" t="s">
        <v>12</v>
      </c>
      <c r="F3" s="6">
        <v>6</v>
      </c>
      <c r="H3" s="6" t="s">
        <v>13</v>
      </c>
      <c r="I3" s="6"/>
      <c r="J3" s="6" t="s">
        <v>14</v>
      </c>
      <c r="K3" s="6"/>
    </row>
    <row r="4">
      <c r="B4" s="3"/>
      <c r="E4" s="3"/>
      <c r="H4" s="9"/>
      <c r="I4" s="9"/>
      <c r="J4" s="3"/>
      <c r="K4" s="3"/>
      <c r="L4" s="10" t="s">
        <v>15</v>
      </c>
      <c r="M4" s="10" t="s">
        <v>16</v>
      </c>
      <c r="O4" s="4"/>
      <c r="P4" s="4"/>
      <c r="S4" s="6" t="s">
        <v>6</v>
      </c>
      <c r="T4">
        <v>20</v>
      </c>
    </row>
    <row r="5">
      <c r="B5">
        <f>IF($C$3=1,Додаток!$B5,IF($C$3=2,Додаток!$C5,IF($C$3=3,#REF!,IF($C$3=4,Додаток!$E5,IF($C$3=5,Додаток!$F5,IF($C$3=6,Додаток!$H5,IF($C$3=7,Додаток!$I5,IF($C$3=8,Додаток!$J5,IF($C$3=9,Додаток!$K5,IF($C$3=10,Додаток!$L5))))))))))</f>
        <v>1.75</v>
      </c>
      <c r="E5">
        <f>IF($F$3=1,Додаток!$B5,IF($F$3=2,Додаток!$C5,IF($F$3=3,#REF!,IF($F$3=4,Додаток!$E5,IF($F$3=5,Додаток!$F5,IF($F$3=6,Додаток!$H5,IF($F$3=7,Додаток!$I5,IF($F$3=8,Додаток!$J5,IF($F$3=9,Додаток!$K5,IF($F$3=10,Додаток!$L5))))))))))</f>
        <v>3</v>
      </c>
      <c r="H5">
        <f t="shared" ref="H5:H24" si="9">_xlfn.RANK.AVG(B5,$B$5:$B$24)</f>
        <v>17</v>
      </c>
      <c r="I5">
        <f t="shared" ref="I5:I24" si="10">_xlfn.RANK.AVG(E5,$E$5:$E$24)</f>
        <v>20</v>
      </c>
      <c r="J5" s="11">
        <v>17</v>
      </c>
      <c r="K5" s="11">
        <v>1</v>
      </c>
      <c r="L5">
        <f t="shared" ref="L5:L8" si="11">COUNTIFS($J6:$J$34,"&gt;" &amp; J5,$K6:$K$34,"&gt;" &amp; K5)</f>
        <v>3</v>
      </c>
      <c r="M5">
        <f t="shared" ref="M5:M8" si="12">COUNTIFS($J6:$J$34,"&gt;" &amp; J5,$K6:$K$34,"&lt;" &amp; K5)</f>
        <v>0</v>
      </c>
      <c r="O5">
        <f t="shared" ref="O5:O8" si="13">COUNTIF(J6:$J$34, J5)</f>
        <v>0</v>
      </c>
      <c r="P5">
        <f t="shared" ref="P5:P8" si="14">COUNTIF(K6:$K$34, K5)</f>
        <v>0</v>
      </c>
      <c r="T5">
        <v>0.218</v>
      </c>
    </row>
    <row r="6">
      <c r="B6">
        <f>IF($C$3=1,Додаток!$B6,IF($C$3=2,Додаток!$C6,IF($C$3=3,#REF!,IF($C$3=4,Додаток!$E6,IF($C$3=5,Додаток!$F6,IF($C$3=6,Додаток!$H6,IF($C$3=7,Додаток!$I6,IF($C$3=8,Додаток!$J6,IF($C$3=9,Додаток!$K6,IF($C$3=10,Додаток!$L6))))))))))</f>
        <v>2.4300000000000002</v>
      </c>
      <c r="E6">
        <f>IF($F$3=1,Додаток!B6,IF($F$3=2,Додаток!C6,IF($F$3=3,#REF!,IF($F$3=4,Додаток!E6,IF($F$3=5,Додаток!F6,IF($F$3=6,Додаток!H6,IF($F$3=7,Додаток!I6,IF($F$3=8,Додаток!J6,IF($F$3=9,Додаток!K6,IF($F$3=10,Додаток!L6))))))))))</f>
        <v>118</v>
      </c>
      <c r="H6">
        <f t="shared" si="9"/>
        <v>6</v>
      </c>
      <c r="I6">
        <f t="shared" si="10"/>
        <v>2.5</v>
      </c>
      <c r="J6" s="11">
        <v>6</v>
      </c>
      <c r="K6" s="11">
        <v>2.5</v>
      </c>
      <c r="L6">
        <f t="shared" si="11"/>
        <v>12</v>
      </c>
      <c r="M6">
        <f t="shared" si="12"/>
        <v>0</v>
      </c>
      <c r="O6">
        <f t="shared" si="13"/>
        <v>0</v>
      </c>
      <c r="P6">
        <f t="shared" si="14"/>
        <v>1</v>
      </c>
    </row>
    <row r="7">
      <c r="B7">
        <f>IF($C$3=1,Додаток!$B7,IF($C$3=2,Додаток!$C7,IF($C$3=3,#REF!,IF($C$3=4,Додаток!$E7,IF($C$3=5,Додаток!$F7,IF($C$3=6,Додаток!$H7,IF($C$3=7,Додаток!$I7,IF($C$3=8,Додаток!$J7,IF($C$3=9,Додаток!$K7,IF($C$3=10,Додаток!$L7))))))))))</f>
        <v>2.1499999999999999</v>
      </c>
      <c r="E7">
        <f>IF($F$3=1,Додаток!B7,IF($F$3=2,Додаток!C7,IF($F$3=3,#REF!,IF($F$3=4,Додаток!E7,IF($F$3=5,Додаток!F7,IF($F$3=6,Додаток!H7,IF($F$3=7,Додаток!I7,IF($F$3=8,Додаток!J7,IF($F$3=9,Додаток!K7,IF($F$3=10,Додаток!L7))))))))))</f>
        <v>96</v>
      </c>
      <c r="H7">
        <f t="shared" si="9"/>
        <v>11</v>
      </c>
      <c r="I7">
        <f t="shared" si="10"/>
        <v>7</v>
      </c>
      <c r="J7" s="11">
        <v>11</v>
      </c>
      <c r="K7" s="11">
        <v>2.5</v>
      </c>
      <c r="L7">
        <f t="shared" si="11"/>
        <v>8</v>
      </c>
      <c r="M7">
        <f t="shared" si="12"/>
        <v>0</v>
      </c>
      <c r="O7">
        <f t="shared" si="13"/>
        <v>0</v>
      </c>
      <c r="P7">
        <f t="shared" si="14"/>
        <v>0</v>
      </c>
      <c r="T7">
        <f>$T$4*($T$4-1)/2</f>
        <v>190</v>
      </c>
    </row>
    <row r="8">
      <c r="B8">
        <f>IF($C$3=1,Додаток!$B8,IF($C$3=2,Додаток!$C8,IF($C$3=3,#REF!,IF($C$3=4,Додаток!$E8,IF($C$3=5,Додаток!$F8,IF($C$3=6,Додаток!$H8,IF($C$3=7,Додаток!$I8,IF($C$3=8,Додаток!$J8,IF($C$3=9,Додаток!$K8,IF($C$3=10,Додаток!$L8))))))))))</f>
        <v>2.7200000000000002</v>
      </c>
      <c r="E8">
        <f>IF($F$3=1,Додаток!B8,IF($F$3=2,Додаток!C8,IF($F$3=3,#REF!,IF($F$3=4,Додаток!E8,IF($F$3=5,Додаток!F8,IF($F$3=6,Додаток!H8,IF($F$3=7,Додаток!I8,IF($F$3=8,Додаток!J8,IF($F$3=9,Додаток!K8,IF($F$3=10,Додаток!L8))))))))))</f>
        <v>66</v>
      </c>
      <c r="H8">
        <f t="shared" si="9"/>
        <v>3</v>
      </c>
      <c r="I8">
        <f t="shared" si="10"/>
        <v>12</v>
      </c>
      <c r="J8" s="11">
        <v>3</v>
      </c>
      <c r="K8" s="11">
        <v>4</v>
      </c>
      <c r="L8">
        <f t="shared" si="11"/>
        <v>14</v>
      </c>
      <c r="M8">
        <f t="shared" si="12"/>
        <v>0</v>
      </c>
      <c r="O8">
        <f t="shared" si="13"/>
        <v>0</v>
      </c>
      <c r="P8">
        <f t="shared" si="14"/>
        <v>0</v>
      </c>
      <c r="T8" s="12">
        <f>($L$36-$M$36)/SQRT(($T$7-$O$36)*($T$7-$P$36))</f>
        <v>0.59418326919236186</v>
      </c>
    </row>
    <row r="9">
      <c r="B9">
        <f>IF($C$3=1,Додаток!$B9,IF($C$3=2,Додаток!$C9,IF($C$3=3,#REF!,IF($C$3=4,Додаток!$E9,IF($C$3=5,Додаток!$F9,IF($C$3=6,Додаток!$H9,IF($C$3=7,Додаток!$I9,IF($C$3=8,Додаток!$J9,IF($C$3=9,Додаток!$K9,IF($C$3=10,Додаток!$L9))))))))))</f>
        <v>2.3199999999999998</v>
      </c>
      <c r="E9">
        <f>IF($F$3=1,Додаток!B9,IF($F$3=2,Додаток!C9,IF($F$3=3,#REF!,IF($F$3=4,Додаток!E9,IF($F$3=5,Додаток!F9,IF($F$3=6,Додаток!H9,IF($F$3=7,Додаток!I9,IF($F$3=8,Додаток!J9,IF($F$3=9,Додаток!K9,IF($F$3=10,Додаток!L9))))))))))</f>
        <v>68</v>
      </c>
      <c r="H9">
        <f t="shared" si="9"/>
        <v>9</v>
      </c>
      <c r="I9">
        <f t="shared" si="10"/>
        <v>11</v>
      </c>
      <c r="J9" s="11">
        <v>9</v>
      </c>
      <c r="K9" s="11">
        <v>5</v>
      </c>
      <c r="L9">
        <f>COUNTIFS($J10:$J$34,"&gt;" &amp; J9,$K10:$K$34,"&gt;" &amp; K9)</f>
        <v>9</v>
      </c>
      <c r="M9">
        <f>COUNTIFS($J10:$J$34,"&gt;" &amp; J9,$K10:$K$34,"&lt;" &amp; K9)</f>
        <v>0</v>
      </c>
      <c r="O9">
        <f>COUNTIF(J10:$J$34, J9)</f>
        <v>0</v>
      </c>
      <c r="P9">
        <f>COUNTIF(K10:$K$34, K9)</f>
        <v>0</v>
      </c>
      <c r="S9" s="13" t="s">
        <v>17</v>
      </c>
      <c r="T9" s="14" t="str">
        <f>IF(ABS($T$8)&gt;$T$5,"Так","Ні")</f>
        <v>Так</v>
      </c>
    </row>
    <row r="10">
      <c r="B10">
        <f>IF($C$3=1,Додаток!$B10,IF($C$3=2,Додаток!$C10,IF($C$3=3,#REF!,IF($C$3=4,Додаток!$E10,IF($C$3=5,Додаток!$F10,IF($C$3=6,Додаток!$H10,IF($C$3=7,Додаток!$I10,IF($C$3=8,Додаток!$J10,IF($C$3=9,Додаток!$K10,IF($C$3=10,Додаток!$L10))))))))))</f>
        <v>2.48</v>
      </c>
      <c r="E10">
        <f>IF($F$3=1,Додаток!B10,IF($F$3=2,Додаток!C10,IF($F$3=3,#REF!,IF($F$3=4,Додаток!E10,IF($F$3=5,Додаток!F10,IF($F$3=6,Додаток!H10,IF($F$3=7,Додаток!I10,IF($F$3=8,Додаток!J10,IF($F$3=9,Додаток!K10,IF($F$3=10,Додаток!L10))))))))))</f>
        <v>86</v>
      </c>
      <c r="H10">
        <f t="shared" si="9"/>
        <v>5</v>
      </c>
      <c r="I10">
        <f t="shared" si="10"/>
        <v>9</v>
      </c>
      <c r="J10" s="11">
        <v>5</v>
      </c>
      <c r="K10" s="11">
        <v>6</v>
      </c>
      <c r="L10">
        <f t="shared" ref="L10:L24" si="15">COUNTIFS($J11:$J$34,"&gt;" &amp; J10,$K11:$K$34,"&gt;" &amp; K10)</f>
        <v>11</v>
      </c>
      <c r="M10">
        <f t="shared" ref="M10:M24" si="16">COUNTIFS($J11:$J$34,"&gt;" &amp; J10,$K11:$K$34,"&lt;" &amp; K10)</f>
        <v>0</v>
      </c>
      <c r="O10">
        <f t="shared" ref="O10:O24" si="17">COUNTIF(J11:$J$34, J10)</f>
        <v>0</v>
      </c>
      <c r="P10">
        <f t="shared" ref="P10:P24" si="18">COUNTIF(K11:$K$34, K10)</f>
        <v>0</v>
      </c>
    </row>
    <row r="11">
      <c r="B11">
        <f>IF($C$3=1,Додаток!$B11,IF($C$3=2,Додаток!$C11,IF($C$3=3,#REF!,IF($C$3=4,Додаток!$E11,IF($C$3=5,Додаток!$F11,IF($C$3=6,Додаток!$H11,IF($C$3=7,Додаток!$I11,IF($C$3=8,Додаток!$J11,IF($C$3=9,Додаток!$K11,IF($C$3=10,Додаток!$L11))))))))))</f>
        <v>1.74</v>
      </c>
      <c r="E11">
        <f>IF($F$3=1,Додаток!B11,IF($F$3=2,Додаток!C11,IF($F$3=3,#REF!,IF($F$3=4,Додаток!E11,IF($F$3=5,Додаток!F11,IF($F$3=6,Додаток!H11,IF($F$3=7,Додаток!I11,IF($F$3=8,Додаток!J11,IF($F$3=9,Додаток!K11,IF($F$3=10,Додаток!L11))))))))))</f>
        <v>15</v>
      </c>
      <c r="H11">
        <f t="shared" si="9"/>
        <v>18</v>
      </c>
      <c r="I11">
        <f t="shared" si="10"/>
        <v>17.5</v>
      </c>
      <c r="J11" s="11">
        <v>18</v>
      </c>
      <c r="K11" s="11">
        <v>7</v>
      </c>
      <c r="L11">
        <f t="shared" si="15"/>
        <v>2</v>
      </c>
      <c r="M11">
        <f t="shared" si="16"/>
        <v>0</v>
      </c>
      <c r="O11">
        <f t="shared" si="17"/>
        <v>0</v>
      </c>
      <c r="P11">
        <f t="shared" si="18"/>
        <v>0</v>
      </c>
    </row>
    <row r="12">
      <c r="B12">
        <f>IF($C$3=1,Додаток!$B12,IF($C$3=2,Додаток!$C12,IF($C$3=3,#REF!,IF($C$3=4,Додаток!$E12,IF($C$3=5,Додаток!$F12,IF($C$3=6,Додаток!$H12,IF($C$3=7,Додаток!$I12,IF($C$3=8,Додаток!$J12,IF($C$3=9,Додаток!$K12,IF($C$3=10,Додаток!$L12))))))))))</f>
        <v>2.9399999999999999</v>
      </c>
      <c r="E12">
        <f>IF($F$3=1,Додаток!B12,IF($F$3=2,Додаток!C12,IF($F$3=3,#REF!,IF($F$3=4,Додаток!E12,IF($F$3=5,Додаток!F12,IF($F$3=6,Додаток!H12,IF($F$3=7,Додаток!I12,IF($F$3=8,Додаток!J12,IF($F$3=9,Додаток!K12,IF($F$3=10,Додаток!L12))))))))))</f>
        <v>13</v>
      </c>
      <c r="H12">
        <f t="shared" si="9"/>
        <v>1</v>
      </c>
      <c r="I12">
        <f t="shared" si="10"/>
        <v>19</v>
      </c>
      <c r="J12" s="11">
        <v>1</v>
      </c>
      <c r="K12" s="11">
        <v>8</v>
      </c>
      <c r="L12">
        <f t="shared" si="15"/>
        <v>12</v>
      </c>
      <c r="M12">
        <f t="shared" si="16"/>
        <v>0</v>
      </c>
      <c r="O12">
        <f t="shared" si="17"/>
        <v>0</v>
      </c>
      <c r="P12">
        <f t="shared" si="18"/>
        <v>0</v>
      </c>
    </row>
    <row r="13">
      <c r="B13">
        <f>IF($C$3=1,Додаток!$B13,IF($C$3=2,Додаток!$C13,IF($C$3=3,#REF!,IF($C$3=4,Додаток!$E13,IF($C$3=5,Додаток!$F13,IF($C$3=6,Додаток!$H13,IF($C$3=7,Додаток!$I13,IF($C$3=8,Додаток!$J13,IF($C$3=9,Додаток!$K13,IF($C$3=10,Додаток!$L13))))))))))</f>
        <v>2.0899999999999999</v>
      </c>
      <c r="E13">
        <f>IF($F$3=1,Додаток!B13,IF($F$3=2,Додаток!C13,IF($F$3=3,#REF!,IF($F$3=4,Додаток!E13,IF($F$3=5,Додаток!F13,IF($F$3=6,Додаток!H13,IF($F$3=7,Додаток!I13,IF($F$3=8,Додаток!J13,IF($F$3=9,Додаток!K13,IF($F$3=10,Додаток!L13))))))))))</f>
        <v>53</v>
      </c>
      <c r="H13">
        <f t="shared" si="9"/>
        <v>13</v>
      </c>
      <c r="I13">
        <f t="shared" si="10"/>
        <v>13</v>
      </c>
      <c r="J13" s="11">
        <v>13</v>
      </c>
      <c r="K13" s="11">
        <v>9</v>
      </c>
      <c r="L13">
        <f t="shared" si="15"/>
        <v>5</v>
      </c>
      <c r="M13">
        <f t="shared" si="16"/>
        <v>0</v>
      </c>
      <c r="O13">
        <f t="shared" si="17"/>
        <v>0</v>
      </c>
      <c r="P13">
        <f t="shared" si="18"/>
        <v>0</v>
      </c>
    </row>
    <row r="14">
      <c r="B14">
        <f>IF($C$3=1,Додаток!$B14,IF($C$3=2,Додаток!$C14,IF($C$3=3,#REF!,IF($C$3=4,Додаток!$E14,IF($C$3=5,Додаток!$F14,IF($C$3=6,Додаток!$H14,IF($C$3=7,Додаток!$I14,IF($C$3=8,Додаток!$J14,IF($C$3=9,Додаток!$K14,IF($C$3=10,Додаток!$L14))))))))))</f>
        <v>2.3300000000000001</v>
      </c>
      <c r="E14">
        <f>IF($F$3=1,Додаток!B14,IF($F$3=2,Додаток!C14,IF($F$3=3,#REF!,IF($F$3=4,Додаток!E14,IF($F$3=5,Додаток!F14,IF($F$3=6,Додаток!H14,IF($F$3=7,Додаток!I14,IF($F$3=8,Додаток!J14,IF($F$3=9,Додаток!K14,IF($F$3=10,Додаток!L14))))))))))</f>
        <v>114</v>
      </c>
      <c r="H14">
        <f t="shared" si="9"/>
        <v>8</v>
      </c>
      <c r="I14">
        <f t="shared" si="10"/>
        <v>5</v>
      </c>
      <c r="J14" s="11">
        <v>8</v>
      </c>
      <c r="K14" s="11">
        <v>10</v>
      </c>
      <c r="L14">
        <f t="shared" si="15"/>
        <v>7</v>
      </c>
      <c r="M14">
        <f t="shared" si="16"/>
        <v>0</v>
      </c>
      <c r="O14">
        <f t="shared" si="17"/>
        <v>0</v>
      </c>
      <c r="P14">
        <f t="shared" si="18"/>
        <v>0</v>
      </c>
    </row>
    <row r="15">
      <c r="B15">
        <f>IF($C$3=1,Додаток!$B15,IF($C$3=2,Додаток!$C15,IF($C$3=3,#REF!,IF($C$3=4,Додаток!$E15,IF($C$3=5,Додаток!$F15,IF($C$3=6,Додаток!$H15,IF($C$3=7,Додаток!$I15,IF($C$3=8,Додаток!$J15,IF($C$3=9,Додаток!$K15,IF($C$3=10,Додаток!$L15))))))))))</f>
        <v>2.1200000000000001</v>
      </c>
      <c r="E15">
        <f>IF($F$3=1,Додаток!B15,IF($F$3=2,Додаток!C15,IF($F$3=3,#REF!,IF($F$3=4,Додаток!E15,IF($F$3=5,Додаток!F15,IF($F$3=6,Додаток!H15,IF($F$3=7,Додаток!I15,IF($F$3=8,Додаток!J15,IF($F$3=9,Додаток!K15,IF($F$3=10,Додаток!L15))))))))))</f>
        <v>15</v>
      </c>
      <c r="H15">
        <f t="shared" si="9"/>
        <v>12</v>
      </c>
      <c r="I15">
        <f t="shared" si="10"/>
        <v>17.5</v>
      </c>
      <c r="J15" s="11">
        <v>12</v>
      </c>
      <c r="K15" s="11">
        <v>11</v>
      </c>
      <c r="L15">
        <f t="shared" si="15"/>
        <v>5</v>
      </c>
      <c r="M15">
        <f t="shared" si="16"/>
        <v>0</v>
      </c>
      <c r="O15">
        <f t="shared" si="17"/>
        <v>0</v>
      </c>
      <c r="P15">
        <f t="shared" si="18"/>
        <v>0</v>
      </c>
    </row>
    <row r="16">
      <c r="B16">
        <f>IF($C$3=1,Додаток!$B16,IF($C$3=2,Додаток!$C16,IF($C$3=3,#REF!,IF($C$3=4,Додаток!$E16,IF($C$3=5,Додаток!$F16,IF($C$3=6,Додаток!$H16,IF($C$3=7,Додаток!$I16,IF($C$3=8,Додаток!$J16,IF($C$3=9,Додаток!$K16,IF($C$3=10,Додаток!$L16))))))))))</f>
        <v>2.8900000000000001</v>
      </c>
      <c r="E16">
        <f>IF($F$3=1,Додаток!B16,IF($F$3=2,Додаток!C16,IF($F$3=3,#REF!,IF($F$3=4,Додаток!E16,IF($F$3=5,Додаток!F16,IF($F$3=6,Додаток!H16,IF($F$3=7,Додаток!I16,IF($F$3=8,Додаток!J16,IF($F$3=9,Додаток!K16,IF($F$3=10,Додаток!L16))))))))))</f>
        <v>141</v>
      </c>
      <c r="H16">
        <f t="shared" si="9"/>
        <v>2</v>
      </c>
      <c r="I16">
        <f t="shared" si="10"/>
        <v>1</v>
      </c>
      <c r="J16" s="11">
        <v>2</v>
      </c>
      <c r="K16" s="11">
        <v>12</v>
      </c>
      <c r="L16">
        <f t="shared" si="15"/>
        <v>8</v>
      </c>
      <c r="M16">
        <f t="shared" si="16"/>
        <v>0</v>
      </c>
      <c r="O16">
        <f t="shared" si="17"/>
        <v>0</v>
      </c>
      <c r="P16">
        <f t="shared" si="18"/>
        <v>0</v>
      </c>
    </row>
    <row r="17">
      <c r="B17">
        <f>IF($C$3=1,Додаток!$B17,IF($C$3=2,Додаток!$C17,IF($C$3=3,#REF!,IF($C$3=4,Додаток!$E17,IF($C$3=5,Додаток!$F17,IF($C$3=6,Додаток!$H17,IF($C$3=7,Додаток!$I17,IF($C$3=8,Додаток!$J17,IF($C$3=9,Додаток!$K17,IF($C$3=10,Додаток!$L17))))))))))</f>
        <v>2.5600000000000001</v>
      </c>
      <c r="E17">
        <f>IF($F$3=1,Додаток!B17,IF($F$3=2,Додаток!C17,IF($F$3=3,#REF!,IF($F$3=4,Додаток!E17,IF($F$3=5,Додаток!F17,IF($F$3=6,Додаток!H17,IF($F$3=7,Додаток!I17,IF($F$3=8,Додаток!J17,IF($F$3=9,Додаток!K17,IF($F$3=10,Додаток!L17))))))))))</f>
        <v>112</v>
      </c>
      <c r="H17">
        <f t="shared" si="9"/>
        <v>4</v>
      </c>
      <c r="I17">
        <f t="shared" si="10"/>
        <v>6</v>
      </c>
      <c r="J17" s="11">
        <v>4</v>
      </c>
      <c r="K17" s="11">
        <v>13</v>
      </c>
      <c r="L17">
        <f t="shared" si="15"/>
        <v>7</v>
      </c>
      <c r="M17">
        <f t="shared" si="16"/>
        <v>0</v>
      </c>
      <c r="O17">
        <f t="shared" si="17"/>
        <v>0</v>
      </c>
      <c r="P17">
        <f t="shared" si="18"/>
        <v>0</v>
      </c>
    </row>
    <row r="18">
      <c r="B18">
        <f>IF($C$3=1,Додаток!$B18,IF($C$3=2,Додаток!$C18,IF($C$3=3,#REF!,IF($C$3=4,Додаток!$E18,IF($C$3=5,Додаток!$F18,IF($C$3=6,Додаток!$H18,IF($C$3=7,Додаток!$I18,IF($C$3=8,Додаток!$J18,IF($C$3=9,Додаток!$K18,IF($C$3=10,Додаток!$L18))))))))))</f>
        <v>1.73</v>
      </c>
      <c r="E18">
        <f>IF($F$3=1,Додаток!B18,IF($F$3=2,Додаток!C18,IF($F$3=3,#REF!,IF($F$3=4,Додаток!E18,IF($F$3=5,Додаток!F18,IF($F$3=6,Додаток!H18,IF($F$3=7,Додаток!I18,IF($F$3=8,Додаток!J18,IF($F$3=9,Додаток!K18,IF($F$3=10,Додаток!L18))))))))))</f>
        <v>116</v>
      </c>
      <c r="H18">
        <f t="shared" si="9"/>
        <v>19</v>
      </c>
      <c r="I18">
        <f t="shared" si="10"/>
        <v>4</v>
      </c>
      <c r="J18" s="11">
        <v>19</v>
      </c>
      <c r="K18" s="11">
        <v>14</v>
      </c>
      <c r="L18">
        <f t="shared" si="15"/>
        <v>1</v>
      </c>
      <c r="M18">
        <f t="shared" si="16"/>
        <v>0</v>
      </c>
      <c r="O18">
        <f t="shared" si="17"/>
        <v>0</v>
      </c>
      <c r="P18">
        <f t="shared" si="18"/>
        <v>0</v>
      </c>
    </row>
    <row r="19">
      <c r="B19">
        <f>IF($C$3=1,Додаток!$B19,IF($C$3=2,Додаток!$C19,IF($C$3=3,#REF!,IF($C$3=4,Додаток!$E19,IF($C$3=5,Додаток!$F19,IF($C$3=6,Додаток!$H19,IF($C$3=7,Додаток!$I19,IF($C$3=8,Додаток!$J19,IF($C$3=9,Додаток!$K19,IF($C$3=10,Додаток!$L19))))))))))</f>
        <v>2.3799999999999999</v>
      </c>
      <c r="E19">
        <f>IF($F$3=1,Додаток!B19,IF($F$3=2,Додаток!C19,IF($F$3=3,#REF!,IF($F$3=4,Додаток!E19,IF($F$3=5,Додаток!F19,IF($F$3=6,Додаток!H19,IF($F$3=7,Додаток!I19,IF($F$3=8,Додаток!J19,IF($F$3=9,Додаток!K19,IF($F$3=10,Додаток!L19))))))))))</f>
        <v>77</v>
      </c>
      <c r="H19">
        <f t="shared" si="9"/>
        <v>7</v>
      </c>
      <c r="I19">
        <f t="shared" si="10"/>
        <v>10</v>
      </c>
      <c r="J19" s="11">
        <v>7</v>
      </c>
      <c r="K19" s="11">
        <v>15.5</v>
      </c>
      <c r="L19">
        <f t="shared" si="15"/>
        <v>4</v>
      </c>
      <c r="M19">
        <f t="shared" si="16"/>
        <v>0</v>
      </c>
      <c r="O19">
        <f t="shared" si="17"/>
        <v>0</v>
      </c>
      <c r="P19">
        <f t="shared" si="18"/>
        <v>1</v>
      </c>
    </row>
    <row r="20">
      <c r="B20">
        <f>IF($C$3=1,Додаток!$B20,IF($C$3=2,Додаток!$C20,IF($C$3=3,#REF!,IF($C$3=4,Додаток!$E20,IF($C$3=5,Додаток!$F20,IF($C$3=6,Додаток!$H20,IF($C$3=7,Додаток!$I20,IF($C$3=8,Додаток!$J20,IF($C$3=9,Додаток!$K20,IF($C$3=10,Додаток!$L20))))))))))</f>
        <v>2.21</v>
      </c>
      <c r="E20">
        <f>IF($F$3=1,Додаток!B20,IF($F$3=2,Додаток!C20,IF($F$3=3,#REF!,IF($F$3=4,Додаток!E20,IF($F$3=5,Додаток!F20,IF($F$3=6,Додаток!H20,IF($F$3=7,Додаток!I20,IF($F$3=8,Додаток!J20,IF($F$3=9,Додаток!K20,IF($F$3=10,Додаток!L20))))))))))</f>
        <v>43</v>
      </c>
      <c r="H20">
        <f t="shared" si="9"/>
        <v>10</v>
      </c>
      <c r="I20">
        <f t="shared" si="10"/>
        <v>15.5</v>
      </c>
      <c r="J20" s="11">
        <v>10</v>
      </c>
      <c r="K20" s="11">
        <v>15.5</v>
      </c>
      <c r="L20">
        <f t="shared" si="15"/>
        <v>4</v>
      </c>
      <c r="M20">
        <f t="shared" si="16"/>
        <v>0</v>
      </c>
      <c r="O20">
        <f t="shared" si="17"/>
        <v>0</v>
      </c>
      <c r="P20">
        <f t="shared" si="18"/>
        <v>0</v>
      </c>
    </row>
    <row r="21">
      <c r="B21">
        <f>IF($C$3=1,Додаток!$B21,IF($C$3=2,Додаток!$C21,IF($C$3=3,#REF!,IF($C$3=4,Додаток!$E21,IF($C$3=5,Додаток!$F21,IF($C$3=6,Додаток!$H21,IF($C$3=7,Додаток!$I21,IF($C$3=8,Додаток!$J21,IF($C$3=9,Додаток!$K21,IF($C$3=10,Додаток!$L21))))))))))</f>
        <v>1.9399999999999999</v>
      </c>
      <c r="E21">
        <f>IF($F$3=1,Додаток!B21,IF($F$3=2,Додаток!C21,IF($F$3=3,#REF!,IF($F$3=4,Додаток!E21,IF($F$3=5,Додаток!F21,IF($F$3=6,Додаток!H21,IF($F$3=7,Додаток!I21,IF($F$3=8,Додаток!J21,IF($F$3=9,Додаток!K21,IF($F$3=10,Додаток!L21))))))))))</f>
        <v>89</v>
      </c>
      <c r="H21">
        <f t="shared" si="9"/>
        <v>16</v>
      </c>
      <c r="I21">
        <f t="shared" si="10"/>
        <v>8</v>
      </c>
      <c r="J21" s="11">
        <v>16</v>
      </c>
      <c r="K21" s="11">
        <v>17.5</v>
      </c>
      <c r="L21">
        <f t="shared" si="15"/>
        <v>0</v>
      </c>
      <c r="M21">
        <f t="shared" si="16"/>
        <v>0</v>
      </c>
      <c r="O21">
        <f t="shared" si="17"/>
        <v>0</v>
      </c>
      <c r="P21">
        <f t="shared" si="18"/>
        <v>1</v>
      </c>
    </row>
    <row r="22">
      <c r="B22">
        <f>IF($C$3=1,Додаток!$B22,IF($C$3=2,Додаток!$C22,IF($C$3=3,#REF!,IF($C$3=4,Додаток!$E22,IF($C$3=5,Додаток!$F22,IF($C$3=6,Додаток!$H22,IF($C$3=7,Додаток!$I22,IF($C$3=8,Додаток!$J22,IF($C$3=9,Додаток!$K22,IF($C$3=10,Додаток!$L22))))))))))</f>
        <v>1.51</v>
      </c>
      <c r="E22">
        <f>IF($F$3=1,Додаток!B22,IF($F$3=2,Додаток!C22,IF($F$3=3,#REF!,IF($F$3=4,Додаток!E22,IF($F$3=5,Додаток!F22,IF($F$3=6,Додаток!H22,IF($F$3=7,Додаток!I22,IF($F$3=8,Додаток!J22,IF($F$3=9,Додаток!K22,IF($F$3=10,Додаток!L22))))))))))</f>
        <v>118</v>
      </c>
      <c r="H22">
        <f t="shared" si="9"/>
        <v>20</v>
      </c>
      <c r="I22">
        <f t="shared" si="10"/>
        <v>2.5</v>
      </c>
      <c r="J22" s="11">
        <v>20</v>
      </c>
      <c r="K22" s="11">
        <v>17.5</v>
      </c>
      <c r="L22">
        <f t="shared" si="15"/>
        <v>0</v>
      </c>
      <c r="M22">
        <f t="shared" si="16"/>
        <v>0</v>
      </c>
      <c r="O22">
        <f t="shared" si="17"/>
        <v>0</v>
      </c>
      <c r="P22">
        <f t="shared" si="18"/>
        <v>0</v>
      </c>
    </row>
    <row r="23">
      <c r="B23">
        <f>IF($C$3=1,Додаток!$B23,IF($C$3=2,Додаток!$C23,IF($C$3=3,#REF!,IF($C$3=4,Додаток!$E23,IF($C$3=5,Додаток!$F23,IF($C$3=6,Додаток!$H23,IF($C$3=7,Додаток!$I23,IF($C$3=8,Додаток!$J23,IF($C$3=9,Додаток!$K23,IF($C$3=10,Додаток!$L23))))))))))</f>
        <v>1.98</v>
      </c>
      <c r="E23">
        <f>IF($F$3=1,Додаток!B23,IF($F$3=2,Додаток!C23,IF($F$3=3,#REF!,IF($F$3=4,Додаток!E23,IF($F$3=5,Додаток!F23,IF($F$3=6,Додаток!H23,IF($F$3=7,Додаток!I23,IF($F$3=8,Додаток!J23,IF($F$3=9,Додаток!K23,IF($F$3=10,Додаток!L23))))))))))</f>
        <v>43</v>
      </c>
      <c r="H23">
        <f t="shared" si="9"/>
        <v>15</v>
      </c>
      <c r="I23">
        <f t="shared" si="10"/>
        <v>15.5</v>
      </c>
      <c r="J23" s="11">
        <v>15</v>
      </c>
      <c r="K23" s="11">
        <v>19</v>
      </c>
      <c r="L23">
        <f t="shared" si="15"/>
        <v>0</v>
      </c>
      <c r="M23">
        <f t="shared" si="16"/>
        <v>0</v>
      </c>
      <c r="O23">
        <f t="shared" si="17"/>
        <v>0</v>
      </c>
      <c r="P23">
        <f t="shared" si="18"/>
        <v>0</v>
      </c>
    </row>
    <row r="24">
      <c r="B24">
        <f>IF($C$3=1,Додаток!$B24,IF($C$3=2,Додаток!$C24,IF($C$3=3,#REF!,IF($C$3=4,Додаток!$E24,IF($C$3=5,Додаток!$F24,IF($C$3=6,Додаток!$H24,IF($C$3=7,Додаток!$I24,IF($C$3=8,Додаток!$J24,IF($C$3=9,Додаток!$K24,IF($C$3=10,Додаток!$L24))))))))))</f>
        <v>2.0499999999999998</v>
      </c>
      <c r="E24">
        <f>IF($F$3=1,Додаток!B24,IF($F$3=2,Додаток!C24,IF($F$3=3,#REF!,IF($F$3=4,Додаток!E24,IF($F$3=5,Додаток!F24,IF($F$3=6,Додаток!H24,IF($F$3=7,Додаток!I24,IF($F$3=8,Додаток!J24,IF($F$3=9,Додаток!K24,IF($F$3=10,Додаток!L24))))))))))</f>
        <v>51</v>
      </c>
      <c r="H24">
        <f t="shared" si="9"/>
        <v>14</v>
      </c>
      <c r="I24">
        <f t="shared" si="10"/>
        <v>14</v>
      </c>
      <c r="J24" s="11">
        <v>14</v>
      </c>
      <c r="K24" s="11">
        <v>20</v>
      </c>
      <c r="L24">
        <f t="shared" si="15"/>
        <v>0</v>
      </c>
      <c r="M24">
        <f t="shared" si="16"/>
        <v>0</v>
      </c>
      <c r="O24">
        <f t="shared" si="17"/>
        <v>0</v>
      </c>
      <c r="P24">
        <f t="shared" si="18"/>
        <v>0</v>
      </c>
    </row>
    <row r="36">
      <c r="K36" t="s">
        <v>18</v>
      </c>
      <c r="L36">
        <f>SUM($L$5:$L$24)</f>
        <v>112</v>
      </c>
      <c r="M36">
        <f>SUM($M$5:$M$24)</f>
        <v>0</v>
      </c>
      <c r="O36">
        <f>SUM($O$5:$O$24)</f>
        <v>0</v>
      </c>
      <c r="P36">
        <f>SUM($P$5:$P$24)</f>
        <v>3</v>
      </c>
    </row>
  </sheetData>
  <sortState ref="K5:K24" columnSort="0">
    <sortCondition sortBy="value" descending="0" ref="K5:K24"/>
  </sortState>
  <mergeCells count="3">
    <mergeCell ref="B2:P2"/>
    <mergeCell ref="H3:I3"/>
    <mergeCell ref="J3:K3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B5" activeCellId="0" sqref="B5:B24"/>
    </sheetView>
  </sheetViews>
  <sheetFormatPr defaultRowHeight="14.25"/>
  <cols>
    <col customWidth="1" min="2" max="2" width="10.109375"/>
    <col customWidth="1" min="3" max="3" width="4.33203125"/>
    <col customWidth="1" min="4" max="4" width="4"/>
    <col customWidth="1" min="5" max="5" width="10"/>
    <col customWidth="1" min="6" max="6" width="3.77734375"/>
    <col customWidth="1" min="7" max="7" width="4.109375"/>
    <col customWidth="1" min="9" max="9" width="8.33203125"/>
    <col customWidth="1" min="10" max="10" width="4"/>
    <col customWidth="1" min="13" max="13" width="12"/>
    <col customWidth="1" min="14" max="14" width="4.33203125"/>
    <col customWidth="1" min="15" max="17" width="7.5546875"/>
    <col customWidth="1" min="18" max="18" width="13"/>
    <col customWidth="1" min="19" max="19" width="12.88671875"/>
    <col customWidth="1" min="20" max="20" width="6.6640625"/>
    <col customWidth="1" min="21" max="21" width="10.109375"/>
    <col customWidth="1" min="22" max="22" width="11.33203125"/>
    <col customWidth="1" min="23" max="23" width="12.77734375"/>
    <col customWidth="1" min="24" max="24" width="12.88671875"/>
    <col customWidth="1" min="25" max="25" width="11.88671875"/>
    <col customWidth="1" min="26" max="26" width="12.6640625"/>
  </cols>
  <sheetData>
    <row r="2">
      <c r="B2" s="1" t="s">
        <v>19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B3" t="s">
        <v>20</v>
      </c>
      <c r="C3">
        <v>1</v>
      </c>
      <c r="E3" t="s">
        <v>21</v>
      </c>
      <c r="F3">
        <v>8</v>
      </c>
    </row>
    <row r="4">
      <c r="B4" s="3" t="str">
        <f>IF($C$3=1, Додаток!$B4, IF($C$3=2,Додаток!$C4,IF($C$3=3,Додаток!$D4,IF($C$3=4,Додаток!$E4,IF($C$3=5,Додаток!$F4,IF($C$3=6,Додаток!$H4,IF($C$3=7,Додаток!$I4,IF($C$3=8,Додаток!$J4,IF($C$3=9,Додаток!$K4,IF($C$3=10,Додаток!$L4))))))))))</f>
        <v>NOC</v>
      </c>
      <c r="E4" s="3" t="str">
        <f>IF($F$3=1, Додаток!$B4, IF($F$3=2,Додаток!$C4,IF($F$3=3,Додаток!$D4,IF($F$3=4,Додаток!$E4,IF($F$3=5,Додаток!$F4,IF($F$3=6,Додаток!$H4,IF($F$3=7,Додаток!$I4,IF($F$3=8,Додаток!$J4,IF($F$3=9,Додаток!$K4,IF($F$3=10,Додаток!$L4))))))))))</f>
        <v>PNAS</v>
      </c>
      <c r="H4" s="4"/>
      <c r="I4" s="4"/>
      <c r="K4" s="4"/>
      <c r="L4" s="4"/>
      <c r="M4" s="4"/>
      <c r="O4" s="4"/>
      <c r="P4" s="4"/>
      <c r="S4">
        <f>AVERAGE(B5:B24)</f>
        <v>21777.799999999999</v>
      </c>
      <c r="U4" s="15" t="s">
        <v>22</v>
      </c>
      <c r="V4" s="15" t="s">
        <v>23</v>
      </c>
      <c r="W4" s="15" t="s">
        <v>24</v>
      </c>
      <c r="X4" s="15" t="s">
        <v>23</v>
      </c>
      <c r="Y4" s="4" t="s">
        <v>25</v>
      </c>
      <c r="Z4" s="15" t="s">
        <v>23</v>
      </c>
    </row>
    <row r="5">
      <c r="B5">
        <f>IF($C$3=1,Додаток!$B5,IF($C$3=2,Додаток!$C5,IF($C$3=3,#REF!,IF($C$3=4,Додаток!$E5,IF($C$3=5,Додаток!$F5,IF($C$3=6,Додаток!$H5,IF($C$3=7,Додаток!$I5,IF($C$3=8,Додаток!$J5,IF($C$3=9,Додаток!$K5,IF($C$3=10,Додаток!$L5))))))))))</f>
        <v>199</v>
      </c>
      <c r="E5">
        <f>IF($F$3=1,Додаток!$B5,IF($F$3=2,Додаток!$C5,IF($F$3=3,#REF!,IF($F$3=4,Додаток!$E5,IF($F$3=5,Додаток!$F5,IF($F$3=6,Додаток!$H5,IF($F$3=7,Додаток!$I5,IF($F$3=8,Додаток!$J5,IF($F$3=9,Додаток!$K5,IF($F$3=10,Додаток!$L5))))))))))</f>
        <v>2</v>
      </c>
      <c r="H5">
        <f t="shared" ref="H5:H24" si="19">LOG10(B5+0.1)</f>
        <v>2.2990712600274095</v>
      </c>
      <c r="I5">
        <f t="shared" ref="I5:I24" si="20">LOG10(E5 + 0.1)</f>
        <v>0.32221929473391925</v>
      </c>
      <c r="K5">
        <f t="shared" ref="K5:K24" si="21">B5*E5</f>
        <v>398</v>
      </c>
      <c r="L5">
        <f t="shared" ref="L5:L24" si="22">B5*I5</f>
        <v>64.121639652049936</v>
      </c>
      <c r="M5">
        <f t="shared" ref="M5:M24" si="23">H5*I5</f>
        <v>0.74080511994905496</v>
      </c>
      <c r="O5">
        <f t="shared" ref="O5:O24" si="24">B5*B5</f>
        <v>39601</v>
      </c>
      <c r="P5">
        <f t="shared" ref="P5:P24" si="25">H5*H5</f>
        <v>5.28572865868402</v>
      </c>
      <c r="S5">
        <f>AVERAGE(E5:E24)</f>
        <v>6.0499999999999998</v>
      </c>
      <c r="U5" s="16">
        <f t="shared" ref="U5:U24" si="26">$S$18*B5+$S$23</f>
        <v>5.3594945471491506</v>
      </c>
      <c r="V5" s="16">
        <f t="shared" ref="V5:V24" si="27">POWER(E5-U5,2)</f>
        <v>11.286203612324877</v>
      </c>
      <c r="W5" s="16">
        <f t="shared" ref="W5:W24" si="28">POWER(10,$S$24)*POWER(10,$S$19*B5)</f>
        <v>4.9221868177984067</v>
      </c>
      <c r="X5" s="16">
        <f t="shared" ref="X5:X24" si="29">POWER(E5-W5,2)</f>
        <v>8.539175798114778</v>
      </c>
      <c r="Y5" s="16">
        <f t="shared" ref="Y5:Y24" si="30">POWER(10,$S$25)*POWER(B5,$S$20)</f>
        <v>3.8608078417267753</v>
      </c>
      <c r="Z5" s="16">
        <f t="shared" ref="Z5:Z24" si="31">POWER(E5-Y5,2)</f>
        <v>3.4626058238318596</v>
      </c>
    </row>
    <row r="6">
      <c r="B6">
        <f>IF($C$3=1,Додаток!$B6,IF($C$3=2,Додаток!$C6,IF($C$3=3,#REF!,IF($C$3=4,Додаток!$E6,IF($C$3=5,Додаток!$F6,IF($C$3=6,Додаток!$H6,IF($C$3=7,Додаток!$I6,IF($C$3=8,Додаток!$J6,IF($C$3=9,Додаток!$K6,IF($C$3=10,Додаток!$L6))))))))))</f>
        <v>43921</v>
      </c>
      <c r="E6">
        <f>IF($F$3=1,Додаток!$B6,IF($F$3=2,Додаток!$C6,IF($F$3=3,#REF!,IF($F$3=4,Додаток!$E6,IF($F$3=5,Додаток!$F6,IF($F$3=6,Додаток!$H6,IF($F$3=7,Додаток!$I6,IF($F$3=8,Додаток!$J6,IF($F$3=9,Додаток!$K6,IF($F$3=10,Додаток!$L6))))))))))</f>
        <v>9</v>
      </c>
      <c r="H6">
        <f t="shared" si="19"/>
        <v>4.6426732084444886</v>
      </c>
      <c r="I6">
        <f t="shared" si="20"/>
        <v>0.95904139232109353</v>
      </c>
      <c r="K6">
        <f t="shared" si="21"/>
        <v>395289</v>
      </c>
      <c r="L6">
        <f t="shared" si="22"/>
        <v>42122.056992134749</v>
      </c>
      <c r="M6">
        <f t="shared" si="23"/>
        <v>4.4525157779184408</v>
      </c>
      <c r="O6">
        <f t="shared" si="24"/>
        <v>1929054241</v>
      </c>
      <c r="P6">
        <f t="shared" si="25"/>
        <v>21.55441452040824</v>
      </c>
      <c r="R6" s="8"/>
      <c r="S6">
        <f>AVERAGE(H5:H24)</f>
        <v>3.7891975352657683</v>
      </c>
      <c r="U6" s="16">
        <f t="shared" si="26"/>
        <v>6.7585658305173109</v>
      </c>
      <c r="V6" s="16">
        <f t="shared" si="27"/>
        <v>5.0240271361245528</v>
      </c>
      <c r="W6" s="16">
        <f t="shared" si="28"/>
        <v>6.5028161517180161</v>
      </c>
      <c r="X6" s="16">
        <f t="shared" si="29"/>
        <v>6.2359271721204186</v>
      </c>
      <c r="Y6" s="16">
        <f t="shared" si="30"/>
        <v>7.0216233992877699</v>
      </c>
      <c r="Z6" s="16">
        <f t="shared" si="31"/>
        <v>3.9139739742456787</v>
      </c>
    </row>
    <row r="7">
      <c r="B7">
        <f>IF($C$3=1,Додаток!$B7,IF($C$3=2,Додаток!$C7,IF($C$3=3,#REF!,IF($C$3=4,Додаток!$E7,IF($C$3=5,Додаток!$F7,IF($C$3=6,Додаток!$H7,IF($C$3=7,Додаток!$I7,IF($C$3=8,Додаток!$J7,IF($C$3=9,Додаток!$K7,IF($C$3=10,Додаток!$L7))))))))))</f>
        <v>20098</v>
      </c>
      <c r="E7">
        <f>IF($F$3=1,Додаток!$B7,IF($F$3=2,Додаток!$C7,IF($F$3=3,#REF!,IF($F$3=4,Додаток!$E7,IF($F$3=5,Додаток!$F7,IF($F$3=6,Додаток!$H7,IF($F$3=7,Додаток!$I7,IF($F$3=8,Додаток!$J7,IF($F$3=9,Додаток!$K7,IF($F$3=10,Додаток!$L7))))))))))</f>
        <v>9</v>
      </c>
      <c r="H7">
        <f t="shared" si="19"/>
        <v>4.303155002767844</v>
      </c>
      <c r="I7">
        <f t="shared" si="20"/>
        <v>0.95904139232109353</v>
      </c>
      <c r="K7">
        <f t="shared" si="21"/>
        <v>180882</v>
      </c>
      <c r="L7">
        <f t="shared" si="22"/>
        <v>19274.813902869337</v>
      </c>
      <c r="M7">
        <f t="shared" si="23"/>
        <v>4.1269037652279525</v>
      </c>
      <c r="O7">
        <f t="shared" si="24"/>
        <v>403929604</v>
      </c>
      <c r="P7">
        <f t="shared" si="25"/>
        <v>18.517142977845925</v>
      </c>
      <c r="S7">
        <f>AVERAGE(I5:I24)</f>
        <v>0.7518491654070848</v>
      </c>
      <c r="U7" s="16">
        <f t="shared" si="26"/>
        <v>5.9962476569735639</v>
      </c>
      <c r="V7" s="16">
        <f t="shared" si="27"/>
        <v>9.0225281382368046</v>
      </c>
      <c r="W7" s="16">
        <f t="shared" si="28"/>
        <v>5.5873067914741279</v>
      </c>
      <c r="X7" s="16">
        <f t="shared" si="29"/>
        <v>11.646474935518611</v>
      </c>
      <c r="Y7" s="16">
        <f t="shared" si="30"/>
        <v>6.438867495688557</v>
      </c>
      <c r="Z7" s="16">
        <f t="shared" si="31"/>
        <v>6.5593997046406036</v>
      </c>
    </row>
    <row r="8">
      <c r="B8">
        <f>IF($C$3=1,Додаток!$B8,IF($C$3=2,Додаток!$C8,IF($C$3=3,#REF!,IF($C$3=4,Додаток!$E8,IF($C$3=5,Додаток!$F8,IF($C$3=6,Додаток!$H8,IF($C$3=7,Додаток!$I8,IF($C$3=8,Додаток!$J8,IF($C$3=9,Додаток!$K8,IF($C$3=10,Додаток!$L8))))))))))</f>
        <v>21220</v>
      </c>
      <c r="E8">
        <f>IF($F$3=1,Додаток!$B8,IF($F$3=2,Додаток!$C8,IF($F$3=3,#REF!,IF($F$3=4,Додаток!$E8,IF($F$3=5,Додаток!$F8,IF($F$3=6,Додаток!$H8,IF($F$3=7,Додаток!$I8,IF($F$3=8,Додаток!$J8,IF($F$3=9,Додаток!$K8,IF($F$3=10,Додаток!$L8))))))))))</f>
        <v>5</v>
      </c>
      <c r="H8">
        <f t="shared" si="19"/>
        <v>4.3267474261885948</v>
      </c>
      <c r="I8">
        <f t="shared" si="20"/>
        <v>0.70757017609793627</v>
      </c>
      <c r="K8">
        <f t="shared" si="21"/>
        <v>106100</v>
      </c>
      <c r="L8">
        <f t="shared" si="22"/>
        <v>15014.639136798207</v>
      </c>
      <c r="M8">
        <f t="shared" si="23"/>
        <v>3.0614774382795567</v>
      </c>
      <c r="O8">
        <f t="shared" si="24"/>
        <v>450288400</v>
      </c>
      <c r="P8">
        <f t="shared" si="25"/>
        <v>18.720743290029628</v>
      </c>
      <c r="U8" s="16">
        <f t="shared" si="26"/>
        <v>6.0321508173948413</v>
      </c>
      <c r="V8" s="16">
        <f t="shared" si="27"/>
        <v>1.065335309848839</v>
      </c>
      <c r="W8" s="16">
        <f t="shared" si="28"/>
        <v>5.6273792430644143</v>
      </c>
      <c r="X8" s="16">
        <f t="shared" si="29"/>
        <v>0.39360471462807739</v>
      </c>
      <c r="Y8" s="16">
        <f t="shared" si="30"/>
        <v>6.4777500622826061</v>
      </c>
      <c r="Z8" s="16">
        <f t="shared" si="31"/>
        <v>2.1837452465762461</v>
      </c>
    </row>
    <row r="9">
      <c r="B9">
        <f>IF($C$3=1,Додаток!$B9,IF($C$3=2,Додаток!$C9,IF($C$3=3,#REF!,IF($C$3=4,Додаток!$E9,IF($C$3=5,Додаток!$F9,IF($C$3=6,Додаток!$H9,IF($C$3=7,Додаток!$I9,IF($C$3=8,Додаток!$J9,IF($C$3=9,Додаток!$K9,IF($C$3=10,Додаток!$L9))))))))))</f>
        <v>611</v>
      </c>
      <c r="E9">
        <f>IF($F$3=1,Додаток!$B9,IF($F$3=2,Додаток!$C9,IF($F$3=3,#REF!,IF($F$3=4,Додаток!$E9,IF($F$3=5,Додаток!$F9,IF($F$3=6,Додаток!$H9,IF($F$3=7,Додаток!$I9,IF($F$3=8,Додаток!$J9,IF($F$3=9,Додаток!$K9,IF($F$3=10,Додаток!$L9))))))))))</f>
        <v>3</v>
      </c>
      <c r="H9">
        <f t="shared" si="19"/>
        <v>2.786112283719826</v>
      </c>
      <c r="I9">
        <f t="shared" si="20"/>
        <v>0.49136169383427264</v>
      </c>
      <c r="K9">
        <f t="shared" si="21"/>
        <v>1833</v>
      </c>
      <c r="L9">
        <f t="shared" si="22"/>
        <v>300.22199493274059</v>
      </c>
      <c r="M9">
        <f t="shared" si="23"/>
        <v>1.3689888509410473</v>
      </c>
      <c r="O9">
        <f t="shared" si="24"/>
        <v>373321</v>
      </c>
      <c r="P9">
        <f t="shared" si="25"/>
        <v>7.762421657494504</v>
      </c>
      <c r="U9" s="16">
        <f t="shared" si="26"/>
        <v>5.3726782388546459</v>
      </c>
      <c r="V9" s="16">
        <f t="shared" si="27"/>
        <v>5.6296020251343837</v>
      </c>
      <c r="W9" s="16">
        <f t="shared" si="28"/>
        <v>4.9351205257235051</v>
      </c>
      <c r="X9" s="16">
        <f t="shared" si="29"/>
        <v>3.7446914490764147</v>
      </c>
      <c r="Y9" s="16">
        <f t="shared" si="30"/>
        <v>4.3719176549116607</v>
      </c>
      <c r="Z9" s="16">
        <f t="shared" si="31"/>
        <v>1.8821580518583105</v>
      </c>
    </row>
    <row r="10">
      <c r="B10">
        <f>IF($C$3=1,Додаток!$B10,IF($C$3=2,Додаток!$C10,IF($C$3=3,#REF!,IF($C$3=4,Додаток!$E10,IF($C$3=5,Додаток!$F10,IF($C$3=6,Додаток!$H10,IF($C$3=7,Додаток!$I10,IF($C$3=8,Додаток!$J10,IF($C$3=9,Додаток!$K10,IF($C$3=10,Додаток!$L10))))))))))</f>
        <v>5541</v>
      </c>
      <c r="E10">
        <f>IF($F$3=1,Додаток!$B10,IF($F$3=2,Додаток!$C10,IF($F$3=3,#REF!,IF($F$3=4,Додаток!$E10,IF($F$3=5,Додаток!$F10,IF($F$3=6,Додаток!$H10,IF($F$3=7,Додаток!$I10,IF($F$3=8,Додаток!$J10,IF($F$3=9,Додаток!$K10,IF($F$3=10,Додаток!$L10))))))))))</f>
        <v>4</v>
      </c>
      <c r="H10">
        <f t="shared" si="19"/>
        <v>3.7435959879249827</v>
      </c>
      <c r="I10">
        <f t="shared" si="20"/>
        <v>0.61278385671973545</v>
      </c>
      <c r="K10">
        <f t="shared" si="21"/>
        <v>22164</v>
      </c>
      <c r="L10">
        <f t="shared" si="22"/>
        <v>3395.4353500840543</v>
      </c>
      <c r="M10">
        <f t="shared" si="23"/>
        <v>2.2940151874811989</v>
      </c>
      <c r="O10">
        <f t="shared" si="24"/>
        <v>30702681</v>
      </c>
      <c r="P10">
        <f t="shared" si="25"/>
        <v>14.014510920808027</v>
      </c>
      <c r="R10" t="s">
        <v>26</v>
      </c>
      <c r="S10" s="16">
        <f>SUM($K$5:$K$24) - 20*S4*S5</f>
        <v>408898.20000000019</v>
      </c>
      <c r="U10" s="16">
        <f t="shared" si="26"/>
        <v>5.5304345497966212</v>
      </c>
      <c r="V10" s="16">
        <f t="shared" si="27"/>
        <v>2.3422299112111866</v>
      </c>
      <c r="W10" s="16">
        <f t="shared" si="28"/>
        <v>5.0925474336738388</v>
      </c>
      <c r="X10" s="16">
        <f t="shared" si="29"/>
        <v>1.1936598948272912</v>
      </c>
      <c r="Y10" s="16">
        <f t="shared" si="30"/>
        <v>5.582058666465608</v>
      </c>
      <c r="Z10" s="16">
        <f t="shared" si="31"/>
        <v>2.5029096241389377</v>
      </c>
    </row>
    <row r="11">
      <c r="B11">
        <f>IF($C$3=1,Додаток!$B11,IF($C$3=2,Додаток!$C11,IF($C$3=3,#REF!,IF($C$3=4,Додаток!$E11,IF($C$3=5,Додаток!$F11,IF($C$3=6,Додаток!$H11,IF($C$3=7,Додаток!$I11,IF($C$3=8,Додаток!$J11,IF($C$3=9,Додаток!$K11,IF($C$3=10,Додаток!$L11))))))))))</f>
        <v>5043</v>
      </c>
      <c r="E11">
        <f>IF($F$3=1,Додаток!$B11,IF($F$3=2,Додаток!$C11,IF($F$3=3,#REF!,IF($F$3=4,Додаток!$E11,IF($F$3=5,Додаток!$F11,IF($F$3=6,Додаток!$H11,IF($F$3=7,Додаток!$I11,IF($F$3=8,Додаток!$J11,IF($F$3=9,Додаток!$K11,IF($F$3=10,Додаток!$L11))))))))))</f>
        <v>8</v>
      </c>
      <c r="H11">
        <f t="shared" si="19"/>
        <v>3.7026975799016681</v>
      </c>
      <c r="I11">
        <f t="shared" si="20"/>
        <v>0.90848501887864974</v>
      </c>
      <c r="K11">
        <f t="shared" si="21"/>
        <v>40344</v>
      </c>
      <c r="L11">
        <f t="shared" si="22"/>
        <v>4581.4899502050303</v>
      </c>
      <c r="M11">
        <f t="shared" si="23"/>
        <v>3.3638452807788979</v>
      </c>
      <c r="O11">
        <f t="shared" si="24"/>
        <v>25431849</v>
      </c>
      <c r="P11">
        <f t="shared" si="25"/>
        <v>13.70996936820967</v>
      </c>
      <c r="R11" t="s">
        <v>27</v>
      </c>
      <c r="S11" s="16">
        <f>SUM($L$5:$L$24) - 20*S4*S7</f>
        <v>35347.399453783291</v>
      </c>
      <c r="U11" s="16">
        <f t="shared" si="26"/>
        <v>5.5144989224438614</v>
      </c>
      <c r="V11" s="16">
        <f t="shared" si="27"/>
        <v>6.1777156065327263</v>
      </c>
      <c r="W11" s="16">
        <f t="shared" si="28"/>
        <v>5.0764196902128988</v>
      </c>
      <c r="X11" s="16">
        <f t="shared" si="29"/>
        <v>8.5473218277748426</v>
      </c>
      <c r="Y11" s="16">
        <f t="shared" si="30"/>
        <v>5.5241014674065081</v>
      </c>
      <c r="Z11" s="16">
        <f t="shared" si="31"/>
        <v>6.1300735436986065</v>
      </c>
    </row>
    <row r="12">
      <c r="B12">
        <f>IF($C$3=1,Додаток!$B12,IF($C$3=2,Додаток!$C12,IF($C$3=3,#REF!,IF($C$3=4,Додаток!$E12,IF($C$3=5,Додаток!$F12,IF($C$3=6,Додаток!$H12,IF($C$3=7,Додаток!$I12,IF($C$3=8,Додаток!$J12,IF($C$3=9,Додаток!$K12,IF($C$3=10,Додаток!$L12))))))))))</f>
        <v>7064</v>
      </c>
      <c r="E12">
        <f>IF($F$3=1,Додаток!$B12,IF($F$3=2,Додаток!$C12,IF($F$3=3,#REF!,IF($F$3=4,Додаток!$E12,IF($F$3=5,Додаток!$F12,IF($F$3=6,Додаток!$H12,IF($F$3=7,Додаток!$I12,IF($F$3=8,Додаток!$J12,IF($F$3=9,Додаток!$K12,IF($F$3=10,Додаток!$L12))))))))))</f>
        <v>7</v>
      </c>
      <c r="H12">
        <f t="shared" si="19"/>
        <v>3.8490568385226251</v>
      </c>
      <c r="I12">
        <f t="shared" si="20"/>
        <v>0.85125834871907524</v>
      </c>
      <c r="K12">
        <f t="shared" si="21"/>
        <v>49448</v>
      </c>
      <c r="L12">
        <f t="shared" si="22"/>
        <v>6013.2889753515474</v>
      </c>
      <c r="M12">
        <f t="shared" si="23"/>
        <v>3.2765417684866343</v>
      </c>
      <c r="O12">
        <f t="shared" si="24"/>
        <v>49900096</v>
      </c>
      <c r="P12">
        <f t="shared" si="25"/>
        <v>14.815238546177786</v>
      </c>
      <c r="R12" t="s">
        <v>28</v>
      </c>
      <c r="S12" s="16">
        <f>SUM($M5:$M$24) - 20*S6*S7</f>
        <v>1.6138505937922076</v>
      </c>
      <c r="U12" s="16">
        <f t="shared" si="26"/>
        <v>5.5791694101545577</v>
      </c>
      <c r="V12" s="16">
        <f t="shared" si="27"/>
        <v>2.0187595650405474</v>
      </c>
      <c r="W12" s="16">
        <f t="shared" si="28"/>
        <v>5.1421884796098007</v>
      </c>
      <c r="X12" s="16">
        <f t="shared" si="29"/>
        <v>3.4514636452945435</v>
      </c>
      <c r="Y12" s="16">
        <f t="shared" si="30"/>
        <v>5.7343280446611455</v>
      </c>
      <c r="Z12" s="16">
        <f t="shared" si="31"/>
        <v>1.6019254985312792</v>
      </c>
    </row>
    <row r="13">
      <c r="B13">
        <f>IF($C$3=1,Додаток!$B13,IF($C$3=2,Додаток!$C13,IF($C$3=3,#REF!,IF($C$3=4,Додаток!$E13,IF($C$3=5,Додаток!$F13,IF($C$3=6,Додаток!$H13,IF($C$3=7,Додаток!$I13,IF($C$3=8,Додаток!$J13,IF($C$3=9,Додаток!$K13,IF($C$3=10,Додаток!$L13))))))))))</f>
        <v>1408</v>
      </c>
      <c r="E13">
        <f>IF($F$3=1,Додаток!$B13,IF($F$3=2,Додаток!$C13,IF($F$3=3,#REF!,IF($F$3=4,Додаток!$E13,IF($F$3=5,Додаток!$F13,IF($F$3=6,Додаток!$H13,IF($F$3=7,Додаток!$I13,IF($F$3=8,Додаток!$J13,IF($F$3=9,Додаток!$K13,IF($F$3=10,Додаток!$L13))))))))))</f>
        <v>3</v>
      </c>
      <c r="H13">
        <f t="shared" si="19"/>
        <v>3.1486334984893491</v>
      </c>
      <c r="I13">
        <f t="shared" si="20"/>
        <v>0.49136169383427264</v>
      </c>
      <c r="K13">
        <f t="shared" si="21"/>
        <v>4224</v>
      </c>
      <c r="L13">
        <f t="shared" si="22"/>
        <v>691.83726491865582</v>
      </c>
      <c r="M13">
        <f t="shared" si="23"/>
        <v>1.5471178890810584</v>
      </c>
      <c r="O13">
        <f t="shared" si="24"/>
        <v>1982464</v>
      </c>
      <c r="P13">
        <f t="shared" si="25"/>
        <v>9.913892907809279</v>
      </c>
      <c r="U13" s="16">
        <f t="shared" si="26"/>
        <v>5.3981816424694031</v>
      </c>
      <c r="V13" s="16">
        <f t="shared" si="27"/>
        <v>5.7512751902772443</v>
      </c>
      <c r="W13" s="16">
        <f t="shared" si="28"/>
        <v>4.9602368833662194</v>
      </c>
      <c r="X13" s="16">
        <f t="shared" si="29"/>
        <v>3.8425286389093092</v>
      </c>
      <c r="Y13" s="16">
        <f t="shared" si="30"/>
        <v>4.7957188009242433</v>
      </c>
      <c r="Z13" s="16">
        <f t="shared" si="31"/>
        <v>3.2246060119928019</v>
      </c>
    </row>
    <row r="14">
      <c r="B14">
        <f>IF($C$3=1,Додаток!$B14,IF($C$3=2,Додаток!$C14,IF($C$3=3,#REF!,IF($C$3=4,Додаток!$E14,IF($C$3=5,Додаток!$F14,IF($C$3=6,Додаток!$H14,IF($C$3=7,Додаток!$I14,IF($C$3=8,Додаток!$J14,IF($C$3=9,Додаток!$K14,IF($C$3=10,Додаток!$L14))))))))))</f>
        <v>67923</v>
      </c>
      <c r="E14">
        <f>IF($F$3=1,Додаток!$B14,IF($F$3=2,Додаток!$C14,IF($F$3=3,#REF!,IF($F$3=4,Додаток!$E14,IF($F$3=5,Додаток!$F14,IF($F$3=6,Додаток!$H14,IF($F$3=7,Додаток!$I14,IF($F$3=8,Додаток!$J14,IF($F$3=9,Додаток!$K14,IF($F$3=10,Додаток!$L14))))))))))</f>
        <v>4</v>
      </c>
      <c r="H14">
        <f t="shared" si="19"/>
        <v>4.8320174988226254</v>
      </c>
      <c r="I14">
        <f t="shared" si="20"/>
        <v>0.61278385671973545</v>
      </c>
      <c r="K14">
        <f t="shared" si="21"/>
        <v>271692</v>
      </c>
      <c r="L14">
        <f t="shared" si="22"/>
        <v>41622.11789997459</v>
      </c>
      <c r="M14">
        <f t="shared" si="23"/>
        <v>2.9609823186657782</v>
      </c>
      <c r="O14">
        <f t="shared" si="24"/>
        <v>4613533929</v>
      </c>
      <c r="P14">
        <f t="shared" si="25"/>
        <v>23.348393108928061</v>
      </c>
      <c r="R14" t="s">
        <v>29</v>
      </c>
      <c r="S14">
        <f>SUM($O5:$O24) - 20*S4*S4</f>
        <v>12778367559.200001</v>
      </c>
      <c r="U14" s="16">
        <f t="shared" si="26"/>
        <v>7.5266118701175699</v>
      </c>
      <c r="V14" s="16">
        <f t="shared" si="27"/>
        <v>12.436991282454144</v>
      </c>
      <c r="W14" s="16">
        <f t="shared" si="28"/>
        <v>7.5769702333159019</v>
      </c>
      <c r="X14" s="16">
        <f t="shared" si="29"/>
        <v>12.794716050028018</v>
      </c>
      <c r="Y14" s="16">
        <f t="shared" si="30"/>
        <v>7.3692298714763549</v>
      </c>
      <c r="Z14" s="16">
        <f t="shared" si="31"/>
        <v>11.351709926848574</v>
      </c>
    </row>
    <row r="15">
      <c r="B15">
        <f>IF($C$3=1,Додаток!$B15,IF($C$3=2,Додаток!$C15,IF($C$3=3,#REF!,IF($C$3=4,Додаток!$E15,IF($C$3=5,Додаток!$F15,IF($C$3=6,Додаток!$H15,IF($C$3=7,Додаток!$I15,IF($C$3=8,Додаток!$J15,IF($C$3=9,Додаток!$K15,IF($C$3=10,Додаток!$L15))))))))))</f>
        <v>62274</v>
      </c>
      <c r="E15">
        <f>IF($F$3=1,Додаток!$B15,IF($F$3=2,Додаток!$C15,IF($F$3=3,#REF!,IF($F$3=4,Додаток!$E15,IF($F$3=5,Додаток!$F15,IF($F$3=6,Додаток!$H15,IF($F$3=7,Додаток!$I15,IF($F$3=8,Додаток!$J15,IF($F$3=9,Додаток!$K15,IF($F$3=10,Додаток!$L15))))))))))</f>
        <v>6</v>
      </c>
      <c r="H15">
        <f t="shared" si="19"/>
        <v>4.7943074597274817</v>
      </c>
      <c r="I15">
        <f t="shared" si="20"/>
        <v>0.78532983501076692</v>
      </c>
      <c r="K15">
        <f t="shared" si="21"/>
        <v>373644</v>
      </c>
      <c r="L15">
        <f t="shared" si="22"/>
        <v>48905.630145460498</v>
      </c>
      <c r="M15">
        <f t="shared" si="23"/>
        <v>3.7651126863386724</v>
      </c>
      <c r="O15">
        <f t="shared" si="24"/>
        <v>3878051076</v>
      </c>
      <c r="P15">
        <f t="shared" si="25"/>
        <v>22.98538401839858</v>
      </c>
      <c r="R15" t="s">
        <v>30</v>
      </c>
      <c r="S15" s="16">
        <f>SUM($P$5:$P$24) - 20*S6*S6</f>
        <v>14.5618395447338</v>
      </c>
      <c r="U15" s="16">
        <f t="shared" si="26"/>
        <v>7.3458480971944029</v>
      </c>
      <c r="V15" s="16">
        <f t="shared" si="27"/>
        <v>1.8113071007217949</v>
      </c>
      <c r="W15" s="16">
        <f t="shared" si="28"/>
        <v>7.3091920088883588</v>
      </c>
      <c r="X15" s="16">
        <f t="shared" si="29"/>
        <v>1.7139837161371367</v>
      </c>
      <c r="Y15" s="16">
        <f t="shared" si="30"/>
        <v>7.2986542764655864</v>
      </c>
      <c r="Z15" s="16">
        <f t="shared" si="31"/>
        <v>1.6865029297823557</v>
      </c>
    </row>
    <row r="16">
      <c r="B16">
        <f>IF($C$3=1,Додаток!$B16,IF($C$3=2,Додаток!$C16,IF($C$3=3,#REF!,IF($C$3=4,Додаток!$E16,IF($C$3=5,Додаток!$F16,IF($C$3=6,Додаток!$H16,IF($C$3=7,Додаток!$I16,IF($C$3=8,Додаток!$J16,IF($C$3=9,Додаток!$K16,IF($C$3=10,Додаток!$L16))))))))))</f>
        <v>2475</v>
      </c>
      <c r="E16">
        <f>IF($F$3=1,Додаток!$B16,IF($F$3=2,Додаток!$C16,IF($F$3=3,#REF!,IF($F$3=4,Додаток!$E16,IF($F$3=5,Додаток!$F16,IF($F$3=6,Додаток!$H16,IF($F$3=7,Додаток!$I16,IF($F$3=8,Додаток!$J16,IF($F$3=9,Додаток!$K16,IF($F$3=10,Додаток!$L16))))))))))</f>
        <v>3</v>
      </c>
      <c r="H16">
        <f t="shared" si="19"/>
        <v>3.3935927501669005</v>
      </c>
      <c r="I16">
        <f t="shared" si="20"/>
        <v>0.49136169383427264</v>
      </c>
      <c r="K16">
        <f t="shared" si="21"/>
        <v>7425</v>
      </c>
      <c r="L16">
        <f t="shared" si="22"/>
        <v>1216.1201922398247</v>
      </c>
      <c r="M16">
        <f t="shared" si="23"/>
        <v>1.6674814819057158</v>
      </c>
      <c r="O16">
        <f t="shared" si="24"/>
        <v>6125625</v>
      </c>
      <c r="P16">
        <f t="shared" si="25"/>
        <v>11.516471753985348</v>
      </c>
      <c r="U16" s="16">
        <f t="shared" si="26"/>
        <v>5.4323248440465006</v>
      </c>
      <c r="V16" s="16">
        <f t="shared" si="27"/>
        <v>5.9162041469658337</v>
      </c>
      <c r="W16" s="16">
        <f t="shared" si="28"/>
        <v>4.9940621489820547</v>
      </c>
      <c r="X16" s="16">
        <f t="shared" si="29"/>
        <v>3.9762838540029302</v>
      </c>
      <c r="Y16" s="16">
        <f t="shared" si="30"/>
        <v>5.1050896959787053</v>
      </c>
      <c r="Z16" s="16">
        <f t="shared" si="31"/>
        <v>4.4314026281157179</v>
      </c>
    </row>
    <row r="17">
      <c r="B17">
        <f>IF($C$3=1,Додаток!$B17,IF($C$3=2,Додаток!$C17,IF($C$3=3,#REF!,IF($C$3=4,Додаток!$E17,IF($C$3=5,Додаток!$F17,IF($C$3=6,Додаток!$H17,IF($C$3=7,Додаток!$I17,IF($C$3=8,Додаток!$J17,IF($C$3=9,Додаток!$K17,IF($C$3=10,Додаток!$L17))))))))))</f>
        <v>983</v>
      </c>
      <c r="E17">
        <f>IF($F$3=1,Додаток!$B17,IF($F$3=2,Додаток!$C17,IF($F$3=3,#REF!,IF($F$3=4,Додаток!$E17,IF($F$3=5,Додаток!$F17,IF($F$3=6,Додаток!$H17,IF($F$3=7,Додаток!$I17,IF($F$3=8,Додаток!$J17,IF($F$3=9,Додаток!$K17,IF($F$3=10,Додаток!$L17))))))))))</f>
        <v>4</v>
      </c>
      <c r="H17">
        <f t="shared" si="19"/>
        <v>2.9925976961020382</v>
      </c>
      <c r="I17">
        <f t="shared" si="20"/>
        <v>0.61278385671973545</v>
      </c>
      <c r="K17">
        <f t="shared" si="21"/>
        <v>3932</v>
      </c>
      <c r="L17">
        <f t="shared" si="22"/>
        <v>602.36653115549996</v>
      </c>
      <c r="M17">
        <f t="shared" si="23"/>
        <v>1.8338155578280018</v>
      </c>
      <c r="O17">
        <f t="shared" si="24"/>
        <v>966289</v>
      </c>
      <c r="P17">
        <f t="shared" si="25"/>
        <v>8.9556409707152262</v>
      </c>
      <c r="R17" t="s">
        <v>31</v>
      </c>
      <c r="U17" s="16">
        <f t="shared" si="26"/>
        <v>5.3845819604916469</v>
      </c>
      <c r="V17" s="16">
        <f t="shared" si="27"/>
        <v>1.9170672053188926</v>
      </c>
      <c r="W17" s="16">
        <f t="shared" si="28"/>
        <v>4.9468277273170385</v>
      </c>
      <c r="X17" s="16">
        <f t="shared" si="29"/>
        <v>0.89648274521634819</v>
      </c>
      <c r="Y17" s="16">
        <f t="shared" si="30"/>
        <v>4.6084957613347921</v>
      </c>
      <c r="Z17" s="16">
        <f t="shared" si="31"/>
        <v>0.37026709156240828</v>
      </c>
    </row>
    <row r="18">
      <c r="B18">
        <f>IF($C$3=1,Додаток!$B18,IF($C$3=2,Додаток!$C18,IF($C$3=3,#REF!,IF($C$3=4,Додаток!$E18,IF($C$3=5,Додаток!$F18,IF($C$3=6,Додаток!$H18,IF($C$3=7,Додаток!$I18,IF($C$3=8,Додаток!$J18,IF($C$3=9,Додаток!$K18,IF($C$3=10,Додаток!$L18))))))))))</f>
        <v>3160</v>
      </c>
      <c r="E18">
        <f>IF($F$3=1,Додаток!$B18,IF($F$3=2,Додаток!$C18,IF($F$3=3,#REF!,IF($F$3=4,Додаток!$E18,IF($F$3=5,Додаток!$F18,IF($F$3=6,Додаток!$H18,IF($F$3=7,Додаток!$I18,IF($F$3=8,Додаток!$J18,IF($F$3=9,Додаток!$K18,IF($F$3=10,Додаток!$L18))))))))))</f>
        <v>9</v>
      </c>
      <c r="H18">
        <f t="shared" si="19"/>
        <v>3.4997008258972109</v>
      </c>
      <c r="I18">
        <f t="shared" si="20"/>
        <v>0.95904139232109353</v>
      </c>
      <c r="K18">
        <f t="shared" si="21"/>
        <v>28440</v>
      </c>
      <c r="L18">
        <f t="shared" si="22"/>
        <v>3030.5707997346553</v>
      </c>
      <c r="M18">
        <f t="shared" si="23"/>
        <v>3.3563579527757419</v>
      </c>
      <c r="O18">
        <f t="shared" si="24"/>
        <v>9985600</v>
      </c>
      <c r="P18">
        <f t="shared" si="25"/>
        <v>12.247905870785621</v>
      </c>
      <c r="R18" t="s">
        <v>32</v>
      </c>
      <c r="S18" s="16">
        <f>S10/S14</f>
        <v>3.1999251712368142e-05</v>
      </c>
      <c r="U18" s="16">
        <f t="shared" si="26"/>
        <v>5.4542443314694724</v>
      </c>
      <c r="V18" s="16">
        <f t="shared" si="27"/>
        <v>12.572383260916368</v>
      </c>
      <c r="W18" s="16">
        <f t="shared" si="28"/>
        <v>5.0158990024207553</v>
      </c>
      <c r="X18" s="16">
        <f t="shared" si="29"/>
        <v>15.873060758911933</v>
      </c>
      <c r="Y18" s="16">
        <f t="shared" si="30"/>
        <v>5.2452172291784089</v>
      </c>
      <c r="Z18" s="16">
        <f t="shared" si="31"/>
        <v>14.098393656058665</v>
      </c>
    </row>
    <row r="19">
      <c r="B19">
        <f>IF($C$3=1,Додаток!$B19,IF($C$3=2,Додаток!$C19,IF($C$3=3,#REF!,IF($C$3=4,Додаток!$E19,IF($C$3=5,Додаток!$F19,IF($C$3=6,Додаток!$H19,IF($C$3=7,Додаток!$I19,IF($C$3=8,Додаток!$J19,IF($C$3=9,Додаток!$K19,IF($C$3=10,Додаток!$L19))))))))))</f>
        <v>34563</v>
      </c>
      <c r="E19">
        <f>IF($F$3=1,Додаток!$B19,IF($F$3=2,Додаток!$C19,IF($F$3=3,#REF!,IF($F$3=4,Додаток!$E19,IF($F$3=5,Додаток!$F19,IF($F$3=6,Додаток!$H19,IF($F$3=7,Додаток!$I19,IF($F$3=8,Додаток!$J19,IF($F$3=9,Додаток!$K19,IF($F$3=10,Додаток!$L19))))))))))</f>
        <v>7</v>
      </c>
      <c r="H19">
        <f t="shared" si="19"/>
        <v>4.5386126878727113</v>
      </c>
      <c r="I19">
        <f t="shared" si="20"/>
        <v>0.85125834871907524</v>
      </c>
      <c r="K19">
        <f t="shared" si="21"/>
        <v>241941</v>
      </c>
      <c r="L19">
        <f t="shared" si="22"/>
        <v>29422.042306777399</v>
      </c>
      <c r="M19">
        <f t="shared" si="23"/>
        <v>3.8635319421539678</v>
      </c>
      <c r="O19">
        <f t="shared" si="24"/>
        <v>1194600969</v>
      </c>
      <c r="P19">
        <f t="shared" si="25"/>
        <v>20.599005130519156</v>
      </c>
      <c r="R19" t="s">
        <v>33</v>
      </c>
      <c r="S19" s="16">
        <f t="shared" ref="S19:S20" si="32">S11/S14</f>
        <v>2.7661905395994291e-06</v>
      </c>
      <c r="U19" s="16">
        <f t="shared" si="26"/>
        <v>6.4591168329929696</v>
      </c>
      <c r="V19" s="16">
        <f t="shared" si="27"/>
        <v>0.29255460035155517</v>
      </c>
      <c r="W19" s="16">
        <f t="shared" si="28"/>
        <v>6.1265426992277039</v>
      </c>
      <c r="X19" s="16">
        <f t="shared" si="29"/>
        <v>0.76292765627242531</v>
      </c>
      <c r="Y19" s="16">
        <f t="shared" si="30"/>
        <v>6.8376166360601243</v>
      </c>
      <c r="Z19" s="16">
        <f t="shared" si="31"/>
        <v>0.026368356884430136</v>
      </c>
    </row>
    <row r="20">
      <c r="B20">
        <f>IF($C$3=1,Додаток!$B20,IF($C$3=2,Додаток!$C20,IF($C$3=3,#REF!,IF($C$3=4,Додаток!$E20,IF($C$3=5,Додаток!$F20,IF($C$3=6,Додаток!$H20,IF($C$3=7,Додаток!$I20,IF($C$3=8,Додаток!$J20,IF($C$3=9,Додаток!$K20,IF($C$3=10,Додаток!$L20))))))))))</f>
        <v>67345</v>
      </c>
      <c r="E20">
        <f>IF($F$3=1,Додаток!$B20,IF($F$3=2,Додаток!$C20,IF($F$3=3,#REF!,IF($F$3=4,Додаток!$E20,IF($F$3=5,Додаток!$F20,IF($F$3=6,Додаток!$H20,IF($F$3=7,Додаток!$I20,IF($F$3=8,Додаток!$J20,IF($F$3=9,Додаток!$K20,IF($F$3=10,Додаток!$L20))))))))))</f>
        <v>8</v>
      </c>
      <c r="H20">
        <f t="shared" si="19"/>
        <v>4.8283060021320967</v>
      </c>
      <c r="I20">
        <f t="shared" si="20"/>
        <v>0.90848501887864974</v>
      </c>
      <c r="K20">
        <f t="shared" si="21"/>
        <v>538760</v>
      </c>
      <c r="L20">
        <f t="shared" si="22"/>
        <v>61181.923596382665</v>
      </c>
      <c r="M20">
        <f t="shared" si="23"/>
        <v>4.3864436694988758</v>
      </c>
      <c r="O20">
        <f t="shared" si="24"/>
        <v>4535349025</v>
      </c>
      <c r="P20">
        <f t="shared" si="25"/>
        <v>23.312538850224829</v>
      </c>
      <c r="R20" t="s">
        <v>34</v>
      </c>
      <c r="S20" s="16">
        <f t="shared" si="32"/>
        <v>0.11082738474314853</v>
      </c>
      <c r="U20" s="16">
        <f t="shared" si="26"/>
        <v>7.5081163026278217</v>
      </c>
      <c r="V20" s="16">
        <f t="shared" si="27"/>
        <v>0.24194957174052467</v>
      </c>
      <c r="W20" s="16">
        <f t="shared" si="28"/>
        <v>7.5491268493715689</v>
      </c>
      <c r="X20" s="16">
        <f t="shared" si="29"/>
        <v>0.20328659795760795</v>
      </c>
      <c r="Y20" s="16">
        <f t="shared" si="30"/>
        <v>7.362253510476318</v>
      </c>
      <c r="Z20" s="16">
        <f t="shared" si="31"/>
        <v>0.4067205848997798</v>
      </c>
    </row>
    <row r="21">
      <c r="B21">
        <f>IF($C$3=1,Додаток!$B21,IF($C$3=2,Додаток!$C21,IF($C$3=3,#REF!,IF($C$3=4,Додаток!$E21,IF($C$3=5,Додаток!$F21,IF($C$3=6,Додаток!$H21,IF($C$3=7,Додаток!$I21,IF($C$3=8,Додаток!$J21,IF($C$3=9,Додаток!$K21,IF($C$3=10,Додаток!$L21))))))))))</f>
        <v>23453</v>
      </c>
      <c r="E21">
        <f>IF($F$3=1,Додаток!$B21,IF($F$3=2,Додаток!$C21,IF($F$3=3,#REF!,IF($F$3=4,Додаток!$E21,IF($F$3=5,Додаток!$F21,IF($F$3=6,Додаток!$H21,IF($F$3=7,Додаток!$I21,IF($F$3=8,Додаток!$J21,IF($F$3=9,Додаток!$K21,IF($F$3=10,Додаток!$L21))))))))))</f>
        <v>7</v>
      </c>
      <c r="H21">
        <f t="shared" si="19"/>
        <v>4.3702002553203148</v>
      </c>
      <c r="I21">
        <f t="shared" si="20"/>
        <v>0.85125834871907524</v>
      </c>
      <c r="K21">
        <f t="shared" si="21"/>
        <v>164171</v>
      </c>
      <c r="L21">
        <f t="shared" si="22"/>
        <v>19964.562052508471</v>
      </c>
      <c r="M21">
        <f t="shared" si="23"/>
        <v>3.7201694529156519</v>
      </c>
      <c r="O21">
        <f t="shared" si="24"/>
        <v>550043209</v>
      </c>
      <c r="P21">
        <f t="shared" si="25"/>
        <v>19.098650271601745</v>
      </c>
      <c r="U21" s="16">
        <f t="shared" si="26"/>
        <v>6.103605146468559</v>
      </c>
      <c r="V21" s="16">
        <f t="shared" si="27"/>
        <v>0.8035237334376536</v>
      </c>
      <c r="W21" s="16">
        <f t="shared" si="28"/>
        <v>5.7079884781484544</v>
      </c>
      <c r="X21" s="16">
        <f t="shared" si="29"/>
        <v>1.6692937725971468</v>
      </c>
      <c r="Y21" s="16">
        <f t="shared" si="30"/>
        <v>6.5499799739655966</v>
      </c>
      <c r="Z21" s="16">
        <f t="shared" si="31"/>
        <v>0.2025180238320051</v>
      </c>
    </row>
    <row r="22">
      <c r="B22">
        <f>IF($C$3=1,Додаток!$B22,IF($C$3=2,Додаток!$C22,IF($C$3=3,#REF!,IF($C$3=4,Додаток!$E22,IF($C$3=5,Додаток!$F22,IF($C$3=6,Додаток!$H22,IF($C$3=7,Додаток!$I22,IF($C$3=8,Додаток!$J22,IF($C$3=9,Додаток!$K22,IF($C$3=10,Додаток!$L22))))))))))</f>
        <v>341</v>
      </c>
      <c r="E22">
        <f>IF($F$3=1,Додаток!$B22,IF($F$3=2,Додаток!$C22,IF($F$3=3,#REF!,IF($F$3=4,Додаток!$E22,IF($F$3=5,Додаток!$F22,IF($F$3=6,Додаток!$H22,IF($F$3=7,Додаток!$I22,IF($F$3=8,Додаток!$J22,IF($F$3=9,Додаток!$K22,IF($F$3=10,Додаток!$L22))))))))))</f>
        <v>7</v>
      </c>
      <c r="H22">
        <f t="shared" si="19"/>
        <v>2.5328817194073969</v>
      </c>
      <c r="I22">
        <f t="shared" si="20"/>
        <v>0.85125834871907524</v>
      </c>
      <c r="K22">
        <f t="shared" si="21"/>
        <v>2387</v>
      </c>
      <c r="L22">
        <f t="shared" si="22"/>
        <v>290.27909691320468</v>
      </c>
      <c r="M22">
        <f t="shared" si="23"/>
        <v>2.156136709963473</v>
      </c>
      <c r="O22">
        <f t="shared" si="24"/>
        <v>116281</v>
      </c>
      <c r="P22">
        <f t="shared" si="25"/>
        <v>6.4154898045081712</v>
      </c>
      <c r="R22" t="s">
        <v>35</v>
      </c>
      <c r="U22" s="16">
        <f t="shared" si="26"/>
        <v>5.3640384408923065</v>
      </c>
      <c r="V22" s="16">
        <f t="shared" si="27"/>
        <v>2.6763702228780755</v>
      </c>
      <c r="W22" s="16">
        <f t="shared" si="28"/>
        <v>4.9266407195436424</v>
      </c>
      <c r="X22" s="16">
        <f t="shared" si="29"/>
        <v>4.2988187058545053</v>
      </c>
      <c r="Y22" s="16">
        <f t="shared" si="30"/>
        <v>4.0982727305592856</v>
      </c>
      <c r="Z22" s="16">
        <f t="shared" si="31"/>
        <v>8.4200211462158645</v>
      </c>
    </row>
    <row r="23">
      <c r="B23">
        <f>IF($C$3=1,Додаток!$B23,IF($C$3=2,Додаток!$C23,IF($C$3=3,#REF!,IF($C$3=4,Додаток!$E23,IF($C$3=5,Додаток!$F23,IF($C$3=6,Додаток!$H23,IF($C$3=7,Додаток!$I23,IF($C$3=8,Додаток!$J23,IF($C$3=9,Додаток!$K23,IF($C$3=10,Додаток!$L23))))))))))</f>
        <v>67700</v>
      </c>
      <c r="E23">
        <f>IF($F$3=1,Додаток!$B23,IF($F$3=2,Додаток!$C23,IF($F$3=3,#REF!,IF($F$3=4,Додаток!$E23,IF($F$3=5,Додаток!$F23,IF($F$3=6,Додаток!$H23,IF($F$3=7,Додаток!$I23,IF($F$3=8,Додаток!$J23,IF($F$3=9,Додаток!$K23,IF($F$3=10,Додаток!$L23))))))))))</f>
        <v>9</v>
      </c>
      <c r="H23">
        <f t="shared" si="19"/>
        <v>4.8305893101831661</v>
      </c>
      <c r="I23">
        <f t="shared" si="20"/>
        <v>0.95904139232109353</v>
      </c>
      <c r="K23">
        <f t="shared" si="21"/>
        <v>609300</v>
      </c>
      <c r="L23">
        <f t="shared" si="22"/>
        <v>64927.102260138032</v>
      </c>
      <c r="M23">
        <f t="shared" si="23"/>
        <v>4.6327350977694541</v>
      </c>
      <c r="O23">
        <f t="shared" si="24"/>
        <v>4583290000</v>
      </c>
      <c r="P23">
        <f t="shared" si="25"/>
        <v>23.334593083655875</v>
      </c>
      <c r="R23" t="s">
        <v>32</v>
      </c>
      <c r="S23" s="16">
        <f>S5-S18*S4</f>
        <v>5.3531266960583892</v>
      </c>
      <c r="U23" s="16">
        <f t="shared" si="26"/>
        <v>7.5194760369857123</v>
      </c>
      <c r="V23" s="16">
        <f t="shared" si="27"/>
        <v>2.191951205059532</v>
      </c>
      <c r="W23" s="16">
        <f t="shared" si="28"/>
        <v>7.5662157430502788</v>
      </c>
      <c r="X23" s="16">
        <f t="shared" si="29"/>
        <v>2.055737295476864</v>
      </c>
      <c r="Y23" s="16">
        <f t="shared" si="30"/>
        <v>7.366544576784845</v>
      </c>
      <c r="Z23" s="16">
        <f t="shared" si="31"/>
        <v>2.6681766196310011</v>
      </c>
    </row>
    <row r="24">
      <c r="B24">
        <f>IF($C$3=1,Додаток!$B24,IF($C$3=2,Додаток!$C24,IF($C$3=3,#REF!,IF($C$3=4,Додаток!$E24,IF($C$3=5,Додаток!$F24,IF($C$3=6,Додаток!$H24,IF($C$3=7,Додаток!$I24,IF($C$3=8,Додаток!$J24,IF($C$3=9,Додаток!$K24,IF($C$3=10,Додаток!$L24))))))))))</f>
        <v>234</v>
      </c>
      <c r="E24">
        <f>IF($F$3=1,Додаток!$B24,IF($F$3=2,Додаток!$C24,IF($F$3=3,#REF!,IF($F$3=4,Додаток!$E24,IF($F$3=5,Додаток!$F24,IF($F$3=6,Додаток!$H24,IF($F$3=7,Додаток!$I24,IF($F$3=8,Додаток!$J24,IF($F$3=9,Додаток!$K24,IF($F$3=10,Додаток!$L24))))))))))</f>
        <v>7</v>
      </c>
      <c r="H24">
        <f t="shared" si="19"/>
        <v>2.3694014136966244</v>
      </c>
      <c r="I24">
        <f t="shared" si="20"/>
        <v>0.85125834871907524</v>
      </c>
      <c r="K24">
        <f t="shared" si="21"/>
        <v>1638</v>
      </c>
      <c r="L24">
        <f t="shared" si="22"/>
        <v>199.19445360026361</v>
      </c>
      <c r="M24">
        <f t="shared" si="23"/>
        <v>2.0169727348760311</v>
      </c>
      <c r="O24">
        <f t="shared" si="24"/>
        <v>54756</v>
      </c>
      <c r="P24">
        <f t="shared" si="25"/>
        <v>5.6140630592275622</v>
      </c>
      <c r="R24" t="s">
        <v>33</v>
      </c>
      <c r="S24" s="16">
        <f>S7-S19*S4</f>
        <v>0.69160762107379636</v>
      </c>
      <c r="U24" s="16">
        <f t="shared" si="26"/>
        <v>5.360614520959083</v>
      </c>
      <c r="V24" s="16">
        <f t="shared" si="27"/>
        <v>2.6875847488902171</v>
      </c>
      <c r="W24" s="16">
        <f t="shared" si="28"/>
        <v>4.923284236424311</v>
      </c>
      <c r="X24" s="16">
        <f t="shared" si="29"/>
        <v>4.3127483626837568</v>
      </c>
      <c r="Y24" s="16">
        <f t="shared" si="30"/>
        <v>3.9307580242784304</v>
      </c>
      <c r="Z24" s="16">
        <f t="shared" si="31"/>
        <v>9.4202463055312435</v>
      </c>
    </row>
    <row r="25">
      <c r="R25" t="s">
        <v>34</v>
      </c>
      <c r="S25" s="16">
        <f>S7-S20*S6</f>
        <v>0.3319023122983954</v>
      </c>
      <c r="U25" s="16"/>
      <c r="V25" s="16"/>
      <c r="W25" s="16"/>
      <c r="X25" s="16"/>
      <c r="Y25" s="16"/>
      <c r="Z25" s="16"/>
    </row>
    <row r="26">
      <c r="U26" s="16"/>
      <c r="V26" s="16"/>
      <c r="W26" s="16"/>
      <c r="X26" s="16"/>
      <c r="Y26" s="16"/>
      <c r="Z26" s="16"/>
    </row>
    <row r="27">
      <c r="U27" s="16"/>
      <c r="V27" s="16"/>
      <c r="W27" s="16"/>
      <c r="X27" s="16"/>
      <c r="Y27" s="16"/>
      <c r="Z27" s="16"/>
    </row>
    <row r="28">
      <c r="U28" s="16"/>
      <c r="V28" s="16"/>
      <c r="W28" s="16"/>
      <c r="X28" s="16"/>
      <c r="Y28" s="16"/>
      <c r="Z28" s="16"/>
    </row>
    <row r="29">
      <c r="S29" s="16"/>
      <c r="U29" s="16"/>
      <c r="V29" s="16"/>
      <c r="W29" s="16"/>
      <c r="X29" s="16"/>
      <c r="Y29" s="16"/>
      <c r="Z29" s="16"/>
    </row>
    <row r="30">
      <c r="U30" s="16"/>
      <c r="V30" s="16"/>
      <c r="W30" s="16"/>
      <c r="X30" s="16"/>
      <c r="Y30" s="16"/>
      <c r="Z30" s="16"/>
    </row>
    <row r="31">
      <c r="U31" s="16"/>
      <c r="V31" s="16"/>
      <c r="W31" s="16"/>
      <c r="X31" s="16"/>
      <c r="Y31" s="16"/>
      <c r="Z31" s="16"/>
    </row>
    <row r="32">
      <c r="U32" s="16"/>
      <c r="V32" s="16"/>
      <c r="W32" s="16"/>
      <c r="X32" s="16"/>
      <c r="Y32" s="16"/>
      <c r="Z32" s="16"/>
    </row>
    <row r="33">
      <c r="U33" s="16"/>
      <c r="V33" s="16"/>
      <c r="W33" s="16"/>
      <c r="X33" s="16"/>
      <c r="Y33" s="16"/>
      <c r="Z33" s="16"/>
    </row>
    <row r="34">
      <c r="U34" s="16"/>
      <c r="V34" s="16"/>
      <c r="W34" s="16"/>
      <c r="X34" s="16"/>
      <c r="Y34" s="16"/>
      <c r="Z34" s="16"/>
    </row>
    <row r="36" ht="13.800000000000001" customHeight="1">
      <c r="T36" s="5" t="s">
        <v>36</v>
      </c>
      <c r="V36" s="17">
        <f>SUM(V5:V24)</f>
        <v>91.865563573465749</v>
      </c>
      <c r="X36" s="17">
        <f>SUM(X5:X24)</f>
        <v>96.152187591402949</v>
      </c>
      <c r="Z36" s="17">
        <f>SUM(Z5:Z24)</f>
        <v>84.543724748876372</v>
      </c>
    </row>
  </sheetData>
  <mergeCells count="1">
    <mergeCell ref="B2:R2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G13" activeCellId="0" sqref="G13"/>
    </sheetView>
  </sheetViews>
  <sheetFormatPr defaultRowHeight="14.25"/>
  <cols>
    <col bestFit="1" customWidth="1" min="15" max="15" width="10"/>
    <col bestFit="1" customWidth="1" min="18" max="18" width="10"/>
  </cols>
  <sheetData>
    <row r="3">
      <c r="B3" s="18" t="s">
        <v>37</v>
      </c>
      <c r="C3" s="18"/>
      <c r="D3" s="18"/>
      <c r="E3" s="18"/>
      <c r="F3" s="18"/>
      <c r="H3" s="19" t="s">
        <v>38</v>
      </c>
      <c r="I3" s="6"/>
      <c r="J3" s="6"/>
      <c r="K3" s="2"/>
      <c r="L3" s="2"/>
    </row>
    <row r="4" ht="17.25">
      <c r="B4" s="20" t="s">
        <v>39</v>
      </c>
      <c r="C4" s="20" t="s">
        <v>40</v>
      </c>
      <c r="D4" s="20" t="s">
        <v>41</v>
      </c>
      <c r="E4" s="20" t="s">
        <v>42</v>
      </c>
      <c r="F4" s="20" t="s">
        <v>43</v>
      </c>
      <c r="G4" s="6"/>
      <c r="H4" s="6" t="s">
        <v>44</v>
      </c>
      <c r="I4" s="6" t="s">
        <v>45</v>
      </c>
      <c r="J4" s="20" t="s">
        <v>46</v>
      </c>
      <c r="K4" s="6"/>
      <c r="L4" s="6"/>
      <c r="O4" s="21"/>
      <c r="P4" s="21"/>
      <c r="Q4" s="21"/>
      <c r="R4" s="21"/>
      <c r="S4" s="21"/>
      <c r="T4" s="21"/>
      <c r="U4" s="21"/>
      <c r="V4" s="22"/>
    </row>
    <row r="5" ht="17.25">
      <c r="B5" s="23">
        <v>199</v>
      </c>
      <c r="C5" s="23">
        <v>3.2000000000000002</v>
      </c>
      <c r="D5" s="23">
        <v>3</v>
      </c>
      <c r="E5" s="23">
        <v>1.6200000000000001</v>
      </c>
      <c r="F5" s="23">
        <v>1.75</v>
      </c>
      <c r="H5" s="23">
        <v>3</v>
      </c>
      <c r="I5" s="23">
        <v>2.1600000000000001</v>
      </c>
      <c r="J5" s="23">
        <v>2</v>
      </c>
      <c r="P5" s="24"/>
      <c r="Q5" s="21"/>
      <c r="R5" s="21"/>
      <c r="S5" s="21"/>
      <c r="T5" s="21"/>
      <c r="U5" s="21"/>
      <c r="V5" s="22"/>
    </row>
    <row r="6" ht="17.25">
      <c r="B6" s="23">
        <v>43921</v>
      </c>
      <c r="C6" s="23">
        <v>9.1999999999999993</v>
      </c>
      <c r="D6" s="23">
        <v>9</v>
      </c>
      <c r="E6" s="23">
        <v>4.8600000000000003</v>
      </c>
      <c r="F6" s="23">
        <v>2.4300000000000002</v>
      </c>
      <c r="H6" s="23">
        <v>118</v>
      </c>
      <c r="I6" s="23">
        <v>3.2400000000000002</v>
      </c>
      <c r="J6" s="23">
        <v>9</v>
      </c>
      <c r="P6" s="24"/>
      <c r="Q6" s="21"/>
      <c r="R6" s="21"/>
      <c r="S6" s="21"/>
      <c r="T6" s="21"/>
      <c r="U6" s="21"/>
      <c r="V6" s="22"/>
    </row>
    <row r="7" ht="17.25">
      <c r="B7" s="23">
        <v>20098</v>
      </c>
      <c r="C7" s="23">
        <v>5.7000000000000002</v>
      </c>
      <c r="D7" s="23">
        <v>7</v>
      </c>
      <c r="E7" s="23">
        <v>3.8399999999999999</v>
      </c>
      <c r="F7" s="23">
        <v>2.1499999999999999</v>
      </c>
      <c r="H7" s="23">
        <v>96</v>
      </c>
      <c r="I7" s="23">
        <v>3.3999999999999999</v>
      </c>
      <c r="J7" s="23">
        <v>9</v>
      </c>
      <c r="P7" s="24"/>
      <c r="Q7" s="21"/>
      <c r="R7" s="21"/>
      <c r="S7" s="21"/>
      <c r="T7" s="21"/>
      <c r="U7" s="21"/>
      <c r="V7" s="22"/>
    </row>
    <row r="8" ht="17.25">
      <c r="B8" s="23">
        <v>21220</v>
      </c>
      <c r="C8" s="23">
        <v>9.0999999999999996</v>
      </c>
      <c r="D8" s="23">
        <v>9</v>
      </c>
      <c r="E8" s="23">
        <v>6.0300000000000002</v>
      </c>
      <c r="F8" s="23">
        <v>2.7200000000000002</v>
      </c>
      <c r="H8" s="23">
        <v>66</v>
      </c>
      <c r="I8" s="23">
        <v>2.1299999999999999</v>
      </c>
      <c r="J8" s="23">
        <v>5</v>
      </c>
      <c r="P8" s="24"/>
      <c r="Q8" s="21"/>
      <c r="R8" s="21"/>
      <c r="S8" s="21"/>
      <c r="T8" s="21"/>
      <c r="U8" s="21"/>
      <c r="V8" s="22"/>
    </row>
    <row r="9" ht="17.25">
      <c r="B9" s="23">
        <v>611</v>
      </c>
      <c r="C9" s="23">
        <v>8.3000000000000007</v>
      </c>
      <c r="D9" s="23">
        <v>7</v>
      </c>
      <c r="E9" s="23">
        <v>2.46</v>
      </c>
      <c r="F9" s="23">
        <v>2.3199999999999998</v>
      </c>
      <c r="H9" s="23">
        <v>68</v>
      </c>
      <c r="I9" s="23">
        <v>4.1699999999999999</v>
      </c>
      <c r="J9" s="23">
        <v>3</v>
      </c>
      <c r="P9" s="24"/>
      <c r="Q9" s="21"/>
      <c r="R9" s="21"/>
      <c r="S9" s="21"/>
      <c r="T9" s="21"/>
      <c r="U9" s="21"/>
      <c r="V9" s="22"/>
    </row>
    <row r="10" ht="17.25">
      <c r="B10" s="23">
        <v>5541</v>
      </c>
      <c r="C10" s="23">
        <v>7</v>
      </c>
      <c r="D10" s="23">
        <v>4</v>
      </c>
      <c r="E10" s="23">
        <v>7.8799999999999999</v>
      </c>
      <c r="F10" s="23">
        <v>2.48</v>
      </c>
      <c r="H10" s="23">
        <v>86</v>
      </c>
      <c r="I10" s="23">
        <v>1.49</v>
      </c>
      <c r="J10" s="23">
        <v>4</v>
      </c>
      <c r="P10" s="24"/>
      <c r="Q10" s="21"/>
      <c r="R10" s="21"/>
      <c r="S10" s="21"/>
      <c r="T10" s="21"/>
      <c r="U10" s="21"/>
      <c r="V10" s="22"/>
    </row>
    <row r="11" ht="17.25">
      <c r="B11" s="23">
        <v>5043</v>
      </c>
      <c r="C11" s="23">
        <v>4.2000000000000002</v>
      </c>
      <c r="D11" s="23">
        <v>7</v>
      </c>
      <c r="E11" s="23">
        <v>2.9500000000000002</v>
      </c>
      <c r="F11" s="23">
        <v>1.74</v>
      </c>
      <c r="H11" s="23">
        <v>15</v>
      </c>
      <c r="I11" s="23">
        <v>2.3300000000000001</v>
      </c>
      <c r="J11" s="23">
        <v>8</v>
      </c>
      <c r="P11" s="24"/>
      <c r="Q11" s="21"/>
      <c r="R11" s="21"/>
      <c r="S11" s="21"/>
      <c r="T11" s="21"/>
      <c r="U11" s="21"/>
      <c r="V11" s="22"/>
    </row>
    <row r="12" ht="17.25">
      <c r="B12" s="23">
        <v>7064</v>
      </c>
      <c r="C12" s="23">
        <v>3.6000000000000001</v>
      </c>
      <c r="D12" s="23">
        <v>6</v>
      </c>
      <c r="E12" s="23">
        <v>10.24</v>
      </c>
      <c r="F12" s="23">
        <v>2.9399999999999999</v>
      </c>
      <c r="H12" s="23">
        <v>13</v>
      </c>
      <c r="I12" s="23">
        <v>2.6299999999999999</v>
      </c>
      <c r="J12" s="23">
        <v>7</v>
      </c>
      <c r="P12" s="24"/>
      <c r="Q12" s="21"/>
      <c r="R12" s="21"/>
      <c r="S12" s="21"/>
      <c r="T12" s="21"/>
      <c r="U12" s="21"/>
      <c r="V12" s="22"/>
    </row>
    <row r="13" ht="17.25">
      <c r="B13" s="23">
        <v>1408</v>
      </c>
      <c r="C13" s="23">
        <v>7.0999999999999996</v>
      </c>
      <c r="D13" s="23">
        <v>9</v>
      </c>
      <c r="E13" s="23">
        <v>2.5</v>
      </c>
      <c r="F13" s="23">
        <v>2.0899999999999999</v>
      </c>
      <c r="H13" s="23">
        <v>53</v>
      </c>
      <c r="I13" s="23">
        <v>1.6000000000000001</v>
      </c>
      <c r="J13" s="23">
        <v>3</v>
      </c>
      <c r="P13" s="24"/>
      <c r="Q13" s="21"/>
      <c r="R13" s="21"/>
      <c r="S13" s="21"/>
      <c r="T13" s="21"/>
      <c r="U13" s="21"/>
      <c r="V13" s="22"/>
    </row>
    <row r="14">
      <c r="B14" s="23">
        <v>67923</v>
      </c>
      <c r="C14" s="23">
        <v>6.9000000000000004</v>
      </c>
      <c r="D14" s="23">
        <v>2</v>
      </c>
      <c r="E14" s="23">
        <v>10.5</v>
      </c>
      <c r="F14" s="23">
        <v>2.3300000000000001</v>
      </c>
      <c r="H14" s="23">
        <v>114</v>
      </c>
      <c r="I14" s="23">
        <v>1.45</v>
      </c>
      <c r="J14" s="23">
        <v>4</v>
      </c>
      <c r="P14" s="24"/>
      <c r="Q14" s="2"/>
      <c r="R14" s="2"/>
      <c r="S14" s="2"/>
      <c r="T14" s="2"/>
      <c r="U14" s="2"/>
      <c r="V14" s="2"/>
    </row>
    <row r="15">
      <c r="B15" s="23">
        <v>62274</v>
      </c>
      <c r="C15" s="23">
        <v>4.2999999999999998</v>
      </c>
      <c r="D15" s="23">
        <v>5</v>
      </c>
      <c r="E15" s="23">
        <v>6.0700000000000003</v>
      </c>
      <c r="F15" s="23">
        <v>2.1200000000000001</v>
      </c>
      <c r="H15" s="23">
        <v>15</v>
      </c>
      <c r="I15" s="23">
        <v>1.9299999999999999</v>
      </c>
      <c r="J15" s="23">
        <v>6</v>
      </c>
      <c r="P15" s="24"/>
      <c r="Q15" s="2"/>
      <c r="R15" s="2"/>
      <c r="S15" s="2"/>
      <c r="T15" s="2"/>
      <c r="U15" s="2"/>
      <c r="V15" s="2"/>
    </row>
    <row r="16">
      <c r="B16" s="23">
        <v>2475</v>
      </c>
      <c r="C16" s="23">
        <v>6.7999999999999998</v>
      </c>
      <c r="D16" s="23">
        <v>9</v>
      </c>
      <c r="E16" s="23">
        <v>9.0500000000000007</v>
      </c>
      <c r="F16" s="23">
        <v>2.8900000000000001</v>
      </c>
      <c r="H16" s="23">
        <v>141</v>
      </c>
      <c r="I16" s="23">
        <v>1.5</v>
      </c>
      <c r="J16" s="23">
        <v>3</v>
      </c>
      <c r="P16" s="24"/>
      <c r="Q16" s="2"/>
      <c r="R16" s="2"/>
      <c r="S16" s="2"/>
      <c r="T16" s="2"/>
      <c r="U16" s="2"/>
      <c r="V16" s="2"/>
    </row>
    <row r="17">
      <c r="B17" s="23">
        <v>983</v>
      </c>
      <c r="C17" s="23">
        <v>9.1999999999999993</v>
      </c>
      <c r="D17" s="23">
        <v>8</v>
      </c>
      <c r="E17" s="23">
        <v>19</v>
      </c>
      <c r="F17" s="23">
        <v>2.5600000000000001</v>
      </c>
      <c r="H17" s="23">
        <v>112</v>
      </c>
      <c r="I17" s="23">
        <v>2.2999999999999998</v>
      </c>
      <c r="J17" s="23">
        <v>4</v>
      </c>
      <c r="P17" s="24"/>
      <c r="Q17" s="2"/>
      <c r="R17" s="2"/>
      <c r="S17" s="2"/>
      <c r="T17" s="2"/>
      <c r="U17" s="2"/>
      <c r="V17" s="2"/>
    </row>
    <row r="18" ht="17.25">
      <c r="B18" s="23">
        <v>3160</v>
      </c>
      <c r="C18" s="23">
        <v>5.9000000000000004</v>
      </c>
      <c r="D18" s="23">
        <v>1</v>
      </c>
      <c r="E18" s="23">
        <v>4.6900000000000004</v>
      </c>
      <c r="F18" s="23">
        <v>1.73</v>
      </c>
      <c r="H18" s="23">
        <v>116</v>
      </c>
      <c r="I18" s="23">
        <v>2.4500000000000002</v>
      </c>
      <c r="J18" s="23">
        <v>9</v>
      </c>
      <c r="P18" s="24"/>
      <c r="Q18" s="21"/>
      <c r="R18" s="2"/>
      <c r="S18" s="2"/>
      <c r="T18" s="21"/>
      <c r="U18" s="21"/>
      <c r="V18" s="2"/>
    </row>
    <row r="19" ht="17.25">
      <c r="B19" s="23">
        <v>34563</v>
      </c>
      <c r="C19" s="23">
        <v>5.2000000000000002</v>
      </c>
      <c r="D19" s="23">
        <v>6</v>
      </c>
      <c r="E19" s="23">
        <v>7</v>
      </c>
      <c r="F19" s="23">
        <v>2.3799999999999999</v>
      </c>
      <c r="H19" s="23">
        <v>77</v>
      </c>
      <c r="I19" s="23">
        <v>2.21</v>
      </c>
      <c r="J19" s="23">
        <v>7</v>
      </c>
      <c r="P19" s="24"/>
      <c r="Q19" s="21"/>
      <c r="R19" s="2"/>
      <c r="S19" s="2"/>
      <c r="T19" s="21"/>
      <c r="U19" s="21"/>
      <c r="V19" s="2"/>
    </row>
    <row r="20" ht="17.25">
      <c r="B20" s="23">
        <v>67345</v>
      </c>
      <c r="C20" s="23">
        <v>8</v>
      </c>
      <c r="D20" s="23">
        <v>8</v>
      </c>
      <c r="E20" s="23">
        <v>4.54</v>
      </c>
      <c r="F20" s="23">
        <v>2.21</v>
      </c>
      <c r="H20" s="23">
        <v>43</v>
      </c>
      <c r="I20" s="23">
        <v>1.7</v>
      </c>
      <c r="J20" s="23">
        <v>8</v>
      </c>
      <c r="P20" s="24"/>
      <c r="Q20" s="21"/>
      <c r="R20" s="2"/>
      <c r="S20" s="2"/>
      <c r="T20" s="21"/>
      <c r="U20" s="21"/>
      <c r="V20" s="2"/>
    </row>
    <row r="21" ht="17.25">
      <c r="B21" s="23">
        <v>23453</v>
      </c>
      <c r="C21" s="23">
        <v>7.7999999999999998</v>
      </c>
      <c r="D21" s="23">
        <v>7</v>
      </c>
      <c r="E21" s="23">
        <v>4.4199999999999999</v>
      </c>
      <c r="F21" s="23">
        <v>1.9399999999999999</v>
      </c>
      <c r="H21" s="23">
        <v>89</v>
      </c>
      <c r="I21" s="23">
        <v>3.1000000000000001</v>
      </c>
      <c r="J21" s="23">
        <v>7</v>
      </c>
      <c r="P21" s="24"/>
      <c r="Q21" s="21"/>
      <c r="R21" s="2"/>
      <c r="S21" s="2"/>
      <c r="T21" s="21"/>
      <c r="U21" s="21"/>
      <c r="V21" s="2"/>
    </row>
    <row r="22" ht="17.25">
      <c r="B22" s="23">
        <v>341</v>
      </c>
      <c r="C22" s="23">
        <v>2.8999999999999999</v>
      </c>
      <c r="D22" s="23">
        <v>1</v>
      </c>
      <c r="E22" s="23">
        <v>6.5099999999999998</v>
      </c>
      <c r="F22" s="23">
        <v>1.51</v>
      </c>
      <c r="H22" s="23">
        <v>118</v>
      </c>
      <c r="I22" s="23">
        <v>2.1400000000000001</v>
      </c>
      <c r="J22" s="23">
        <v>7</v>
      </c>
      <c r="P22" s="24"/>
      <c r="Q22" s="21"/>
      <c r="R22" s="2"/>
      <c r="S22" s="2"/>
      <c r="T22" s="21"/>
      <c r="U22" s="21"/>
      <c r="V22" s="2"/>
    </row>
    <row r="23" ht="17.25">
      <c r="B23" s="23">
        <v>67700</v>
      </c>
      <c r="C23" s="23">
        <v>3.6000000000000001</v>
      </c>
      <c r="D23" s="23">
        <v>5</v>
      </c>
      <c r="E23" s="23">
        <v>4.3499999999999996</v>
      </c>
      <c r="F23" s="23">
        <v>1.98</v>
      </c>
      <c r="H23" s="23">
        <v>43</v>
      </c>
      <c r="I23" s="23">
        <v>2.2799999999999998</v>
      </c>
      <c r="J23" s="23">
        <v>9</v>
      </c>
      <c r="P23" s="24"/>
      <c r="Q23" s="21"/>
      <c r="R23" s="2"/>
      <c r="S23" s="2"/>
      <c r="T23" s="21"/>
      <c r="U23" s="21"/>
      <c r="V23" s="2"/>
    </row>
    <row r="24" ht="17.25">
      <c r="B24" s="23">
        <v>234</v>
      </c>
      <c r="C24" s="23">
        <v>2.6000000000000001</v>
      </c>
      <c r="D24" s="23">
        <v>7</v>
      </c>
      <c r="E24" s="23">
        <v>5.1200000000000001</v>
      </c>
      <c r="F24" s="23">
        <v>2.0499999999999998</v>
      </c>
      <c r="H24" s="23">
        <v>51</v>
      </c>
      <c r="I24" s="23">
        <v>1.95</v>
      </c>
      <c r="J24" s="23">
        <v>7</v>
      </c>
      <c r="P24" s="24"/>
      <c r="Q24" s="21"/>
      <c r="R24" s="2"/>
      <c r="S24" s="2"/>
      <c r="T24" s="21"/>
      <c r="U24" s="21"/>
      <c r="V24" s="2"/>
    </row>
    <row r="25" ht="17.25">
      <c r="O25" s="21"/>
      <c r="P25" s="2"/>
      <c r="Q25" s="21"/>
      <c r="R25" s="2"/>
      <c r="S25" s="2"/>
      <c r="T25" s="21"/>
      <c r="U25" s="21"/>
      <c r="V25" s="2"/>
    </row>
    <row r="26" ht="17.25">
      <c r="O26" s="21"/>
      <c r="P26" s="2"/>
      <c r="Q26" s="21"/>
      <c r="R26" s="2"/>
      <c r="S26" s="2"/>
      <c r="T26" s="21"/>
      <c r="U26" s="21"/>
      <c r="V26" s="2"/>
    </row>
    <row r="27" ht="17.25">
      <c r="O27" s="21"/>
      <c r="P27" s="2"/>
      <c r="Q27" s="21"/>
      <c r="R27" s="2"/>
      <c r="S27" s="2"/>
      <c r="T27" s="21"/>
      <c r="U27" s="21"/>
      <c r="V27" s="2"/>
    </row>
  </sheetData>
  <mergeCells count="2">
    <mergeCell ref="B3:F3"/>
    <mergeCell ref="H3:J3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ONLYOFFICE/7.0.2.5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revision>1</cp:revision>
  <dcterms:created xsi:type="dcterms:W3CDTF">2015-06-05T18:17:20Z</dcterms:created>
  <dcterms:modified xsi:type="dcterms:W3CDTF">2022-04-28T06:08:29Z</dcterms:modified>
</cp:coreProperties>
</file>