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\twstock\"/>
    </mc:Choice>
  </mc:AlternateContent>
  <xr:revisionPtr revIDLastSave="0" documentId="13_ncr:1_{29725F10-8A4A-40A3-BB96-F15ED22E1704}" xr6:coauthVersionLast="47" xr6:coauthVersionMax="47" xr10:uidLastSave="{00000000-0000-0000-0000-000000000000}"/>
  <bookViews>
    <workbookView xWindow="300" yWindow="2040" windowWidth="17280" windowHeight="8880" xr2:uid="{47DDDF54-944A-4756-B61E-BB185F92436C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38" i="1" l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A2" i="1"/>
</calcChain>
</file>

<file path=xl/sharedStrings.xml><?xml version="1.0" encoding="utf-8"?>
<sst xmlns="http://schemas.openxmlformats.org/spreadsheetml/2006/main" count="43" uniqueCount="41">
  <si>
    <t>代碼</t>
  </si>
  <si>
    <t>商品</t>
  </si>
  <si>
    <t>買進</t>
  </si>
  <si>
    <t>賣出</t>
  </si>
  <si>
    <t>成交</t>
  </si>
  <si>
    <t>漲跌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</si>
  <si>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</si>
  <si>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</si>
  <si>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</si>
  <si>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</si>
  <si>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</si>
  <si>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</si>
  <si>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</si>
  <si>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</si>
  <si>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Beta</t>
  </si>
  <si>
    <t>PE(市盈率)</t>
  </si>
  <si>
    <t>PB(市淨率)</t>
  </si>
  <si>
    <t>ROE%</t>
  </si>
  <si>
    <t>資產報酬率%</t>
  </si>
  <si>
    <t>毛利率%</t>
  </si>
  <si>
    <t>營益率%</t>
  </si>
  <si>
    <t>稅後淨利率%</t>
  </si>
  <si>
    <t>每股淨值</t>
  </si>
  <si>
    <t>盈餘</t>
  </si>
  <si>
    <t>流動比率%</t>
  </si>
  <si>
    <t>速動比率%</t>
  </si>
  <si>
    <t>負債比率%</t>
  </si>
  <si>
    <t>利息保障倍數</t>
  </si>
  <si>
    <t>應收帳款週轉率%</t>
  </si>
  <si>
    <t>存貨週轉率%</t>
  </si>
  <si>
    <t>現金股利</t>
  </si>
  <si>
    <t>股票股利</t>
  </si>
  <si>
    <t>殖利率%</t>
  </si>
  <si>
    <t>除息日</t>
  </si>
  <si>
    <t>股息發放日</t>
  </si>
  <si>
    <t>除權日</t>
  </si>
  <si>
    <t>股本</t>
  </si>
  <si>
    <t>市值</t>
  </si>
  <si>
    <t>總管理費%</t>
  </si>
  <si>
    <t>元大台灣50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</si>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</sst>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XQCTYAP" ddeTopic="Quote">
    <ddeItems>
      <ddeItem name="0050.TW-Beta" advise="1">
        <values>
          <value t="str">
            <val>--</val>
          </value>
        </values>
      </ddeItem>
      <ddeItem name="0050.TW-Capital" advise="1">
        <values>
          <value t="str">
            <val>--</val>
          </value>
        </values>
      </ddeItem>
      <ddeItem name="0050.TW-CashDividend" advise="1">
        <values>
          <value t="str">
            <val>2.60</val>
          </value>
        </values>
      </ddeItem>
      <ddeItem name="0050.TW-CashDividendYieldRate" advise="1">
        <values>
          <value>
            <val>3.43</val>
          </value>
        </values>
      </ddeItem>
      <ddeItem name="0050.TW-ChipsField25" advise="1">
        <values>
          <value t="str">
            <val>2023/01/30</val>
          </value>
        </values>
      </ddeItem>
      <ddeItem name="0050.TW-ChipsField26" advise="1">
        <values>
          <value t="str">
            <val>2023/03/07</val>
          </value>
        </values>
      </ddeItem>
      <ddeItem name="0050.TW-ChipsField27" advise="1">
        <values>
          <value t="str">
            <val>--</val>
          </value>
        </values>
      </ddeItem>
      <ddeItem name="0050.TW-CurrentRatio" advise="1">
        <values>
          <value t="str">
            <val>--</val>
          </value>
        </values>
      </ddeItem>
      <ddeItem name="0050.TW-ID" advise="1">
        <values>
          <value t="str">
            <val>0050</val>
          </value>
        </values>
      </ddeItem>
      <ddeItem name="0050.TW-InventoryTurnoverRatio" advise="1">
        <values>
          <value t="str">
            <val>--</val>
          </value>
        </values>
      </ddeItem>
      <ddeItem name="0050.TW-LiabilityRatio" advise="1">
        <values>
          <value t="str">
            <val>--</val>
          </value>
        </values>
      </ddeItem>
      <ddeItem name="0050.TW-ManagementPercent" advise="1">
        <values>
          <value>
            <val>0.43</val>
          </value>
        </values>
      </ddeItem>
      <ddeItem name="0050.TW-MarketValue" advise="1">
        <values>
          <value t="str">
            <val>--</val>
          </value>
        </values>
      </ddeItem>
      <ddeItem name="0050.TW-NetProfitMargin" advise="1">
        <values>
          <value t="str">
            <val>--</val>
          </value>
        </values>
      </ddeItem>
      <ddeItem name="0050.TW-OperatingProfitRatio" advise="1">
        <values>
          <value t="str">
            <val>--</val>
          </value>
        </values>
      </ddeItem>
      <ddeItem name="0050.TW-PBRatio" advise="1">
        <values>
          <value t="str">
            <val>--</val>
          </value>
        </values>
      </ddeItem>
      <ddeItem name="0050.TW-PERatio" advise="1">
        <values>
          <value t="str">
            <val>--</val>
          </value>
        </values>
      </ddeItem>
      <ddeItem name="0050.TW-Profit" advise="1">
        <values>
          <value t="str">
            <val>--</val>
          </value>
        </values>
      </ddeItem>
      <ddeItem name="0050.TW-ProfitMargin" advise="1">
        <values>
          <value t="str">
            <val>--</val>
          </value>
        </values>
      </ddeItem>
      <ddeItem name="0050.TW-QuickRatio" advise="1">
        <values>
          <value t="str">
            <val>--</val>
          </value>
        </values>
      </ddeItem>
      <ddeItem name="0050.TW-ReceivablesTurnoverRatio" advise="1">
        <values>
          <value t="str">
            <val>--</val>
          </value>
        </values>
      </ddeItem>
      <ddeItem name="0050.TW-ReturnOnAssets" advise="1">
        <values>
          <value t="str">
            <val>--</val>
          </value>
        </values>
      </ddeItem>
      <ddeItem name="0050.TW-ROE" advise="1">
        <values>
          <value t="str">
            <val>--</val>
          </value>
        </values>
      </ddeItem>
      <ddeItem name="0050.TW-StockDividend" advise="1">
        <values>
          <value t="str">
            <val>--</val>
          </value>
        </values>
      </ddeItem>
      <ddeItem name="0050.TW-StockNetValue" advise="1">
        <values>
          <value t="str">
            <val>--</val>
          </value>
        </values>
      </ddeItem>
      <ddeItem name="0050.TW-TimesInterestEarne" advise="1">
        <values>
          <value t="str">
            <val>--</val>
          </value>
        </values>
      </ddeItem>
      <ddeItem name="0052.TW-Ask" advise="1">
        <values>
          <value>
            <val>113.2</val>
          </value>
        </values>
      </ddeItem>
      <ddeItem name="0052.TW-BestAskSize" advise="1">
        <values>
          <value>
            <val>16</val>
          </value>
        </values>
      </ddeItem>
      <ddeItem name="0052.TW-BestBidSize" advise="1">
        <values>
          <value>
            <val>5</val>
          </value>
        </values>
      </ddeItem>
      <ddeItem name="0052.TW-Beta" advise="1">
        <values>
          <value t="str">
            <val>--</val>
          </value>
        </values>
      </ddeItem>
      <ddeItem name="0052.TW-Bid" advise="1">
        <values>
          <value>
            <val>113.15</val>
          </value>
        </values>
      </ddeItem>
      <ddeItem name="0052.TW-Capital" advise="1">
        <values>
          <value t="str">
            <val>--</val>
          </value>
        </values>
      </ddeItem>
      <ddeItem name="0052.TW-CashDividend" advise="1">
        <values>
          <value t="str">
            <val>4.00</val>
          </value>
        </values>
      </ddeItem>
      <ddeItem name="0052.TW-CashDividendYieldRate" advise="1">
        <values>
          <value>
            <val>3.54</val>
          </value>
        </values>
      </ddeItem>
      <ddeItem name="0052.TW-ChipsField25" advise="1">
        <values>
          <value t="str">
            <val>2023/04/21</val>
          </value>
        </values>
      </ddeItem>
      <ddeItem name="0052.TW-ChipsField26" advise="1">
        <values>
          <value t="str">
            <val>2023/05/18</val>
          </value>
        </values>
      </ddeItem>
      <ddeItem name="0052.TW-ChipsField27" advise="1">
        <values>
          <value t="str">
            <val>--</val>
          </value>
        </values>
      </ddeItem>
      <ddeItem name="0052.TW-CurrentRatio" advise="1">
        <values>
          <value t="str">
            <val>--</val>
          </value>
        </values>
      </ddeItem>
      <ddeItem name="0052.TW-High" advise="1">
        <values>
          <value>
            <val>113.15</val>
          </value>
        </values>
      </ddeItem>
      <ddeItem name="0052.TW-ID" advise="1">
        <values>
          <value t="str">
            <val>0052</val>
          </value>
        </values>
      </ddeItem>
      <ddeItem name="0052.TW-InventoryTurnoverRatio" advise="1">
        <values>
          <value t="str">
            <val>--</val>
          </value>
        </values>
      </ddeItem>
      <ddeItem name="0052.TW-LiabilityRatio" advise="1">
        <values>
          <value t="str">
            <val>--</val>
          </value>
        </values>
      </ddeItem>
      <ddeItem name="0052.TW-Low" advise="1">
        <values>
          <value>
            <val>111.7</val>
          </value>
        </values>
      </ddeItem>
      <ddeItem name="0052.TW-ManagementPercent" advise="1">
        <values>
          <value>
            <val>0.24</val>
          </value>
        </values>
      </ddeItem>
      <ddeItem name="0052.TW-MarketValue" advise="1">
        <values>
          <value t="str">
            <val>--</val>
          </value>
        </values>
      </ddeItem>
      <ddeItem name="0052.TW-Name" advise="1">
        <values>
          <value t="str">
            <val>富邦科技</val>
          </value>
        </values>
      </ddeItem>
      <ddeItem name="0052.TW-NetProfitMargin" advise="1">
        <values>
          <value t="str">
            <val>--</val>
          </value>
        </values>
      </ddeItem>
      <ddeItem name="0052.TW-Open" advise="1">
        <values>
          <value>
            <val>111.7</val>
          </value>
        </values>
      </ddeItem>
      <ddeItem name="0052.TW-OperatingProfitRatio" advise="1">
        <values>
          <value t="str">
            <val>--</val>
          </value>
        </values>
      </ddeItem>
      <ddeItem name="0052.TW-PBRatio" advise="1">
        <values>
          <value t="str">
            <val>--</val>
          </value>
        </values>
      </ddeItem>
      <ddeItem name="0052.TW-PERatio" advise="1">
        <values>
          <value t="str">
            <val>--</val>
          </value>
        </values>
      </ddeItem>
      <ddeItem name="0052.TW-Price" advise="1">
        <values>
          <value>
            <val>113.15</val>
          </value>
        </values>
      </ddeItem>
      <ddeItem name="0052.TW-PriceChange" advise="1">
        <values>
          <value>
            <val>1.55</val>
          </value>
        </values>
      </ddeItem>
      <ddeItem name="0052.TW-PriceChangeRatio" advise="1">
        <values>
          <value>
            <val>1.39</val>
          </value>
        </values>
      </ddeItem>
      <ddeItem name="0052.TW-Profit" advise="1">
        <values>
          <value t="str">
            <val>--</val>
          </value>
        </values>
      </ddeItem>
      <ddeItem name="0052.TW-ProfitMargin" advise="1">
        <values>
          <value t="str">
            <val>--</val>
          </value>
        </values>
      </ddeItem>
      <ddeItem name="0052.TW-QuickRatio" advise="1">
        <values>
          <value t="str">
            <val>--</val>
          </value>
        </values>
      </ddeItem>
      <ddeItem name="0052.TW-ReceivablesTurnoverRatio" advise="1">
        <values>
          <value t="str">
            <val>--</val>
          </value>
        </values>
      </ddeItem>
      <ddeItem name="0052.TW-ReturnOnAssets" advise="1">
        <values>
          <value t="str">
            <val>--</val>
          </value>
        </values>
      </ddeItem>
      <ddeItem name="0052.TW-ROE" advise="1">
        <values>
          <value t="str">
            <val>--</val>
          </value>
        </values>
      </ddeItem>
      <ddeItem name="0052.TW-StockDividend" advise="1">
        <values>
          <value t="str">
            <val>--</val>
          </value>
        </values>
      </ddeItem>
      <ddeItem name="0052.TW-StockNetValue" advise="1">
        <values>
          <value t="str">
            <val>--</val>
          </value>
        </values>
      </ddeItem>
      <ddeItem name="0052.TW-TimesInterestEarne" advise="1">
        <values>
          <value t="str">
            <val>--</val>
          </value>
        </values>
      </ddeItem>
      <ddeItem name="0052.TW-TotalVolume" advise="1">
        <values>
          <value>
            <val>370</val>
          </value>
        </values>
      </ddeItem>
      <ddeItem name="0052.TW-Volume" advise="1">
        <values>
          <value>
            <val>48</val>
          </value>
        </values>
      </ddeItem>
      <ddeItem name="0055.TW-Ask" advise="1">
        <values>
          <value>
            <val>23.45</val>
          </value>
        </values>
      </ddeItem>
      <ddeItem name="0055.TW-BestAskSize" advise="1">
        <values>
          <value>
            <val>17</val>
          </value>
        </values>
      </ddeItem>
      <ddeItem name="0055.TW-BestBidSize" advise="1">
        <values>
          <value>
            <val>33</val>
          </value>
        </values>
      </ddeItem>
      <ddeItem name="0055.TW-Beta" advise="1">
        <values>
          <value t="str">
            <val>--</val>
          </value>
        </values>
      </ddeItem>
      <ddeItem name="0055.TW-Bid" advise="1">
        <values>
          <value>
            <val>23.44</val>
          </value>
        </values>
      </ddeItem>
      <ddeItem name="0055.TW-Capital" advise="1">
        <values>
          <value t="str">
            <val>--</val>
          </value>
        </values>
      </ddeItem>
      <ddeItem name="0055.TW-CashDividend" advise="1">
        <values>
          <value t="str">
            <val>0.87</val>
          </value>
        </values>
      </ddeItem>
      <ddeItem name="0055.TW-CashDividendYieldRate" advise="1">
        <values>
          <value>
            <val>3.71</val>
          </value>
        </values>
      </ddeItem>
      <ddeItem name="0055.TW-ChipsField25" advise="1">
        <values>
          <value t="str">
            <val>2022/11/16</val>
          </value>
        </values>
      </ddeItem>
      <ddeItem name="0055.TW-ChipsField26" advise="1">
        <values>
          <value t="str">
            <val>2022/12/20</val>
          </value>
        </values>
      </ddeItem>
      <ddeItem name="0055.TW-ChipsField27" advise="1">
        <values>
          <value t="str">
            <val>--</val>
          </value>
        </values>
      </ddeItem>
      <ddeItem name="0055.TW-CurrentRatio" advise="1">
        <values>
          <value t="str">
            <val>--</val>
          </value>
        </values>
      </ddeItem>
      <ddeItem name="0055.TW-High" advise="1">
        <values>
          <value>
            <val>23.45</val>
          </value>
        </values>
      </ddeItem>
      <ddeItem name="0055.TW-ID" advise="1">
        <values>
          <value t="str">
            <val>0055</val>
          </value>
        </values>
      </ddeItem>
      <ddeItem name="0055.TW-InventoryTurnoverRatio" advise="1">
        <values>
          <value t="str">
            <val>--</val>
          </value>
        </values>
      </ddeItem>
      <ddeItem name="0055.TW-LiabilityRatio" advise="1">
        <values>
          <value t="str">
            <val>--</val>
          </value>
        </values>
      </ddeItem>
      <ddeItem name="0055.TW-Low" advise="1">
        <values>
          <value>
            <val>23.26</val>
          </value>
        </values>
      </ddeItem>
      <ddeItem name="0055.TW-ManagementPercent" advise="1">
        <values>
          <value>
            <val>0.56999999999999995</val>
          </value>
        </values>
      </ddeItem>
      <ddeItem name="0055.TW-MarketValue" advise="1">
        <values>
          <value t="str">
            <val>--</val>
          </value>
        </values>
      </ddeItem>
      <ddeItem name="0055.TW-Name" advise="1">
        <values>
          <value t="str">
            <val>元大MSCI金融</val>
          </value>
        </values>
      </ddeItem>
      <ddeItem name="0055.TW-NetProfitMargin" advise="1">
        <values>
          <value t="str">
            <val>--</val>
          </value>
        </values>
      </ddeItem>
      <ddeItem name="0055.TW-Open" advise="1">
        <values>
          <value>
            <val>23.26</val>
          </value>
        </values>
      </ddeItem>
      <ddeItem name="0055.TW-OperatingProfitRatio" advise="1">
        <values>
          <value t="str">
            <val>--</val>
          </value>
        </values>
      </ddeItem>
      <ddeItem name="0055.TW-PBRatio" advise="1">
        <values>
          <value t="str">
            <val>--</val>
          </value>
        </values>
      </ddeItem>
      <ddeItem name="0055.TW-PERatio" advise="1">
        <values>
          <value t="str">
            <val>--</val>
          </value>
        </values>
      </ddeItem>
      <ddeItem name="0055.TW-Price" advise="1">
        <values>
          <value>
            <val>23.44</val>
          </value>
        </values>
      </ddeItem>
      <ddeItem name="0055.TW-PriceChange" advise="1">
        <values>
          <value>
            <val>0.19</val>
          </value>
        </values>
      </ddeItem>
      <ddeItem name="0055.TW-PriceChangeRatio" advise="1">
        <values>
          <value>
            <val>0.82</val>
          </value>
        </values>
      </ddeItem>
      <ddeItem name="0055.TW-Profit" advise="1">
        <values>
          <value t="str">
            <val>--</val>
          </value>
        </values>
      </ddeItem>
      <ddeItem name="0055.TW-ProfitMargin" advise="1">
        <values>
          <value t="str">
            <val>--</val>
          </value>
        </values>
      </ddeItem>
      <ddeItem name="0055.TW-QuickRatio" advise="1">
        <values>
          <value t="str">
            <val>--</val>
          </value>
        </values>
      </ddeItem>
      <ddeItem name="0055.TW-ReceivablesTurnoverRatio" advise="1">
        <values>
          <value t="str">
            <val>--</val>
          </value>
        </values>
      </ddeItem>
      <ddeItem name="0055.TW-ReturnOnAssets" advise="1">
        <values>
          <value t="str">
            <val>--</val>
          </value>
        </values>
      </ddeItem>
      <ddeItem name="0055.TW-ROE" advise="1">
        <values>
          <value t="str">
            <val>--</val>
          </value>
        </values>
      </ddeItem>
      <ddeItem name="0055.TW-StockDividend" advise="1">
        <values>
          <value t="str">
            <val>--</val>
          </value>
        </values>
      </ddeItem>
      <ddeItem name="0055.TW-StockNetValue" advise="1">
        <values>
          <value t="str">
            <val>--</val>
          </value>
        </values>
      </ddeItem>
      <ddeItem name="0055.TW-TimesInterestEarne" advise="1">
        <values>
          <value t="str">
            <val>--</val>
          </value>
        </values>
      </ddeItem>
      <ddeItem name="0055.TW-TotalVolume" advise="1">
        <values>
          <value>
            <val>206</val>
          </value>
        </values>
      </ddeItem>
      <ddeItem name="0055.TW-Volume" advise="1">
        <values>
          <value>
            <val>7</val>
          </value>
        </values>
      </ddeItem>
      <ddeItem name="0056.TW-Ask" advise="1">
        <values>
          <value>
            <val>31.46</val>
          </value>
        </values>
      </ddeItem>
      <ddeItem name="0056.TW-BestAskSize" advise="1">
        <values>
          <value>
            <val>114</val>
          </value>
        </values>
      </ddeItem>
      <ddeItem name="0056.TW-BestBidSize" advise="1">
        <values>
          <value>
            <val>600</val>
          </value>
        </values>
      </ddeItem>
      <ddeItem name="0056.TW-Beta" advise="1">
        <values>
          <value t="str">
            <val>--</val>
          </value>
        </values>
      </ddeItem>
      <ddeItem name="0056.TW-Bid" advise="1">
        <values>
          <value>
            <val>31.45</val>
          </value>
        </values>
      </ddeItem>
      <ddeItem name="0056.TW-Capital" advise="1">
        <values>
          <value t="str">
            <val>--</val>
          </value>
        </values>
      </ddeItem>
      <ddeItem name="0056.TW-CashDividend" advise="1">
        <values>
          <value t="str">
            <val>2.10</val>
          </value>
        </values>
      </ddeItem>
      <ddeItem name="0056.TW-CashDividendYieldRate" advise="1">
        <values>
          <value>
            <val>6.68</val>
          </value>
        </values>
      </ddeItem>
      <ddeItem name="0056.TW-ChipsField25" advise="1">
        <values>
          <value t="str">
            <val>2022/10/19</val>
          </value>
        </values>
      </ddeItem>
      <ddeItem name="0056.TW-ChipsField26" advise="1">
        <values>
          <value t="str">
            <val>2022/11/22</val>
          </value>
        </values>
      </ddeItem>
      <ddeItem name="0056.TW-ChipsField27" advise="1">
        <values>
          <value t="str">
            <val>--</val>
          </value>
        </values>
      </ddeItem>
      <ddeItem name="0056.TW-CurrentRatio" advise="1">
        <values>
          <value t="str">
            <val>--</val>
          </value>
        </values>
      </ddeItem>
      <ddeItem name="0056.TW-High" advise="1">
        <values>
          <value>
            <val>31.5</val>
          </value>
        </values>
      </ddeItem>
      <ddeItem name="0056.TW-ID" advise="1">
        <values>
          <value t="str">
            <val>0056</val>
          </value>
        </values>
      </ddeItem>
      <ddeItem name="0056.TW-InventoryTurnoverRatio" advise="1">
        <values>
          <value t="str">
            <val>--</val>
          </value>
        </values>
      </ddeItem>
      <ddeItem name="0056.TW-LiabilityRatio" advise="1">
        <values>
          <value t="str">
            <val>--</val>
          </value>
        </values>
      </ddeItem>
      <ddeItem name="0056.TW-Low" advise="1">
        <values>
          <value>
            <val>31.16</val>
          </value>
        </values>
      </ddeItem>
      <ddeItem name="0056.TW-ManagementPercent" advise="1">
        <values>
          <value>
            <val>0.86</val>
          </value>
        </values>
      </ddeItem>
      <ddeItem name="0056.TW-MarketValue" advise="1">
        <values>
          <value t="str">
            <val>--</val>
          </value>
        </values>
      </ddeItem>
      <ddeItem name="0056.TW-Name" advise="1">
        <values>
          <value t="str">
            <val>元大高股息</val>
          </value>
        </values>
      </ddeItem>
      <ddeItem name="0056.TW-NetProfitMargin" advise="1">
        <values>
          <value t="str">
            <val>--</val>
          </value>
        </values>
      </ddeItem>
      <ddeItem name="0056.TW-Open" advise="1">
        <values>
          <value>
            <val>31.16</val>
          </value>
        </values>
      </ddeItem>
      <ddeItem name="0056.TW-OperatingProfitRatio" advise="1">
        <values>
          <value t="str">
            <val>--</val>
          </value>
        </values>
      </ddeItem>
      <ddeItem name="0056.TW-PBRatio" advise="1">
        <values>
          <value t="str">
            <val>--</val>
          </value>
        </values>
      </ddeItem>
      <ddeItem name="0056.TW-PERatio" advise="1">
        <values>
          <value t="str">
            <val>--</val>
          </value>
        </values>
      </ddeItem>
      <ddeItem name="0056.TW-Price" advise="1">
        <values>
          <value>
            <val>31.46</val>
          </value>
        </values>
      </ddeItem>
      <ddeItem name="0056.TW-PriceChange" advise="1">
        <values>
          <value>
            <val>0.31</val>
          </value>
        </values>
      </ddeItem>
      <ddeItem name="0056.TW-PriceChangeRatio" advise="1">
        <values>
          <value>
            <val>1</val>
          </value>
        </values>
      </ddeItem>
      <ddeItem name="0056.TW-Profit" advise="1">
        <values>
          <value t="str">
            <val>--</val>
          </value>
        </values>
      </ddeItem>
      <ddeItem name="0056.TW-ProfitMargin" advise="1">
        <values>
          <value t="str">
            <val>--</val>
          </value>
        </values>
      </ddeItem>
      <ddeItem name="0056.TW-QuickRatio" advise="1">
        <values>
          <value t="str">
            <val>--</val>
          </value>
        </values>
      </ddeItem>
      <ddeItem name="0056.TW-ReceivablesTurnoverRatio" advise="1">
        <values>
          <value t="str">
            <val>--</val>
          </value>
        </values>
      </ddeItem>
      <ddeItem name="0056.TW-ReturnOnAssets" advise="1">
        <values>
          <value t="str">
            <val>--</val>
          </value>
        </values>
      </ddeItem>
      <ddeItem name="0056.TW-ROE" advise="1">
        <values>
          <value t="str">
            <val>--</val>
          </value>
        </values>
      </ddeItem>
      <ddeItem name="0056.TW-StockDividend" advise="1">
        <values>
          <value t="str">
            <val>--</val>
          </value>
        </values>
      </ddeItem>
      <ddeItem name="0056.TW-StockNetValue" advise="1">
        <values>
          <value t="str">
            <val>--</val>
          </value>
        </values>
      </ddeItem>
      <ddeItem name="0056.TW-TimesInterestEarne" advise="1">
        <values>
          <value t="str">
            <val>--</val>
          </value>
        </values>
      </ddeItem>
      <ddeItem name="0056.TW-TotalVolume" advise="1">
        <values>
          <value>
            <val>24177</val>
          </value>
        </values>
      </ddeItem>
      <ddeItem name="0056.TW-Volume" advise="1">
        <values>
          <value>
            <val>958</val>
          </value>
        </values>
      </ddeItem>
      <ddeItem name="006204.TW-Ask" advise="1">
        <values>
          <value>
            <val>86</val>
          </value>
        </values>
      </ddeItem>
      <ddeItem name="006204.TW-BestAskSize" advise="1">
        <values>
          <value>
            <val>49</val>
          </value>
        </values>
      </ddeItem>
      <ddeItem name="006204.TW-BestBidSize" advise="1">
        <values>
          <value>
            <val>51</val>
          </value>
        </values>
      </ddeItem>
      <ddeItem name="006204.TW-Beta" advise="1">
        <values>
          <value t="str">
            <val>--</val>
          </value>
        </values>
      </ddeItem>
      <ddeItem name="006204.TW-Bid" advise="1">
        <values>
          <value>
            <val>85.8</val>
          </value>
        </values>
      </ddeItem>
      <ddeItem name="006204.TW-Capital" advise="1">
        <values>
          <value t="str">
            <val>--</val>
          </value>
        </values>
      </ddeItem>
      <ddeItem name="006204.TW-CashDividend" advise="1">
        <values>
          <value t="str">
            <val>2.68</val>
          </value>
        </values>
      </ddeItem>
      <ddeItem name="006204.TW-CashDividendYieldRate" advise="1">
        <values>
          <value>
            <val>3.12</val>
          </value>
        </values>
      </ddeItem>
      <ddeItem name="006204.TW-ChipsField25" advise="1">
        <values>
          <value t="str">
            <val>2022/10/19</val>
          </value>
        </values>
      </ddeItem>
      <ddeItem name="006204.TW-ChipsField26" advise="1">
        <values>
          <value t="str">
            <val>2022/11/21</val>
          </value>
        </values>
      </ddeItem>
      <ddeItem name="006204.TW-ChipsField27" advise="1">
        <values>
          <value t="str">
            <val>--</val>
          </value>
        </values>
      </ddeItem>
      <ddeItem name="006204.TW-CurrentRatio" advise="1">
        <values>
          <value t="str">
            <val>--</val>
          </value>
        </values>
      </ddeItem>
      <ddeItem name="006204.TW-High" advise="1">
        <values>
          <value>
            <val>85.85</val>
          </value>
        </values>
      </ddeItem>
      <ddeItem name="006204.TW-ID" advise="1">
        <values>
          <value t="str">
            <val>006204</val>
          </value>
        </values>
      </ddeItem>
      <ddeItem name="006204.TW-InventoryTurnoverRatio" advise="1">
        <values>
          <value t="str">
            <val>--</val>
          </value>
        </values>
      </ddeItem>
      <ddeItem name="006204.TW-LiabilityRatio" advise="1">
        <values>
          <value t="str">
            <val>--</val>
          </value>
        </values>
      </ddeItem>
      <ddeItem name="006204.TW-Low" advise="1">
        <values>
          <value>
            <val>85.25</val>
          </value>
        </values>
      </ddeItem>
      <ddeItem name="006204.TW-ManagementPercent" advise="1">
        <values>
          <value>
            <val>0.99</val>
          </value>
        </values>
      </ddeItem>
      <ddeItem name="006204.TW-MarketValue" advise="1">
        <values>
          <value t="str">
            <val>--</val>
          </value>
        </values>
      </ddeItem>
      <ddeItem name="006204.TW-Name" advise="1">
        <values>
          <value t="str">
            <val>永豐臺灣加權</val>
          </value>
        </values>
      </ddeItem>
      <ddeItem name="006204.TW-NetProfitMargin" advise="1">
        <values>
          <value t="str">
            <val>--</val>
          </value>
        </values>
      </ddeItem>
      <ddeItem name="006204.TW-Open" advise="1">
        <values>
          <value>
            <val>85.25</val>
          </value>
        </values>
      </ddeItem>
      <ddeItem name="006204.TW-OperatingProfitRatio" advise="1">
        <values>
          <value t="str">
            <val>--</val>
          </value>
        </values>
      </ddeItem>
      <ddeItem name="006204.TW-PBRatio" advise="1">
        <values>
          <value t="str">
            <val>--</val>
          </value>
        </values>
      </ddeItem>
      <ddeItem name="006204.TW-PERatio" advise="1">
        <values>
          <value t="str">
            <val>--</val>
          </value>
        </values>
      </ddeItem>
      <ddeItem name="006204.TW-Price" advise="1">
        <values>
          <value>
            <val>85.85</val>
          </value>
        </values>
      </ddeItem>
      <ddeItem name="006204.TW-PriceChange" advise="1">
        <values>
          <value>
            <val>0.95</val>
          </value>
        </values>
      </ddeItem>
      <ddeItem name="006204.TW-PriceChangeRatio" advise="1">
        <values>
          <value>
            <val>1.1200000000000001</val>
          </value>
        </values>
      </ddeItem>
      <ddeItem name="006204.TW-Profit" advise="1">
        <values>
          <value t="str">
            <val>--</val>
          </value>
        </values>
      </ddeItem>
      <ddeItem name="006204.TW-ProfitMargin" advise="1">
        <values>
          <value t="str">
            <val>--</val>
          </value>
        </values>
      </ddeItem>
      <ddeItem name="006204.TW-QuickRatio" advise="1">
        <values>
          <value t="str">
            <val>--</val>
          </value>
        </values>
      </ddeItem>
      <ddeItem name="006204.TW-ReceivablesTurnoverRatio" advise="1">
        <values>
          <value t="str">
            <val>--</val>
          </value>
        </values>
      </ddeItem>
      <ddeItem name="006204.TW-ReturnOnAssets" advise="1">
        <values>
          <value t="str">
            <val>--</val>
          </value>
        </values>
      </ddeItem>
      <ddeItem name="006204.TW-ROE" advise="1">
        <values>
          <value t="str">
            <val>--</val>
          </value>
        </values>
      </ddeItem>
      <ddeItem name="006204.TW-StockDividend" advise="1">
        <values>
          <value t="str">
            <val>--</val>
          </value>
        </values>
      </ddeItem>
      <ddeItem name="006204.TW-StockNetValue" advise="1">
        <values>
          <value t="str">
            <val>--</val>
          </value>
        </values>
      </ddeItem>
      <ddeItem name="006204.TW-TimesInterestEarne" advise="1">
        <values>
          <value t="str">
            <val>--</val>
          </value>
        </values>
      </ddeItem>
      <ddeItem name="006204.TW-TotalVolume" advise="1">
        <values>
          <value>
            <val>24</val>
          </value>
        </values>
      </ddeItem>
      <ddeItem name="006204.TW-Volume" advise="1">
        <values>
          <value>
            <val>10</val>
          </value>
        </values>
      </ddeItem>
      <ddeItem name="006208.TW-Ask" advise="1">
        <values>
          <value>
            <val>74</val>
          </value>
        </values>
      </ddeItem>
      <ddeItem name="006208.TW-BestAskSize" advise="1">
        <values>
          <value>
            <val>383</val>
          </value>
        </values>
      </ddeItem>
      <ddeItem name="006208.TW-BestBidSize" advise="1">
        <values>
          <value>
            <val>25</val>
          </value>
        </values>
      </ddeItem>
      <ddeItem name="006208.TW-Beta" advise="1">
        <values>
          <value t="str">
            <val>--</val>
          </value>
        </values>
      </ddeItem>
      <ddeItem name="006208.TW-Bid" advise="1">
        <values>
          <value>
            <val>73.95</val>
          </value>
        </values>
      </ddeItem>
      <ddeItem name="006208.TW-Capital" advise="1">
        <values>
          <value t="str">
            <val>--</val>
          </value>
        </values>
      </ddeItem>
      <ddeItem name="006208.TW-CashDividend" advise="1">
        <values>
          <value t="str">
            <val>1.03</val>
          </value>
        </values>
      </ddeItem>
      <ddeItem name="006208.TW-CashDividendYieldRate" advise="1">
        <values>
          <value>
            <val>3.08</val>
          </value>
        </values>
      </ddeItem>
      <ddeItem name="006208.TW-ChipsField25" advise="1">
        <values>
          <value t="str">
            <val>2022/11/16</val>
          </value>
        </values>
      </ddeItem>
      <ddeItem name="006208.TW-ChipsField26" advise="1">
        <values>
          <value t="str">
            <val>2022/12/19</val>
          </value>
        </values>
      </ddeItem>
      <ddeItem name="006208.TW-ChipsField27" advise="1">
        <values>
          <value t="str">
            <val>--</val>
          </value>
        </values>
      </ddeItem>
      <ddeItem name="006208.TW-CurrentRatio" advise="1">
        <values>
          <value t="str">
            <val>--</val>
          </value>
        </values>
      </ddeItem>
      <ddeItem name="006208.TW-High" advise="1">
        <values>
          <value>
            <val>74</val>
          </value>
        </values>
      </ddeItem>
      <ddeItem name="006208.TW-ID" advise="1">
        <values>
          <value t="str">
            <val>006208</val>
          </value>
        </values>
      </ddeItem>
      <ddeItem name="006208.TW-InventoryTurnoverRatio" advise="1">
        <values>
          <value t="str">
            <val>--</val>
          </value>
        </values>
      </ddeItem>
      <ddeItem name="006208.TW-LiabilityRatio" advise="1">
        <values>
          <value t="str">
            <val>--</val>
          </value>
        </values>
      </ddeItem>
      <ddeItem name="006208.TW-Low" advise="1">
        <values>
          <value>
            <val>73.400000000000006</val>
          </value>
        </values>
      </ddeItem>
      <ddeItem name="006208.TW-ManagementPercent" advise="1">
        <values>
          <value>
            <val>0.24</val>
          </value>
        </values>
      </ddeItem>
      <ddeItem name="006208.TW-MarketValue" advise="1">
        <values>
          <value t="str">
            <val>--</val>
          </value>
        </values>
      </ddeItem>
      <ddeItem name="006208.TW-Name" advise="1">
        <values>
          <value t="str">
            <val>富邦台50</val>
          </value>
        </values>
      </ddeItem>
      <ddeItem name="006208.TW-NetProfitMargin" advise="1">
        <values>
          <value t="str">
            <val>--</val>
          </value>
        </values>
      </ddeItem>
      <ddeItem name="006208.TW-Open" advise="1">
        <values>
          <value>
            <val>73.400000000000006</val>
          </value>
        </values>
      </ddeItem>
      <ddeItem name="006208.TW-OperatingProfitRatio" advise="1">
        <values>
          <value t="str">
            <val>--</val>
          </value>
        </values>
      </ddeItem>
      <ddeItem name="006208.TW-PBRatio" advise="1">
        <values>
          <value t="str">
            <val>--</val>
          </value>
        </values>
      </ddeItem>
      <ddeItem name="006208.TW-PERatio" advise="1">
        <values>
          <value t="str">
            <val>--</val>
          </value>
        </values>
      </ddeItem>
      <ddeItem name="006208.TW-Price" advise="1">
        <values>
          <value>
            <val>73.95</val>
          </value>
        </values>
      </ddeItem>
      <ddeItem name="006208.TW-PriceChange" advise="1">
        <values>
          <value>
            <val>0.8</val>
          </value>
        </values>
      </ddeItem>
      <ddeItem name="006208.TW-PriceChangeRatio" advise="1">
        <values>
          <value>
            <val>1.0900000000000001</val>
          </value>
        </values>
      </ddeItem>
      <ddeItem name="006208.TW-Profit" advise="1">
        <values>
          <value t="str">
            <val>--</val>
          </value>
        </values>
      </ddeItem>
      <ddeItem name="006208.TW-ProfitMargin" advise="1">
        <values>
          <value t="str">
            <val>--</val>
          </value>
        </values>
      </ddeItem>
      <ddeItem name="006208.TW-QuickRatio" advise="1">
        <values>
          <value t="str">
            <val>--</val>
          </value>
        </values>
      </ddeItem>
      <ddeItem name="006208.TW-ReceivablesTurnoverRatio" advise="1">
        <values>
          <value t="str">
            <val>--</val>
          </value>
        </values>
      </ddeItem>
      <ddeItem name="006208.TW-ReturnOnAssets" advise="1">
        <values>
          <value t="str">
            <val>--</val>
          </value>
        </values>
      </ddeItem>
      <ddeItem name="006208.TW-ROE" advise="1">
        <values>
          <value t="str">
            <val>--</val>
          </value>
        </values>
      </ddeItem>
      <ddeItem name="006208.TW-StockDividend" advise="1">
        <values>
          <value t="str">
            <val>--</val>
          </value>
        </values>
      </ddeItem>
      <ddeItem name="006208.TW-StockNetValue" advise="1">
        <values>
          <value t="str">
            <val>--</val>
          </value>
        </values>
      </ddeItem>
      <ddeItem name="006208.TW-TimesInterestEarne" advise="1">
        <values>
          <value t="str">
            <val>--</val>
          </value>
        </values>
      </ddeItem>
      <ddeItem name="006208.TW-TotalVolume" advise="1">
        <values>
          <value>
            <val>2665</val>
          </value>
        </values>
      </ddeItem>
      <ddeItem name="006208.TW-Volume" advise="1">
        <values>
          <value>
            <val>81</val>
          </value>
        </values>
      </ddeItem>
      <ddeItem name="00637L.TW-Ask" advise="1">
        <values>
          <value>
            <val>13.66</val>
          </value>
        </values>
      </ddeItem>
      <ddeItem name="00637L.TW-BestAskSize" advise="1">
        <values>
          <value>
            <val>216</val>
          </value>
        </values>
      </ddeItem>
      <ddeItem name="00637L.TW-BestBidSize" advise="1">
        <values>
          <value>
            <val>712</val>
          </value>
        </values>
      </ddeItem>
      <ddeItem name="00637L.TW-Beta" advise="1">
        <values>
          <value t="str">
            <val>--</val>
          </value>
        </values>
      </ddeItem>
      <ddeItem name="00637L.TW-Bid" advise="1">
        <values>
          <value>
            <val>13.65</val>
          </value>
        </values>
      </ddeItem>
      <ddeItem name="00637L.TW-Capital" advise="1">
        <values>
          <value t="str">
            <val>--</val>
          </value>
        </values>
      </ddeItem>
      <ddeItem name="00637L.TW-CashDividend" advise="1">
        <values>
          <value t="str">
            <val>--</val>
          </value>
        </values>
      </ddeItem>
      <ddeItem name="00637L.TW-CashDividendYieldRate" advise="1">
        <values>
          <value>
            <val>0</val>
          </value>
        </values>
      </ddeItem>
      <ddeItem name="00637L.TW-ChipsField25" advise="1">
        <values>
          <value t="str">
            <val>--</val>
          </value>
        </values>
      </ddeItem>
      <ddeItem name="00637L.TW-ChipsField26" advise="1">
        <values>
          <value t="str">
            <val>--</val>
          </value>
        </values>
      </ddeItem>
      <ddeItem name="00637L.TW-ChipsField27" advise="1">
        <values>
          <value t="str">
            <val>--</val>
          </value>
        </values>
      </ddeItem>
      <ddeItem name="00637L.TW-CurrentRatio" advise="1">
        <values>
          <value t="str">
            <val>--</val>
          </value>
        </values>
      </ddeItem>
      <ddeItem name="00637L.TW-High" advise="1">
        <values>
          <value>
            <val>13.87</val>
          </value>
        </values>
      </ddeItem>
      <ddeItem name="00637L.TW-ID" advise="1">
        <values>
          <value t="str">
            <val>00637L</val>
          </value>
        </values>
      </ddeItem>
      <ddeItem name="00637L.TW-InventoryTurnoverRatio" advise="1">
        <values>
          <value t="str">
            <val>--</val>
          </value>
        </values>
      </ddeItem>
      <ddeItem name="00637L.TW-LiabilityRatio" advise="1">
        <values>
          <value t="str">
            <val>--</val>
          </value>
        </values>
      </ddeItem>
      <ddeItem name="00637L.TW-Low" advise="1">
        <values>
          <value>
            <val>13.56</val>
          </value>
        </values>
      </ddeItem>
      <ddeItem name="00637L.TW-ManagementPercent" advise="1">
        <values>
          <value>
            <val>1.88</val>
          </value>
        </values>
      </ddeItem>
      <ddeItem name="00637L.TW-MarketValue" advise="1">
        <values>
          <value t="str">
            <val>--</val>
          </value>
        </values>
      </ddeItem>
      <ddeItem name="00637L.TW-Name" advise="1">
        <values>
          <value t="str">
            <val>元大滬深300正2</val>
          </value>
        </values>
      </ddeItem>
      <ddeItem name="00637L.TW-NetProfitMargin" advise="1">
        <values>
          <value t="str">
            <val>--</val>
          </value>
        </values>
      </ddeItem>
      <ddeItem name="00637L.TW-Open" advise="1">
        <values>
          <value>
            <val>13.83</val>
          </value>
        </values>
      </ddeItem>
      <ddeItem name="00637L.TW-OperatingProfitRatio" advise="1">
        <values>
          <value t="str">
            <val>--</val>
          </value>
        </values>
      </ddeItem>
      <ddeItem name="00637L.TW-PBRatio" advise="1">
        <values>
          <value t="str">
            <val>--</val>
          </value>
        </values>
      </ddeItem>
      <ddeItem name="00637L.TW-PERatio" advise="1">
        <values>
          <value t="str">
            <val>--</val>
          </value>
        </values>
      </ddeItem>
      <ddeItem name="00637L.TW-Price" advise="1">
        <values>
          <value>
            <val>13.65</val>
          </value>
        </values>
      </ddeItem>
      <ddeItem name="00637L.TW-PriceChange" advise="1">
        <values>
          <value>
            <val>-0.22</val>
          </value>
        </values>
      </ddeItem>
      <ddeItem name="00637L.TW-PriceChangeRatio" advise="1">
        <values>
          <value>
            <val>-1.59</val>
          </value>
        </values>
      </ddeItem>
      <ddeItem name="00637L.TW-Profit" advise="1">
        <values>
          <value t="str">
            <val>--</val>
          </value>
        </values>
      </ddeItem>
      <ddeItem name="00637L.TW-ProfitMargin" advise="1">
        <values>
          <value t="str">
            <val>--</val>
          </value>
        </values>
      </ddeItem>
      <ddeItem name="00637L.TW-QuickRatio" advise="1">
        <values>
          <value t="str">
            <val>--</val>
          </value>
        </values>
      </ddeItem>
      <ddeItem name="00637L.TW-ReceivablesTurnoverRatio" advise="1">
        <values>
          <value t="str">
            <val>--</val>
          </value>
        </values>
      </ddeItem>
      <ddeItem name="00637L.TW-ReturnOnAssets" advise="1">
        <values>
          <value t="str">
            <val>--</val>
          </value>
        </values>
      </ddeItem>
      <ddeItem name="00637L.TW-ROE" advise="1">
        <values>
          <value t="str">
            <val>--</val>
          </value>
        </values>
      </ddeItem>
      <ddeItem name="00637L.TW-StockDividend" advise="1">
        <values>
          <value t="str">
            <val>--</val>
          </value>
        </values>
      </ddeItem>
      <ddeItem name="00637L.TW-StockNetValue" advise="1">
        <values>
          <value t="str">
            <val>--</val>
          </value>
        </values>
      </ddeItem>
      <ddeItem name="00637L.TW-TimesInterestEarne" advise="1">
        <values>
          <value t="str">
            <val>--</val>
          </value>
        </values>
      </ddeItem>
      <ddeItem name="00637L.TW-TotalVolume" advise="1">
        <values>
          <value>
            <val>87986</val>
          </value>
        </values>
      </ddeItem>
      <ddeItem name="00637L.TW-Volume" advise="1">
        <values>
          <value>
            <val>2026</val>
          </value>
        </values>
      </ddeItem>
      <ddeItem name="00646.TW-Ask" advise="1">
        <values>
          <value>
            <val>40.86</val>
          </value>
        </values>
      </ddeItem>
      <ddeItem name="00646.TW-BestAskSize" advise="1">
        <values>
          <value>
            <val>2</val>
          </value>
        </values>
      </ddeItem>
      <ddeItem name="00646.TW-BestBidSize" advise="1">
        <values>
          <value>
            <val>6</val>
          </value>
        </values>
      </ddeItem>
      <ddeItem name="00646.TW-Beta" advise="1">
        <values>
          <value t="str">
            <val>--</val>
          </value>
        </values>
      </ddeItem>
      <ddeItem name="00646.TW-Bid" advise="1">
        <values>
          <value>
            <val>40.85</val>
          </value>
        </values>
      </ddeItem>
      <ddeItem name="00646.TW-Capital" advise="1">
        <values>
          <value t="str">
            <val>--</val>
          </value>
        </values>
      </ddeItem>
      <ddeItem name="00646.TW-CashDividend" advise="1">
        <values>
          <value t="str">
            <val>--</val>
          </value>
        </values>
      </ddeItem>
      <ddeItem name="00646.TW-CashDividendYieldRate" advise="1">
        <values>
          <value>
            <val>0</val>
          </value>
        </values>
      </ddeItem>
      <ddeItem name="00646.TW-ChipsField25" advise="1">
        <values>
          <value t="str">
            <val>--</val>
          </value>
        </values>
      </ddeItem>
      <ddeItem name="00646.TW-ChipsField26" advise="1">
        <values>
          <value t="str">
            <val>--</val>
          </value>
        </values>
      </ddeItem>
      <ddeItem name="00646.TW-ChipsField27" advise="1">
        <values>
          <value t="str">
            <val>--</val>
          </value>
        </values>
      </ddeItem>
      <ddeItem name="00646.TW-CurrentRatio" advise="1">
        <values>
          <value t="str">
            <val>--</val>
          </value>
        </values>
      </ddeItem>
      <ddeItem name="00646.TW-High" advise="1">
        <values>
          <value>
            <val>40.869999999999997</val>
          </value>
        </values>
      </ddeItem>
      <ddeItem name="00646.TW-ID" advise="1">
        <values>
          <value t="str">
            <val>00646</val>
          </value>
        </values>
      </ddeItem>
      <ddeItem name="00646.TW-InventoryTurnoverRatio" advise="1">
        <values>
          <value t="str">
            <val>--</val>
          </value>
        </values>
      </ddeItem>
      <ddeItem name="00646.TW-LiabilityRatio" advise="1">
        <values>
          <value t="str">
            <val>--</val>
          </value>
        </values>
      </ddeItem>
      <ddeItem name="00646.TW-Low" advise="1">
        <values>
          <value>
            <val>40.81</val>
          </value>
        </values>
      </ddeItem>
      <ddeItem name="00646.TW-ManagementPercent" advise="1">
        <values>
          <value>
            <val>0.45</val>
          </value>
        </values>
      </ddeItem>
      <ddeItem name="00646.TW-MarketValue" advise="1">
        <values>
          <value t="str">
            <val>--</val>
          </value>
        </values>
      </ddeItem>
      <ddeItem name="00646.TW-Name" advise="1">
        <values>
          <value t="str">
            <val>元大S＆P500</val>
          </value>
        </values>
      </ddeItem>
      <ddeItem name="00646.TW-NetProfitMargin" advise="1">
        <values>
          <value t="str">
            <val>--</val>
          </value>
        </values>
      </ddeItem>
      <ddeItem name="00646.TW-Open" advise="1">
        <values>
          <value>
            <val>40.840000000000003</val>
          </value>
        </values>
      </ddeItem>
      <ddeItem name="00646.TW-OperatingProfitRatio" advise="1">
        <values>
          <value t="str">
            <val>--</val>
          </value>
        </values>
      </ddeItem>
      <ddeItem name="00646.TW-PBRatio" advise="1">
        <values>
          <value t="str">
            <val>--</val>
          </value>
        </values>
      </ddeItem>
      <ddeItem name="00646.TW-PERatio" advise="1">
        <values>
          <value t="str">
            <val>--</val>
          </value>
        </values>
      </ddeItem>
      <ddeItem name="00646.TW-Price" advise="1">
        <values>
          <value>
            <val>40.86</val>
          </value>
        </values>
      </ddeItem>
      <ddeItem name="00646.TW-PriceChange" advise="1">
        <values>
          <value>
            <val>0.02</val>
          </value>
        </values>
      </ddeItem>
      <ddeItem name="00646.TW-PriceChangeRatio" advise="1">
        <values>
          <value>
            <val>0.05</val>
          </value>
        </values>
      </ddeItem>
      <ddeItem name="00646.TW-Profit" advise="1">
        <values>
          <value t="str">
            <val>--</val>
          </value>
        </values>
      </ddeItem>
      <ddeItem name="00646.TW-ProfitMargin" advise="1">
        <values>
          <value t="str">
            <val>--</val>
          </value>
        </values>
      </ddeItem>
      <ddeItem name="00646.TW-QuickRatio" advise="1">
        <values>
          <value t="str">
            <val>--</val>
          </value>
        </values>
      </ddeItem>
      <ddeItem name="00646.TW-ReceivablesTurnoverRatio" advise="1">
        <values>
          <value t="str">
            <val>--</val>
          </value>
        </values>
      </ddeItem>
      <ddeItem name="00646.TW-ReturnOnAssets" advise="1">
        <values>
          <value t="str">
            <val>--</val>
          </value>
        </values>
      </ddeItem>
      <ddeItem name="00646.TW-ROE" advise="1">
        <values>
          <value t="str">
            <val>--</val>
          </value>
        </values>
      </ddeItem>
      <ddeItem name="00646.TW-StockDividend" advise="1">
        <values>
          <value t="str">
            <val>--</val>
          </value>
        </values>
      </ddeItem>
      <ddeItem name="00646.TW-StockNetValue" advise="1">
        <values>
          <value t="str">
            <val>--</val>
          </value>
        </values>
      </ddeItem>
      <ddeItem name="00646.TW-TimesInterestEarne" advise="1">
        <values>
          <value t="str">
            <val>--</val>
          </value>
        </values>
      </ddeItem>
      <ddeItem name="00646.TW-TotalVolume" advise="1">
        <values>
          <value>
            <val>231</val>
          </value>
        </values>
      </ddeItem>
      <ddeItem name="00646.TW-Volume" advise="1">
        <values>
          <value>
            <val>3</val>
          </value>
        </values>
      </ddeItem>
      <ddeItem name="00679B.TW-Ask" advise="1">
        <values>
          <value>
            <val>31.44</val>
          </value>
        </values>
      </ddeItem>
      <ddeItem name="00679B.TW-BestAskSize" advise="1">
        <values>
          <value>
            <val>1039</val>
          </value>
        </values>
      </ddeItem>
      <ddeItem name="00679B.TW-BestBidSize" advise="1">
        <values>
          <value>
            <val>211</val>
          </value>
        </values>
      </ddeItem>
      <ddeItem name="00679B.TW-Beta" advise="1">
        <values>
          <value t="str">
            <val>--</val>
          </value>
        </values>
      </ddeItem>
      <ddeItem name="00679B.TW-Bid" advise="1">
        <values>
          <value>
            <val>31.43</val>
          </value>
        </values>
      </ddeItem>
      <ddeItem name="00679B.TW-Capital" advise="1">
        <values>
          <value t="str">
            <val>--</val>
          </value>
        </values>
      </ddeItem>
      <ddeItem name="00679B.TW-CashDividend" advise="1">
        <values>
          <value t="str">
            <val>0.29</val>
          </value>
        </values>
      </ddeItem>
      <ddeItem name="00679B.TW-CashDividendYieldRate" advise="1">
        <values>
          <value>
            <val>3.88</val>
          </value>
        </values>
      </ddeItem>
      <ddeItem name="00679B.TW-ChipsField25" advise="1">
        <values>
          <value t="str">
            <val>2023/05/17</val>
          </value>
        </values>
      </ddeItem>
      <ddeItem name="00679B.TW-ChipsField26" advise="1">
        <values>
          <value t="str">
            <val>2023/06/12</val>
          </value>
        </values>
      </ddeItem>
      <ddeItem name="00679B.TW-ChipsField27" advise="1">
        <values>
          <value t="str">
            <val>--</val>
          </value>
        </values>
      </ddeItem>
      <ddeItem name="00679B.TW-CurrentRatio" advise="1">
        <values>
          <value t="str">
            <val>--</val>
          </value>
        </values>
      </ddeItem>
      <ddeItem name="00679B.TW-High" advise="1">
        <values>
          <value>
            <val>31.48</val>
          </value>
        </values>
      </ddeItem>
      <ddeItem name="00679B.TW-ID" advise="1">
        <values>
          <value t="str">
            <val>00679B</val>
          </value>
        </values>
      </ddeItem>
      <ddeItem name="00679B.TW-InventoryTurnoverRatio" advise="1">
        <values>
          <value t="str">
            <val>--</val>
          </value>
        </values>
      </ddeItem>
      <ddeItem name="00679B.TW-LiabilityRatio" advise="1">
        <values>
          <value t="str">
            <val>--</val>
          </value>
        </values>
      </ddeItem>
      <ddeItem name="00679B.TW-Low" advise="1">
        <values>
          <value>
            <val>31.35</val>
          </value>
        </values>
      </ddeItem>
      <ddeItem name="00679B.TW-ManagementPercent" advise="1">
        <values>
          <value>
            <val>0.22</val>
          </value>
        </values>
      </ddeItem>
      <ddeItem name="00679B.TW-MarketValue" advise="1">
        <values>
          <value t="str">
            <val>--</val>
          </value>
        </values>
      </ddeItem>
      <ddeItem name="00679B.TW-Name" advise="1">
        <values>
          <value t="str">
            <val>元大美債20年</val>
          </value>
        </values>
      </ddeItem>
      <ddeItem name="00679B.TW-NetProfitMargin" advise="1">
        <values>
          <value t="str">
            <val>--</val>
          </value>
        </values>
      </ddeItem>
      <ddeItem name="00679B.TW-Open" advise="1">
        <values>
          <value>
            <val>31.35</val>
          </value>
        </values>
      </ddeItem>
      <ddeItem name="00679B.TW-OperatingProfitRatio" advise="1">
        <values>
          <value t="str">
            <val>--</val>
          </value>
        </values>
      </ddeItem>
      <ddeItem name="00679B.TW-PBRatio" advise="1">
        <values>
          <value t="str">
            <val>--</val>
          </value>
        </values>
      </ddeItem>
      <ddeItem name="00679B.TW-PERatio" advise="1">
        <values>
          <value t="str">
            <val>--</val>
          </value>
        </values>
      </ddeItem>
      <ddeItem name="00679B.TW-Price" advise="1">
        <values>
          <value>
            <val>31.43</val>
          </value>
        </values>
      </ddeItem>
      <ddeItem name="00679B.TW-PriceChange" advise="1">
        <values>
          <value>
            <val>0.24</val>
          </value>
        </values>
      </ddeItem>
      <ddeItem name="00679B.TW-PriceChangeRatio" advise="1">
        <values>
          <value>
            <val>0.77</val>
          </value>
        </values>
      </ddeItem>
      <ddeItem name="00679B.TW-Profit" advise="1">
        <values>
          <value t="str">
            <val>--</val>
          </value>
        </values>
      </ddeItem>
      <ddeItem name="00679B.TW-ProfitMargin" advise="1">
        <values>
          <value t="str">
            <val>--</val>
          </value>
        </values>
      </ddeItem>
      <ddeItem name="00679B.TW-QuickRatio" advise="1">
        <values>
          <value t="str">
            <val>--</val>
          </value>
        </values>
      </ddeItem>
      <ddeItem name="00679B.TW-ReceivablesTurnoverRatio" advise="1">
        <values>
          <value t="str">
            <val>--</val>
          </value>
        </values>
      </ddeItem>
      <ddeItem name="00679B.TW-ReturnOnAssets" advise="1">
        <values>
          <value t="str">
            <val>--</val>
          </value>
        </values>
      </ddeItem>
      <ddeItem name="00679B.TW-ROE" advise="1">
        <values>
          <value t="str">
            <val>--</val>
          </value>
        </values>
      </ddeItem>
      <ddeItem name="00679B.TW-StockDividend" advise="1">
        <values>
          <value t="str">
            <val>--</val>
          </value>
        </values>
      </ddeItem>
      <ddeItem name="00679B.TW-StockNetValue" advise="1">
        <values>
          <value t="str">
            <val>--</val>
          </value>
        </values>
      </ddeItem>
      <ddeItem name="00679B.TW-TimesInterestEarne" advise="1">
        <values>
          <value t="str">
            <val>--</val>
          </value>
        </values>
      </ddeItem>
      <ddeItem name="00679B.TW-TotalVolume" advise="1">
        <values>
          <value>
            <val>43822</val>
          </value>
        </values>
      </ddeItem>
      <ddeItem name="00679B.TW-Volume" advise="1">
        <values>
          <value>
            <val>1078</val>
          </value>
        </values>
      </ddeItem>
      <ddeItem name="00690.TW-Ask" advise="1">
        <values>
          <value>
            <val>27.52</val>
          </value>
        </values>
      </ddeItem>
      <ddeItem name="00690.TW-BestAskSize" advise="1">
        <values>
          <value>
            <val>15</val>
          </value>
        </values>
      </ddeItem>
      <ddeItem name="00690.TW-BestBidSize" advise="1">
        <values>
          <value>
            <val>13</val>
          </value>
        </values>
      </ddeItem>
      <ddeItem name="00690.TW-Beta" advise="1">
        <values>
          <value t="str">
            <val>--</val>
          </value>
        </values>
      </ddeItem>
      <ddeItem name="00690.TW-Bid" advise="1">
        <values>
          <value>
            <val>27.5</val>
          </value>
        </values>
      </ddeItem>
      <ddeItem name="00690.TW-Capital" advise="1">
        <values>
          <value t="str">
            <val>--</val>
          </value>
        </values>
      </ddeItem>
      <ddeItem name="00690.TW-CashDividend" advise="1">
        <values>
          <value t="str">
            <val>1.50</val>
          </value>
        </values>
      </ddeItem>
      <ddeItem name="00690.TW-CashDividendYieldRate" advise="1">
        <values>
          <value>
            <val>14.18</val>
          </value>
        </values>
      </ddeItem>
      <ddeItem name="00690.TW-ChipsField25" advise="1">
        <values>
          <value t="str">
            <val>2023/05/22</val>
          </value>
        </values>
      </ddeItem>
      <ddeItem name="00690.TW-ChipsField26" advise="1">
        <values>
          <value t="str">
            <val>2023/06/14</val>
          </value>
        </values>
      </ddeItem>
      <ddeItem name="00690.TW-ChipsField27" advise="1">
        <values>
          <value t="str">
            <val>--</val>
          </value>
        </values>
      </ddeItem>
      <ddeItem name="00690.TW-CurrentRatio" advise="1">
        <values>
          <value t="str">
            <val>--</val>
          </value>
        </values>
      </ddeItem>
      <ddeItem name="00690.TW-High" advise="1">
        <values>
          <value>
            <val>27.55</val>
          </value>
        </values>
      </ddeItem>
      <ddeItem name="00690.TW-ID" advise="1">
        <values>
          <value t="str">
            <val>00690</val>
          </value>
        </values>
      </ddeItem>
      <ddeItem name="00690.TW-InventoryTurnoverRatio" advise="1">
        <values>
          <value t="str">
            <val>--</val>
          </value>
        </values>
      </ddeItem>
      <ddeItem name="00690.TW-LiabilityRatio" advise="1">
        <values>
          <value t="str">
            <val>--</val>
          </value>
        </values>
      </ddeItem>
      <ddeItem name="00690.TW-Low" advise="1">
        <values>
          <value>
            <val>27.18</val>
          </value>
        </values>
      </ddeItem>
      <ddeItem name="00690.TW-ManagementPercent" advise="1">
        <values>
          <value>
            <val>0.63</val>
          </value>
        </values>
      </ddeItem>
      <ddeItem name="00690.TW-MarketValue" advise="1">
        <values>
          <value t="str">
            <val>--</val>
          </value>
        </values>
      </ddeItem>
      <ddeItem name="00690.TW-Name" advise="1">
        <values>
          <value t="str">
            <val>兆豐藍籌30</val>
          </value>
        </values>
      </ddeItem>
      <ddeItem name="00690.TW-NetProfitMargin" advise="1">
        <values>
          <value t="str">
            <val>--</val>
          </value>
        </values>
      </ddeItem>
      <ddeItem name="00690.TW-Open" advise="1">
        <values>
          <value>
            <val>27.18</val>
          </value>
        </values>
      </ddeItem>
      <ddeItem name="00690.TW-OperatingProfitRatio" advise="1">
        <values>
          <value t="str">
            <val>--</val>
          </value>
        </values>
      </ddeItem>
      <ddeItem name="00690.TW-PBRatio" advise="1">
        <values>
          <value t="str">
            <val>--</val>
          </value>
        </values>
      </ddeItem>
      <ddeItem name="00690.TW-PERatio" advise="1">
        <values>
          <value t="str">
            <val>--</val>
          </value>
        </values>
      </ddeItem>
      <ddeItem name="00690.TW-Price" advise="1">
        <values>
          <value>
            <val>27.5</val>
          </value>
        </values>
      </ddeItem>
      <ddeItem name="00690.TW-PriceChange" advise="1">
        <values>
          <value>
            <val>0.41</val>
          </value>
        </values>
      </ddeItem>
      <ddeItem name="00690.TW-PriceChangeRatio" advise="1">
        <values>
          <value>
            <val>1.51</val>
          </value>
        </values>
      </ddeItem>
      <ddeItem name="00690.TW-Profit" advise="1">
        <values>
          <value t="str">
            <val>--</val>
          </value>
        </values>
      </ddeItem>
      <ddeItem name="00690.TW-ProfitMargin" advise="1">
        <values>
          <value t="str">
            <val>--</val>
          </value>
        </values>
      </ddeItem>
      <ddeItem name="00690.TW-QuickRatio" advise="1">
        <values>
          <value t="str">
            <val>--</val>
          </value>
        </values>
      </ddeItem>
      <ddeItem name="00690.TW-ReceivablesTurnoverRatio" advise="1">
        <values>
          <value t="str">
            <val>--</val>
          </value>
        </values>
      </ddeItem>
      <ddeItem name="00690.TW-ReturnOnAssets" advise="1">
        <values>
          <value t="str">
            <val>--</val>
          </value>
        </values>
      </ddeItem>
      <ddeItem name="00690.TW-ROE" advise="1">
        <values>
          <value t="str">
            <val>--</val>
          </value>
        </values>
      </ddeItem>
      <ddeItem name="00690.TW-StockDividend" advise="1">
        <values>
          <value t="str">
            <val>--</val>
          </value>
        </values>
      </ddeItem>
      <ddeItem name="00690.TW-StockNetValue" advise="1">
        <values>
          <value t="str">
            <val>--</val>
          </value>
        </values>
      </ddeItem>
      <ddeItem name="00690.TW-TimesInterestEarne" advise="1">
        <values>
          <value t="str">
            <val>--</val>
          </value>
        </values>
      </ddeItem>
      <ddeItem name="00690.TW-TotalVolume" advise="1">
        <values>
          <value>
            <val>2330</val>
          </value>
        </values>
      </ddeItem>
      <ddeItem name="00690.TW-Volume" advise="1">
        <values>
          <value>
            <val>11</val>
          </value>
        </values>
      </ddeItem>
      <ddeItem name="00692.TW-Ask" advise="1">
        <values>
          <value>
            <val>32.06</val>
          </value>
        </values>
      </ddeItem>
      <ddeItem name="00692.TW-BestAskSize" advise="1">
        <values>
          <value>
            <val>9</val>
          </value>
        </values>
      </ddeItem>
      <ddeItem name="00692.TW-BestBidSize" advise="1">
        <values>
          <value>
            <val>51</val>
          </value>
        </values>
      </ddeItem>
      <ddeItem name="00692.TW-Beta" advise="1">
        <values>
          <value t="str">
            <val>--</val>
          </value>
        </values>
      </ddeItem>
      <ddeItem name="00692.TW-Bid" advise="1">
        <values>
          <value>
            <val>32.049999999999997</val>
          </value>
        </values>
      </ddeItem>
      <ddeItem name="00692.TW-Capital" advise="1">
        <values>
          <value t="str">
            <val>--</val>
          </value>
        </values>
      </ddeItem>
      <ddeItem name="00692.TW-CashDividend" advise="1">
        <values>
          <value t="str">
            <val>0.55</val>
          </value>
        </values>
      </ddeItem>
      <ddeItem name="00692.TW-CashDividendYieldRate" advise="1">
        <values>
          <value>
            <val>6.33</val>
          </value>
        </values>
      </ddeItem>
      <ddeItem name="00692.TW-ChipsField25" advise="1">
        <values>
          <value t="str">
            <val>2022/11/16</val>
          </value>
        </values>
      </ddeItem>
      <ddeItem name="00692.TW-ChipsField26" advise="1">
        <values>
          <value t="str">
            <val>2022/12/19</val>
          </value>
        </values>
      </ddeItem>
      <ddeItem name="00692.TW-ChipsField27" advise="1">
        <values>
          <value t="str">
            <val>--</val>
          </value>
        </values>
      </ddeItem>
      <ddeItem name="00692.TW-CurrentRatio" advise="1">
        <values>
          <value t="str">
            <val>--</val>
          </value>
        </values>
      </ddeItem>
      <ddeItem name="00692.TW-High" advise="1">
        <values>
          <value>
            <val>32.049999999999997</val>
          </value>
        </values>
      </ddeItem>
      <ddeItem name="00692.TW-ID" advise="1">
        <values>
          <value t="str">
            <val>00692</val>
          </value>
        </values>
      </ddeItem>
      <ddeItem name="00692.TW-InventoryTurnoverRatio" advise="1">
        <values>
          <value t="str">
            <val>--</val>
          </value>
        </values>
      </ddeItem>
      <ddeItem name="00692.TW-LiabilityRatio" advise="1">
        <values>
          <value t="str">
            <val>--</val>
          </value>
        </values>
      </ddeItem>
      <ddeItem name="00692.TW-Low" advise="1">
        <values>
          <value>
            <val>31.82</val>
          </value>
        </values>
      </ddeItem>
      <ddeItem name="00692.TW-ManagementPercent" advise="1">
        <values>
          <value>
            <val>0.35</val>
          </value>
        </values>
      </ddeItem>
      <ddeItem name="00692.TW-MarketValue" advise="1">
        <values>
          <value t="str">
            <val>--</val>
          </value>
        </values>
      </ddeItem>
      <ddeItem name="00692.TW-Name" advise="1">
        <values>
          <value t="str">
            <val>富邦公司治理</val>
          </value>
        </values>
      </ddeItem>
      <ddeItem name="00692.TW-NetProfitMargin" advise="1">
        <values>
          <value t="str">
            <val>--</val>
          </value>
        </values>
      </ddeItem>
      <ddeItem name="00692.TW-Open" advise="1">
        <values>
          <value>
            <val>31.84</val>
          </value>
        </values>
      </ddeItem>
      <ddeItem name="00692.TW-OperatingProfitRatio" advise="1">
        <values>
          <value t="str">
            <val>--</val>
          </value>
        </values>
      </ddeItem>
      <ddeItem name="00692.TW-PBRatio" advise="1">
        <values>
          <value t="str">
            <val>--</val>
          </value>
        </values>
      </ddeItem>
      <ddeItem name="00692.TW-PERatio" advise="1">
        <values>
          <value t="str">
            <val>--</val>
          </value>
        </values>
      </ddeItem>
      <ddeItem name="00692.TW-Price" advise="1">
        <values>
          <value>
            <val>32.049999999999997</val>
          </value>
        </values>
      </ddeItem>
      <ddeItem name="00692.TW-PriceChange" advise="1">
        <values>
          <value>
            <val>0.25</val>
          </value>
        </values>
      </ddeItem>
      <ddeItem name="00692.TW-PriceChangeRatio" advise="1">
        <values>
          <value>
            <val>0.79</val>
          </value>
        </values>
      </ddeItem>
      <ddeItem name="00692.TW-Profit" advise="1">
        <values>
          <value t="str">
            <val>--</val>
          </value>
        </values>
      </ddeItem>
      <ddeItem name="00692.TW-ProfitMargin" advise="1">
        <values>
          <value t="str">
            <val>--</val>
          </value>
        </values>
      </ddeItem>
      <ddeItem name="00692.TW-QuickRatio" advise="1">
        <values>
          <value t="str">
            <val>--</val>
          </value>
        </values>
      </ddeItem>
      <ddeItem name="00692.TW-ReceivablesTurnoverRatio" advise="1">
        <values>
          <value t="str">
            <val>--</val>
          </value>
        </values>
      </ddeItem>
      <ddeItem name="00692.TW-ReturnOnAssets" advise="1">
        <values>
          <value t="str">
            <val>--</val>
          </value>
        </values>
      </ddeItem>
      <ddeItem name="00692.TW-ROE" advise="1">
        <values>
          <value t="str">
            <val>--</val>
          </value>
        </values>
      </ddeItem>
      <ddeItem name="00692.TW-StockDividend" advise="1">
        <values>
          <value t="str">
            <val>--</val>
          </value>
        </values>
      </ddeItem>
      <ddeItem name="00692.TW-StockNetValue" advise="1">
        <values>
          <value t="str">
            <val>--</val>
          </value>
        </values>
      </ddeItem>
      <ddeItem name="00692.TW-TimesInterestEarne" advise="1">
        <values>
          <value t="str">
            <val>--</val>
          </value>
        </values>
      </ddeItem>
      <ddeItem name="00692.TW-TotalVolume" advise="1">
        <values>
          <value>
            <val>2736</val>
          </value>
        </values>
      </ddeItem>
      <ddeItem name="00692.TW-Volume" advise="1">
        <values>
          <value>
            <val>111</val>
          </value>
        </values>
      </ddeItem>
      <ddeItem name="00701.TW-Ask" advise="1">
        <values>
          <value>
            <val>24.53</val>
          </value>
        </values>
      </ddeItem>
      <ddeItem name="00701.TW-BestAskSize" advise="1">
        <values>
          <value>
            <val>11</val>
          </value>
        </values>
      </ddeItem>
      <ddeItem name="00701.TW-BestBidSize" advise="1">
        <values>
          <value>
            <val>2</val>
          </value>
        </values>
      </ddeItem>
      <ddeItem name="00701.TW-Beta" advise="1">
        <values>
          <value t="str">
            <val>--</val>
          </value>
        </values>
      </ddeItem>
      <ddeItem name="00701.TW-Bid" advise="1">
        <values>
          <value>
            <val>24.52</val>
          </value>
        </values>
      </ddeItem>
      <ddeItem name="00701.TW-Capital" advise="1">
        <values>
          <value t="str">
            <val>--</val>
          </value>
        </values>
      </ddeItem>
      <ddeItem name="00701.TW-CashDividend" advise="1">
        <values>
          <value t="str">
            <val>0.66</val>
          </value>
        </values>
      </ddeItem>
      <ddeItem name="00701.TW-CashDividendYieldRate" advise="1">
        <values>
          <value>
            <val>3.71</val>
          </value>
        </values>
      </ddeItem>
      <ddeItem name="00701.TW-ChipsField25" advise="1">
        <values>
          <value t="str">
            <val>2023/01/30</val>
          </value>
        </values>
      </ddeItem>
      <ddeItem name="00701.TW-ChipsField26" advise="1">
        <values>
          <value t="str">
            <val>2023/03/02</val>
          </value>
        </values>
      </ddeItem>
      <ddeItem name="00701.TW-ChipsField27" advise="1">
        <values>
          <value t="str">
            <val>--</val>
          </value>
        </values>
      </ddeItem>
      <ddeItem name="00701.TW-CurrentRatio" advise="1">
        <values>
          <value t="str">
            <val>--</val>
          </value>
        </values>
      </ddeItem>
      <ddeItem name="00701.TW-High" advise="1">
        <values>
          <value>
            <val>24.54</val>
          </value>
        </values>
      </ddeItem>
      <ddeItem name="00701.TW-ID" advise="1">
        <values>
          <value t="str">
            <val>00701</val>
          </value>
        </values>
      </ddeItem>
      <ddeItem name="00701.TW-InventoryTurnoverRatio" advise="1">
        <values>
          <value t="str">
            <val>--</val>
          </value>
        </values>
      </ddeItem>
      <ddeItem name="00701.TW-LiabilityRatio" advise="1">
        <values>
          <value t="str">
            <val>--</val>
          </value>
        </values>
      </ddeItem>
      <ddeItem name="00701.TW-Low" advise="1">
        <values>
          <value>
            <val>24.39</val>
          </value>
        </values>
      </ddeItem>
      <ddeItem name="00701.TW-ManagementPercent" advise="1">
        <values>
          <value>
            <val>0.64</val>
          </value>
        </values>
      </ddeItem>
      <ddeItem name="00701.TW-MarketValue" advise="1">
        <values>
          <value t="str">
            <val>--</val>
          </value>
        </values>
      </ddeItem>
      <ddeItem name="00701.TW-Name" advise="1">
        <values>
          <value t="str">
            <val>國泰股利精選30</val>
          </value>
        </values>
      </ddeItem>
      <ddeItem name="00701.TW-NetProfitMargin" advise="1">
        <values>
          <value t="str">
            <val>--</val>
          </value>
        </values>
      </ddeItem>
      <ddeItem name="00701.TW-Open" advise="1">
        <values>
          <value>
            <val>24.39</val>
          </value>
        </values>
      </ddeItem>
      <ddeItem name="00701.TW-OperatingProfitRatio" advise="1">
        <values>
          <value t="str">
            <val>--</val>
          </value>
        </values>
      </ddeItem>
      <ddeItem name="00701.TW-PBRatio" advise="1">
        <values>
          <value t="str">
            <val>--</val>
          </value>
        </values>
      </ddeItem>
      <ddeItem name="00701.TW-PERatio" advise="1">
        <values>
          <value t="str">
            <val>--</val>
          </value>
        </values>
      </ddeItem>
      <ddeItem name="00701.TW-Price" advise="1">
        <values>
          <value>
            <val>24.52</val>
          </value>
        </values>
      </ddeItem>
      <ddeItem name="00701.TW-PriceChange" advise="1">
        <values>
          <value>
            <val>0.16</val>
          </value>
        </values>
      </ddeItem>
      <ddeItem name="00701.TW-PriceChangeRatio" advise="1">
        <values>
          <value>
            <val>0.66</val>
          </value>
        </values>
      </ddeItem>
      <ddeItem name="00701.TW-Profit" advise="1">
        <values>
          <value t="str">
            <val>--</val>
          </value>
        </values>
      </ddeItem>
      <ddeItem name="00701.TW-ProfitMargin" advise="1">
        <values>
          <value t="str">
            <val>--</val>
          </value>
        </values>
      </ddeItem>
      <ddeItem name="00701.TW-QuickRatio" advise="1">
        <values>
          <value t="str">
            <val>--</val>
          </value>
        </values>
      </ddeItem>
      <ddeItem name="00701.TW-ReceivablesTurnoverRatio" advise="1">
        <values>
          <value t="str">
            <val>--</val>
          </value>
        </values>
      </ddeItem>
      <ddeItem name="00701.TW-ReturnOnAssets" advise="1">
        <values>
          <value t="str">
            <val>--</val>
          </value>
        </values>
      </ddeItem>
      <ddeItem name="00701.TW-ROE" advise="1">
        <values>
          <value t="str">
            <val>--</val>
          </value>
        </values>
      </ddeItem>
      <ddeItem name="00701.TW-StockDividend" advise="1">
        <values>
          <value t="str">
            <val>--</val>
          </value>
        </values>
      </ddeItem>
      <ddeItem name="00701.TW-StockNetValue" advise="1">
        <values>
          <value t="str">
            <val>--</val>
          </value>
        </values>
      </ddeItem>
      <ddeItem name="00701.TW-TimesInterestEarne" advise="1">
        <values>
          <value t="str">
            <val>--</val>
          </value>
        </values>
      </ddeItem>
      <ddeItem name="00701.TW-TotalVolume" advise="1">
        <values>
          <value>
            <val>845</val>
          </value>
        </values>
      </ddeItem>
      <ddeItem name="00701.TW-Volume" advise="1">
        <values>
          <value>
            <val>3</val>
          </value>
        </values>
      </ddeItem>
      <ddeItem name="00708L.TW-Ask" advise="1">
        <values>
          <value>
            <val>27.11</val>
          </value>
        </values>
      </ddeItem>
      <ddeItem name="00708L.TW-BestAskSize" advise="1">
        <values>
          <value>
            <val>7</val>
          </value>
        </values>
      </ddeItem>
      <ddeItem name="00708L.TW-BestBidSize" advise="1">
        <values>
          <value>
            <val>55</val>
          </value>
        </values>
      </ddeItem>
      <ddeItem name="00708L.TW-Beta" advise="1">
        <values>
          <value t="str">
            <val>--</val>
          </value>
        </values>
      </ddeItem>
      <ddeItem name="00708L.TW-Bid" advise="1">
        <values>
          <value>
            <val>27.1</val>
          </value>
        </values>
      </ddeItem>
      <ddeItem name="00708L.TW-Capital" advise="1">
        <values>
          <value t="str">
            <val>--</val>
          </value>
        </values>
      </ddeItem>
      <ddeItem name="00708L.TW-CashDividend" advise="1">
        <values>
          <value t="str">
            <val>--</val>
          </value>
        </values>
      </ddeItem>
      <ddeItem name="00708L.TW-CashDividendYieldRate" advise="1">
        <values>
          <value>
            <val>0</val>
          </value>
        </values>
      </ddeItem>
      <ddeItem name="00708L.TW-ChipsField25" advise="1">
        <values>
          <value t="str">
            <val>--</val>
          </value>
        </values>
      </ddeItem>
      <ddeItem name="00708L.TW-ChipsField26" advise="1">
        <values>
          <value t="str">
            <val>--</val>
          </value>
        </values>
      </ddeItem>
      <ddeItem name="00708L.TW-ChipsField27" advise="1">
        <values>
          <value t="str">
            <val>--</val>
          </value>
        </values>
      </ddeItem>
      <ddeItem name="00708L.TW-CurrentRatio" advise="1">
        <values>
          <value t="str">
            <val>--</val>
          </value>
        </values>
      </ddeItem>
      <ddeItem name="00708L.TW-High" advise="1">
        <values>
          <value>
            <val>27.2</val>
          </value>
        </values>
      </ddeItem>
      <ddeItem name="00708L.TW-ID" advise="1">
        <values>
          <value t="str">
            <val>00708L</val>
          </value>
        </values>
      </ddeItem>
      <ddeItem name="00708L.TW-InventoryTurnoverRatio" advise="1">
        <values>
          <value t="str">
            <val>--</val>
          </value>
        </values>
      </ddeItem>
      <ddeItem name="00708L.TW-LiabilityRatio" advise="1">
        <values>
          <value t="str">
            <val>--</val>
          </value>
        </values>
      </ddeItem>
      <ddeItem name="00708L.TW-Low" advise="1">
        <values>
          <value>
            <val>27.11</val>
          </value>
        </values>
      </ddeItem>
      <ddeItem name="00708L.TW-ManagementPercent" advise="1">
        <values>
          <value t="str">
            <val>--</val>
          </value>
        </values>
      </ddeItem>
      <ddeItem name="00708L.TW-MarketValue" advise="1">
        <values>
          <value t="str">
            <val>--</val>
          </value>
        </values>
      </ddeItem>
      <ddeItem name="00708L.TW-Name" advise="1">
        <values>
          <value t="str">
            <val>期元大S＆P黃金正2</val>
          </value>
        </values>
      </ddeItem>
      <ddeItem name="00708L.TW-NetProfitMargin" advise="1">
        <values>
          <value t="str">
            <val>--</val>
          </value>
        </values>
      </ddeItem>
      <ddeItem name="00708L.TW-Open" advise="1">
        <values>
          <value>
            <val>27.17</val>
          </value>
        </values>
      </ddeItem>
      <ddeItem name="00708L.TW-OperatingProfitRatio" advise="1">
        <values>
          <value t="str">
            <val>--</val>
          </value>
        </values>
      </ddeItem>
      <ddeItem name="00708L.TW-PBRatio" advise="1">
        <values>
          <value t="str">
            <val>--</val>
          </value>
        </values>
      </ddeItem>
      <ddeItem name="00708L.TW-PERatio" advise="1">
        <values>
          <value t="str">
            <val>--</val>
          </value>
        </values>
      </ddeItem>
      <ddeItem name="00708L.TW-Price" advise="1">
        <values>
          <value>
            <val>27.11</val>
          </value>
        </values>
      </ddeItem>
      <ddeItem name="00708L.TW-PriceChange" advise="1">
        <values>
          <value>
            <val>7.0000000000000007E-2</val>
          </value>
        </values>
      </ddeItem>
      <ddeItem name="00708L.TW-PriceChangeRatio" advise="1">
        <values>
          <value>
            <val>0.26</val>
          </value>
        </values>
      </ddeItem>
      <ddeItem name="00708L.TW-Profit" advise="1">
        <values>
          <value t="str">
            <val>--</val>
          </value>
        </values>
      </ddeItem>
      <ddeItem name="00708L.TW-ProfitMargin" advise="1">
        <values>
          <value t="str">
            <val>--</val>
          </value>
        </values>
      </ddeItem>
      <ddeItem name="00708L.TW-QuickRatio" advise="1">
        <values>
          <value t="str">
            <val>--</val>
          </value>
        </values>
      </ddeItem>
      <ddeItem name="00708L.TW-ReceivablesTurnoverRatio" advise="1">
        <values>
          <value t="str">
            <val>--</val>
          </value>
        </values>
      </ddeItem>
      <ddeItem name="00708L.TW-ReturnOnAssets" advise="1">
        <values>
          <value t="str">
            <val>--</val>
          </value>
        </values>
      </ddeItem>
      <ddeItem name="00708L.TW-ROE" advise="1">
        <values>
          <value t="str">
            <val>--</val>
          </value>
        </values>
      </ddeItem>
      <ddeItem name="00708L.TW-StockDividend" advise="1">
        <values>
          <value t="str">
            <val>--</val>
          </value>
        </values>
      </ddeItem>
      <ddeItem name="00708L.TW-StockNetValue" advise="1">
        <values>
          <value t="str">
            <val>--</val>
          </value>
        </values>
      </ddeItem>
      <ddeItem name="00708L.TW-TimesInterestEarne" advise="1">
        <values>
          <value t="str">
            <val>--</val>
          </value>
        </values>
      </ddeItem>
      <ddeItem name="00708L.TW-TotalVolume" advise="1">
        <values>
          <value>
            <val>450</val>
          </value>
        </values>
      </ddeItem>
      <ddeItem name="00708L.TW-Volume" advise="1">
        <values>
          <value>
            <val>3</val>
          </value>
        </values>
      </ddeItem>
      <ddeItem name="00712.TW-Ask" advise="1">
        <values>
          <value>
            <val>9.51</val>
          </value>
        </values>
      </ddeItem>
      <ddeItem name="00712.TW-BestAskSize" advise="1">
        <values>
          <value>
            <val>2013</val>
          </value>
        </values>
      </ddeItem>
      <ddeItem name="00712.TW-BestBidSize" advise="1">
        <values>
          <value>
            <val>120</val>
          </value>
        </values>
      </ddeItem>
      <ddeItem name="00712.TW-Beta" advise="1">
        <values>
          <value t="str">
            <val>--</val>
          </value>
        </values>
      </ddeItem>
      <ddeItem name="00712.TW-Bid" advise="1">
        <values>
          <value>
            <val>9.5</val>
          </value>
        </values>
      </ddeItem>
      <ddeItem name="00712.TW-Capital" advise="1">
        <values>
          <value t="str">
            <val>--</val>
          </value>
        </values>
      </ddeItem>
      <ddeItem name="00712.TW-CashDividend" advise="1">
        <values>
          <value t="str">
            <val>0.27</val>
          </value>
        </values>
      </ddeItem>
      <ddeItem name="00712.TW-CashDividendYieldRate" advise="1">
        <values>
          <value>
            <val>10.210000000000001</val>
          </value>
        </values>
      </ddeItem>
      <ddeItem name="00712.TW-ChipsField25" advise="1">
        <values>
          <value t="str">
            <val>2023/06/20</val>
          </value>
        </values>
      </ddeItem>
      <ddeItem name="00712.TW-ChipsField26" advise="1">
        <values>
          <value t="str">
            <val>2023/07/14</val>
          </value>
        </values>
      </ddeItem>
      <ddeItem name="00712.TW-ChipsField27" advise="1">
        <values>
          <value t="str">
            <val>--</val>
          </value>
        </values>
      </ddeItem>
      <ddeItem name="00712.TW-CurrentRatio" advise="1">
        <values>
          <value t="str">
            <val>--</val>
          </value>
        </values>
      </ddeItem>
      <ddeItem name="00712.TW-High" advise="1">
        <values>
          <value>
            <val>9.51</val>
          </value>
        </values>
      </ddeItem>
      <ddeItem name="00712.TW-ID" advise="1">
        <values>
          <value t="str">
            <val>00712</val>
          </value>
        </values>
      </ddeItem>
      <ddeItem name="00712.TW-InventoryTurnoverRatio" advise="1">
        <values>
          <value t="str">
            <val>--</val>
          </value>
        </values>
      </ddeItem>
      <ddeItem name="00712.TW-LiabilityRatio" advise="1">
        <values>
          <value t="str">
            <val>--</val>
          </value>
        </values>
      </ddeItem>
      <ddeItem name="00712.TW-Low" advise="1">
        <values>
          <value>
            <val>9.4600000000000009</val>
          </value>
        </values>
      </ddeItem>
      <ddeItem name="00712.TW-ManagementPercent" advise="1">
        <values>
          <value>
            <val>3.47</val>
          </value>
        </values>
      </ddeItem>
      <ddeItem name="00712.TW-MarketValue" advise="1">
        <values>
          <value t="str">
            <val>--</val>
          </value>
        </values>
      </ddeItem>
      <ddeItem name="00712.TW-Name" advise="1">
        <values>
          <value t="str">
            <val>復華富時不動產</val>
          </value>
        </values>
      </ddeItem>
      <ddeItem name="00712.TW-NetProfitMargin" advise="1">
        <values>
          <value t="str">
            <val>--</val>
          </value>
        </values>
      </ddeItem>
      <ddeItem name="00712.TW-Open" advise="1">
        <values>
          <value>
            <val>9.4600000000000009</val>
          </value>
        </values>
      </ddeItem>
      <ddeItem name="00712.TW-OperatingProfitRatio" advise="1">
        <values>
          <value t="str">
            <val>--</val>
          </value>
        </values>
      </ddeItem>
      <ddeItem name="00712.TW-PBRatio" advise="1">
        <values>
          <value t="str">
            <val>--</val>
          </value>
        </values>
      </ddeItem>
      <ddeItem name="00712.TW-PERatio" advise="1">
        <values>
          <value t="str">
            <val>--</val>
          </value>
        </values>
      </ddeItem>
      <ddeItem name="00712.TW-Price" advise="1">
        <values>
          <value>
            <val>9.5</val>
          </value>
        </values>
      </ddeItem>
      <ddeItem name="00712.TW-PriceChange" advise="1">
        <values>
          <value>
            <val>0.19</val>
          </value>
        </values>
      </ddeItem>
      <ddeItem name="00712.TW-PriceChangeRatio" advise="1">
        <values>
          <value>
            <val>2.04</val>
          </value>
        </values>
      </ddeItem>
      <ddeItem name="00712.TW-Profit" advise="1">
        <values>
          <value t="str">
            <val>--</val>
          </value>
        </values>
      </ddeItem>
      <ddeItem name="00712.TW-ProfitMargin" advise="1">
        <values>
          <value t="str">
            <val>--</val>
          </value>
        </values>
      </ddeItem>
      <ddeItem name="00712.TW-QuickRatio" advise="1">
        <values>
          <value t="str">
            <val>--</val>
          </value>
        </values>
      </ddeItem>
      <ddeItem name="00712.TW-ReceivablesTurnoverRatio" advise="1">
        <values>
          <value t="str">
            <val>--</val>
          </value>
        </values>
      </ddeItem>
      <ddeItem name="00712.TW-ReturnOnAssets" advise="1">
        <values>
          <value t="str">
            <val>--</val>
          </value>
        </values>
      </ddeItem>
      <ddeItem name="00712.TW-ROE" advise="1">
        <values>
          <value t="str">
            <val>--</val>
          </value>
        </values>
      </ddeItem>
      <ddeItem name="00712.TW-StockDividend" advise="1">
        <values>
          <value t="str">
            <val>--</val>
          </value>
        </values>
      </ddeItem>
      <ddeItem name="00712.TW-StockNetValue" advise="1">
        <values>
          <value t="str">
            <val>--</val>
          </value>
        </values>
      </ddeItem>
      <ddeItem name="00712.TW-TimesInterestEarne" advise="1">
        <values>
          <value t="str">
            <val>--</val>
          </value>
        </values>
      </ddeItem>
      <ddeItem name="00712.TW-TotalVolume" advise="1">
        <values>
          <value>
            <val>41145</val>
          </value>
        </values>
      </ddeItem>
      <ddeItem name="00712.TW-Volume" advise="1">
        <values>
          <value>
            <val>921</val>
          </value>
        </values>
      </ddeItem>
      <ddeItem name="00713.TW-Ask" advise="1">
        <values>
          <value>
            <val>45.07</val>
          </value>
        </values>
      </ddeItem>
      <ddeItem name="00713.TW-BestAskSize" advise="1">
        <values>
          <value>
            <val>3</val>
          </value>
        </values>
      </ddeItem>
      <ddeItem name="00713.TW-BestBidSize" advise="1">
        <values>
          <value>
            <val>27</val>
          </value>
        </values>
      </ddeItem>
      <ddeItem name="00713.TW-Beta" advise="1">
        <values>
          <value t="str">
            <val>--</val>
          </value>
        </values>
      </ddeItem>
      <ddeItem name="00713.TW-Bid" advise="1">
        <values>
          <value>
            <val>45.06</val>
          </value>
        </values>
      </ddeItem>
      <ddeItem name="00713.TW-Capital" advise="1">
        <values>
          <value t="str">
            <val>--</val>
          </value>
        </values>
      </ddeItem>
      <ddeItem name="00713.TW-CashDividend" advise="1">
        <values>
          <value t="str">
            <val>0.68</val>
          </value>
        </values>
      </ddeItem>
      <ddeItem name="00713.TW-CashDividendYieldRate" advise="1">
        <values>
          <value>
            <val>9.4499999999999993</val>
          </value>
        </values>
      </ddeItem>
      <ddeItem name="00713.TW-ChipsField25" advise="1">
        <values>
          <value t="str">
            <val>2023/06/16</val>
          </value>
        </values>
      </ddeItem>
      <ddeItem name="00713.TW-ChipsField26" advise="1">
        <values>
          <value t="str">
            <val>2023/07/14</val>
          </value>
        </values>
      </ddeItem>
      <ddeItem name="00713.TW-ChipsField27" advise="1">
        <values>
          <value t="str">
            <val>--</val>
          </value>
        </values>
      </ddeItem>
      <ddeItem name="00713.TW-CurrentRatio" advise="1">
        <values>
          <value t="str">
            <val>--</val>
          </value>
        </values>
      </ddeItem>
      <ddeItem name="00713.TW-High" advise="1">
        <values>
          <value>
            <val>45.1</val>
          </value>
        </values>
      </ddeItem>
      <ddeItem name="00713.TW-ID" advise="1">
        <values>
          <value t="str">
            <val>00713</val>
          </value>
        </values>
      </ddeItem>
      <ddeItem name="00713.TW-InventoryTurnoverRatio" advise="1">
        <values>
          <value t="str">
            <val>--</val>
          </value>
        </values>
      </ddeItem>
      <ddeItem name="00713.TW-LiabilityRatio" advise="1">
        <values>
          <value t="str">
            <val>--</val>
          </value>
        </values>
      </ddeItem>
      <ddeItem name="00713.TW-Low" advise="1">
        <values>
          <value>
            <val>44.95</val>
          </value>
        </values>
      </ddeItem>
      <ddeItem name="00713.TW-ManagementPercent" advise="1">
        <values>
          <value>
            <val>0.62</val>
          </value>
        </values>
      </ddeItem>
      <ddeItem name="00713.TW-MarketValue" advise="1">
        <values>
          <value t="str">
            <val>--</val>
          </value>
        </values>
      </ddeItem>
      <ddeItem name="00713.TW-Name" advise="1">
        <values>
          <value t="str">
            <val>元大台灣高息低波</val>
          </value>
        </values>
      </ddeItem>
      <ddeItem name="00713.TW-NetProfitMargin" advise="1">
        <values>
          <value t="str">
            <val>--</val>
          </value>
        </values>
      </ddeItem>
      <ddeItem name="00713.TW-Open" advise="1">
        <values>
          <value>
            <val>44.99</val>
          </value>
        </values>
      </ddeItem>
      <ddeItem name="00713.TW-OperatingProfitRatio" advise="1">
        <values>
          <value t="str">
            <val>--</val>
          </value>
        </values>
      </ddeItem>
      <ddeItem name="00713.TW-PBRatio" advise="1">
        <values>
          <value t="str">
            <val>--</val>
          </value>
        </values>
      </ddeItem>
      <ddeItem name="00713.TW-PERatio" advise="1">
        <values>
          <value t="str">
            <val>--</val>
          </value>
        </values>
      </ddeItem>
      <ddeItem name="00713.TW-Price" advise="1">
        <values>
          <value>
            <val>45.06</val>
          </value>
        </values>
      </ddeItem>
      <ddeItem name="00713.TW-PriceChange" advise="1">
        <values>
          <value>
            <val>0.18</val>
          </value>
        </values>
      </ddeItem>
      <ddeItem name="00713.TW-PriceChangeRatio" advise="1">
        <values>
          <value>
            <val>0.4</val>
          </value>
        </values>
      </ddeItem>
      <ddeItem name="00713.TW-Profit" advise="1">
        <values>
          <value t="str">
            <val>--</val>
          </value>
        </values>
      </ddeItem>
      <ddeItem name="00713.TW-ProfitMargin" advise="1">
        <values>
          <value t="str">
            <val>--</val>
          </value>
        </values>
      </ddeItem>
      <ddeItem name="00713.TW-QuickRatio" advise="1">
        <values>
          <value t="str">
            <val>--</val>
          </value>
        </values>
      </ddeItem>
      <ddeItem name="00713.TW-ReceivablesTurnoverRatio" advise="1">
        <values>
          <value t="str">
            <val>--</val>
          </value>
        </values>
      </ddeItem>
      <ddeItem name="00713.TW-ReturnOnAssets" advise="1">
        <values>
          <value t="str">
            <val>--</val>
          </value>
        </values>
      </ddeItem>
      <ddeItem name="00713.TW-ROE" advise="1">
        <values>
          <value t="str">
            <val>--</val>
          </value>
        </values>
      </ddeItem>
      <ddeItem name="00713.TW-StockDividend" advise="1">
        <values>
          <value t="str">
            <val>--</val>
          </value>
        </values>
      </ddeItem>
      <ddeItem name="00713.TW-StockNetValue" advise="1">
        <values>
          <value t="str">
            <val>--</val>
          </value>
        </values>
      </ddeItem>
      <ddeItem name="00713.TW-TimesInterestEarne" advise="1">
        <values>
          <value t="str">
            <val>--</val>
          </value>
        </values>
      </ddeItem>
      <ddeItem name="00713.TW-TotalVolume" advise="1">
        <values>
          <value>
            <val>8188</val>
          </value>
        </values>
      </ddeItem>
      <ddeItem name="00713.TW-Volume" advise="1">
        <values>
          <value>
            <val>69</val>
          </value>
        </values>
      </ddeItem>
      <ddeItem name="00728.TW-Ask" advise="1">
        <values>
          <value>
            <val>24.58</val>
          </value>
        </values>
      </ddeItem>
      <ddeItem name="00728.TW-BestAskSize" advise="1">
        <values>
          <value>
            <val>2</val>
          </value>
        </values>
      </ddeItem>
      <ddeItem name="00728.TW-BestBidSize" advise="1">
        <values>
          <value>
            <val>35</val>
          </value>
        </values>
      </ddeItem>
      <ddeItem name="00728.TW-Beta" advise="1">
        <values>
          <value t="str">
            <val>--</val>
          </value>
        </values>
      </ddeItem>
      <ddeItem name="00728.TW-Bid" advise="1">
        <values>
          <value>
            <val>24.56</val>
          </value>
        </values>
      </ddeItem>
      <ddeItem name="00728.TW-Capital" advise="1">
        <values>
          <value t="str">
            <val>--</val>
          </value>
        </values>
      </ddeItem>
      <ddeItem name="00728.TW-CashDividend" advise="1">
        <values>
          <value t="str">
            <val>0.93</val>
          </value>
        </values>
      </ddeItem>
      <ddeItem name="00728.TW-CashDividendYieldRate" advise="1">
        <values>
          <value>
            <val>3.79</val>
          </value>
        </values>
      </ddeItem>
      <ddeItem name="00728.TW-ChipsField25" advise="1">
        <values>
          <value t="str">
            <val>2023/02/01</val>
          </value>
        </values>
      </ddeItem>
      <ddeItem name="00728.TW-ChipsField26" advise="1">
        <values>
          <value t="str">
            <val>2023/03/06</val>
          </value>
        </values>
      </ddeItem>
      <ddeItem name="00728.TW-ChipsField27" advise="1">
        <values>
          <value t="str">
            <val>--</val>
          </value>
        </values>
      </ddeItem>
      <ddeItem name="00728.TW-CurrentRatio" advise="1">
        <values>
          <value t="str">
            <val>--</val>
          </value>
        </values>
      </ddeItem>
      <ddeItem name="00728.TW-High" advise="1">
        <values>
          <value>
            <val>24.57</val>
          </value>
        </values>
      </ddeItem>
      <ddeItem name="00728.TW-ID" advise="1">
        <values>
          <value t="str">
            <val>00728</val>
          </value>
        </values>
      </ddeItem>
      <ddeItem name="00728.TW-InventoryTurnoverRatio" advise="1">
        <values>
          <value t="str">
            <val>--</val>
          </value>
        </values>
      </ddeItem>
      <ddeItem name="00728.TW-LiabilityRatio" advise="1">
        <values>
          <value t="str">
            <val>--</val>
          </value>
        </values>
      </ddeItem>
      <ddeItem name="00728.TW-Low" advise="1">
        <values>
          <value>
            <val>24.41</val>
          </value>
        </values>
      </ddeItem>
      <ddeItem name="00728.TW-ManagementPercent" advise="1">
        <values>
          <value>
            <val>0.56000000000000005</val>
          </value>
        </values>
      </ddeItem>
      <ddeItem name="00728.TW-MarketValue" advise="1">
        <values>
          <value t="str">
            <val>--</val>
          </value>
        </values>
      </ddeItem>
      <ddeItem name="00728.TW-Name" advise="1">
        <values>
          <value t="str">
            <val>第一金工業30</val>
          </value>
        </values>
      </ddeItem>
      <ddeItem name="00728.TW-NetProfitMargin" advise="1">
        <values>
          <value t="str">
            <val>--</val>
          </value>
        </values>
      </ddeItem>
      <ddeItem name="00728.TW-Open" advise="1">
        <values>
          <value>
            <val>24.41</val>
          </value>
        </values>
      </ddeItem>
      <ddeItem name="00728.TW-OperatingProfitRatio" advise="1">
        <values>
          <value t="str">
            <val>--</val>
          </value>
        </values>
      </ddeItem>
      <ddeItem name="00728.TW-PBRatio" advise="1">
        <values>
          <value t="str">
            <val>--</val>
          </value>
        </values>
      </ddeItem>
      <ddeItem name="00728.TW-PERatio" advise="1">
        <values>
          <value t="str">
            <val>--</val>
          </value>
        </values>
      </ddeItem>
      <ddeItem name="00728.TW-Price" advise="1">
        <values>
          <value>
            <val>24.56</val>
          </value>
        </values>
      </ddeItem>
      <ddeItem name="00728.TW-PriceChange" advise="1">
        <values>
          <value>
            <val>0.17</val>
          </value>
        </values>
      </ddeItem>
      <ddeItem name="00728.TW-PriceChangeRatio" advise="1">
        <values>
          <value>
            <val>0.7</val>
          </value>
        </values>
      </ddeItem>
      <ddeItem name="00728.TW-Profit" advise="1">
        <values>
          <value t="str">
            <val>--</val>
          </value>
        </values>
      </ddeItem>
      <ddeItem name="00728.TW-ProfitMargin" advise="1">
        <values>
          <value t="str">
            <val>--</val>
          </value>
        </values>
      </ddeItem>
      <ddeItem name="00728.TW-QuickRatio" advise="1">
        <values>
          <value t="str">
            <val>--</val>
          </value>
        </values>
      </ddeItem>
      <ddeItem name="00728.TW-ReceivablesTurnoverRatio" advise="1">
        <values>
          <value t="str">
            <val>--</val>
          </value>
        </values>
      </ddeItem>
      <ddeItem name="00728.TW-ReturnOnAssets" advise="1">
        <values>
          <value t="str">
            <val>--</val>
          </value>
        </values>
      </ddeItem>
      <ddeItem name="00728.TW-ROE" advise="1">
        <values>
          <value t="str">
            <val>--</val>
          </value>
        </values>
      </ddeItem>
      <ddeItem name="00728.TW-StockDividend" advise="1">
        <values>
          <value t="str">
            <val>--</val>
          </value>
        </values>
      </ddeItem>
      <ddeItem name="00728.TW-StockNetValue" advise="1">
        <values>
          <value t="str">
            <val>--</val>
          </value>
        </values>
      </ddeItem>
      <ddeItem name="00728.TW-TimesInterestEarne" advise="1">
        <values>
          <value t="str">
            <val>--</val>
          </value>
        </values>
      </ddeItem>
      <ddeItem name="00728.TW-TotalVolume" advise="1">
        <values>
          <value>
            <val>909</val>
          </value>
        </values>
      </ddeItem>
      <ddeItem name="00728.TW-Volume" advise="1">
        <values>
          <value>
            <val>5</val>
          </value>
        </values>
      </ddeItem>
      <ddeItem name="00730.TW-Ask" advise="1">
        <values>
          <value>
            <val>18.989999999999998</val>
          </value>
        </values>
      </ddeItem>
      <ddeItem name="00730.TW-BestAskSize" advise="1">
        <values>
          <value>
            <val>7</val>
          </value>
        </values>
      </ddeItem>
      <ddeItem name="00730.TW-BestBidSize" advise="1">
        <values>
          <value>
            <val>5</val>
          </value>
        </values>
      </ddeItem>
      <ddeItem name="00730.TW-Beta" advise="1">
        <values>
          <value t="str">
            <val>--</val>
          </value>
        </values>
      </ddeItem>
      <ddeItem name="00730.TW-Bid" advise="1">
        <values>
          <value>
            <val>18.98</val>
          </value>
        </values>
      </ddeItem>
      <ddeItem name="00730.TW-Capital" advise="1">
        <values>
          <value t="str">
            <val>--</val>
          </value>
        </values>
      </ddeItem>
      <ddeItem name="00730.TW-CashDividend" advise="1">
        <values>
          <value t="str">
            <val>1.08</val>
          </value>
        </values>
      </ddeItem>
      <ddeItem name="00730.TW-CashDividendYieldRate" advise="1">
        <values>
          <value>
            <val>5.69</val>
          </value>
        </values>
      </ddeItem>
      <ddeItem name="00730.TW-ChipsField25" advise="1">
        <values>
          <value t="str">
            <val>2022/10/19</val>
          </value>
        </values>
      </ddeItem>
      <ddeItem name="00730.TW-ChipsField26" advise="1">
        <values>
          <value t="str">
            <val>2022/11/21</val>
          </value>
        </values>
      </ddeItem>
      <ddeItem name="00730.TW-ChipsField27" advise="1">
        <values>
          <value t="str">
            <val>--</val>
          </value>
        </values>
      </ddeItem>
      <ddeItem name="00730.TW-CurrentRatio" advise="1">
        <values>
          <value t="str">
            <val>--</val>
          </value>
        </values>
      </ddeItem>
      <ddeItem name="00730.TW-High" advise="1">
        <values>
          <value>
            <val>19.02</val>
          </value>
        </values>
      </ddeItem>
      <ddeItem name="00730.TW-ID" advise="1">
        <values>
          <value t="str">
            <val>00730</val>
          </value>
        </values>
      </ddeItem>
      <ddeItem name="00730.TW-InventoryTurnoverRatio" advise="1">
        <values>
          <value t="str">
            <val>--</val>
          </value>
        </values>
      </ddeItem>
      <ddeItem name="00730.TW-LiabilityRatio" advise="1">
        <values>
          <value t="str">
            <val>--</val>
          </value>
        </values>
      </ddeItem>
      <ddeItem name="00730.TW-Low" advise="1">
        <values>
          <value>
            <val>18.89</val>
          </value>
        </values>
      </ddeItem>
      <ddeItem name="00730.TW-ManagementPercent" advise="1">
        <values>
          <value>
            <val>0.77</val>
          </value>
        </values>
      </ddeItem>
      <ddeItem name="00730.TW-MarketValue" advise="1">
        <values>
          <value t="str">
            <val>--</val>
          </value>
        </values>
      </ddeItem>
      <ddeItem name="00730.TW-Name" advise="1">
        <values>
          <value t="str">
            <val>富邦臺灣優質高息</val>
          </value>
        </values>
      </ddeItem>
      <ddeItem name="00730.TW-NetProfitMargin" advise="1">
        <values>
          <value t="str">
            <val>--</val>
          </value>
        </values>
      </ddeItem>
      <ddeItem name="00730.TW-Open" advise="1">
        <values>
          <value>
            <val>18.89</val>
          </value>
        </values>
      </ddeItem>
      <ddeItem name="00730.TW-OperatingProfitRatio" advise="1">
        <values>
          <value t="str">
            <val>--</val>
          </value>
        </values>
      </ddeItem>
      <ddeItem name="00730.TW-PBRatio" advise="1">
        <values>
          <value t="str">
            <val>--</val>
          </value>
        </values>
      </ddeItem>
      <ddeItem name="00730.TW-PERatio" advise="1">
        <values>
          <value t="str">
            <val>--</val>
          </value>
        </values>
      </ddeItem>
      <ddeItem name="00730.TW-Price" advise="1">
        <values>
          <value>
            <val>18.989999999999998</val>
          </value>
        </values>
      </ddeItem>
      <ddeItem name="00730.TW-PriceChange" advise="1">
        <values>
          <value>
            <val>0.16</val>
          </value>
        </values>
      </ddeItem>
      <ddeItem name="00730.TW-PriceChangeRatio" advise="1">
        <values>
          <value>
            <val>0.85</val>
          </value>
        </values>
      </ddeItem>
      <ddeItem name="00730.TW-Profit" advise="1">
        <values>
          <value t="str">
            <val>--</val>
          </value>
        </values>
      </ddeItem>
      <ddeItem name="00730.TW-ProfitMargin" advise="1">
        <values>
          <value t="str">
            <val>--</val>
          </value>
        </values>
      </ddeItem>
      <ddeItem name="00730.TW-QuickRatio" advise="1">
        <values>
          <value t="str">
            <val>--</val>
          </value>
        </values>
      </ddeItem>
      <ddeItem name="00730.TW-ReceivablesTurnoverRatio" advise="1">
        <values>
          <value t="str">
            <val>--</val>
          </value>
        </values>
      </ddeItem>
      <ddeItem name="00730.TW-ReturnOnAssets" advise="1">
        <values>
          <value t="str">
            <val>--</val>
          </value>
        </values>
      </ddeItem>
      <ddeItem name="00730.TW-ROE" advise="1">
        <values>
          <value t="str">
            <val>--</val>
          </value>
        </values>
      </ddeItem>
      <ddeItem name="00730.TW-StockDividend" advise="1">
        <values>
          <value t="str">
            <val>--</val>
          </value>
        </values>
      </ddeItem>
      <ddeItem name="00730.TW-StockNetValue" advise="1">
        <values>
          <value t="str">
            <val>--</val>
          </value>
        </values>
      </ddeItem>
      <ddeItem name="00730.TW-TimesInterestEarne" advise="1">
        <values>
          <value t="str">
            <val>--</val>
          </value>
        </values>
      </ddeItem>
      <ddeItem name="00730.TW-TotalVolume" advise="1">
        <values>
          <value>
            <val>823</val>
          </value>
        </values>
      </ddeItem>
      <ddeItem name="00730.TW-Volume" advise="1">
        <values>
          <value>
            <val>2</val>
          </value>
        </values>
      </ddeItem>
      <ddeItem name="00731.TW-Ask" advise="1">
        <values>
          <value>
            <val>62.2</val>
          </value>
        </values>
      </ddeItem>
      <ddeItem name="00731.TW-BestAskSize" advise="1">
        <values>
          <value>
            <val>145</val>
          </value>
        </values>
      </ddeItem>
      <ddeItem name="00731.TW-BestBidSize" advise="1">
        <values>
          <value>
            <val>15</val>
          </value>
        </values>
      </ddeItem>
      <ddeItem name="00731.TW-Beta" advise="1">
        <values>
          <value t="str">
            <val>--</val>
          </value>
        </values>
      </ddeItem>
      <ddeItem name="00731.TW-Bid" advise="1">
        <values>
          <value>
            <val>62.15</val>
          </value>
        </values>
      </ddeItem>
      <ddeItem name="00731.TW-Capital" advise="1">
        <values>
          <value t="str">
            <val>--</val>
          </value>
        </values>
      </ddeItem>
      <ddeItem name="00731.TW-CashDividend" advise="1">
        <values>
          <value t="str">
            <val>2.80</val>
          </value>
        </values>
      </ddeItem>
      <ddeItem name="00731.TW-CashDividendYieldRate" advise="1">
        <values>
          <value>
            <val>4.51</val>
          </value>
        </values>
      </ddeItem>
      <ddeItem name="00731.TW-ChipsField25" advise="1">
        <values>
          <value t="str">
            <val>2022/11/17</val>
          </value>
        </values>
      </ddeItem>
      <ddeItem name="00731.TW-ChipsField26" advise="1">
        <values>
          <value t="str">
            <val>2022/12/14</val>
          </value>
        </values>
      </ddeItem>
      <ddeItem name="00731.TW-ChipsField27" advise="1">
        <values>
          <value t="str">
            <val>--</val>
          </value>
        </values>
      </ddeItem>
      <ddeItem name="00731.TW-CurrentRatio" advise="1">
        <values>
          <value t="str">
            <val>--</val>
          </value>
        </values>
      </ddeItem>
      <ddeItem name="00731.TW-High" advise="1">
        <values>
          <value>
            <val>62.15</val>
          </value>
        </values>
      </ddeItem>
      <ddeItem name="00731.TW-ID" advise="1">
        <values>
          <value t="str">
            <val>00731</val>
          </value>
        </values>
      </ddeItem>
      <ddeItem name="00731.TW-InventoryTurnoverRatio" advise="1">
        <values>
          <value t="str">
            <val>--</val>
          </value>
        </values>
      </ddeItem>
      <ddeItem name="00731.TW-LiabilityRatio" advise="1">
        <values>
          <value t="str">
            <val>--</val>
          </value>
        </values>
      </ddeItem>
      <ddeItem name="00731.TW-Low" advise="1">
        <values>
          <value>
            <val>61.6</val>
          </value>
        </values>
      </ddeItem>
      <ddeItem name="00731.TW-ManagementPercent" advise="1">
        <values>
          <value>
            <val>0.98</val>
          </value>
        </values>
      </ddeItem>
      <ddeItem name="00731.TW-MarketValue" advise="1">
        <values>
          <value t="str">
            <val>--</val>
          </value>
        </values>
      </ddeItem>
      <ddeItem name="00731.TW-Name" advise="1">
        <values>
          <value t="str">
            <val>復華富時高息低波</val>
          </value>
        </values>
      </ddeItem>
      <ddeItem name="00731.TW-NetProfitMargin" advise="1">
        <values>
          <value t="str">
            <val>--</val>
          </value>
        </values>
      </ddeItem>
      <ddeItem name="00731.TW-Open" advise="1">
        <values>
          <value>
            <val>61.6</val>
          </value>
        </values>
      </ddeItem>
      <ddeItem name="00731.TW-OperatingProfitRatio" advise="1">
        <values>
          <value t="str">
            <val>--</val>
          </value>
        </values>
      </ddeItem>
      <ddeItem name="00731.TW-PBRatio" advise="1">
        <values>
          <value t="str">
            <val>--</val>
          </value>
        </values>
      </ddeItem>
      <ddeItem name="00731.TW-PERatio" advise="1">
        <values>
          <value t="str">
            <val>--</val>
          </value>
        </values>
      </ddeItem>
      <ddeItem name="00731.TW-Price" advise="1">
        <values>
          <value>
            <val>62.15</val>
          </value>
        </values>
      </ddeItem>
      <ddeItem name="00731.TW-PriceChange" advise="1">
        <values>
          <value>
            <val>0.55000000000000004</val>
          </value>
        </values>
      </ddeItem>
      <ddeItem name="00731.TW-PriceChangeRatio" advise="1">
        <values>
          <value>
            <val>0.89</val>
          </value>
        </values>
      </ddeItem>
      <ddeItem name="00731.TW-Profit" advise="1">
        <values>
          <value t="str">
            <val>--</val>
          </value>
        </values>
      </ddeItem>
      <ddeItem name="00731.TW-ProfitMargin" advise="1">
        <values>
          <value t="str">
            <val>--</val>
          </value>
        </values>
      </ddeItem>
      <ddeItem name="00731.TW-QuickRatio" advise="1">
        <values>
          <value t="str">
            <val>--</val>
          </value>
        </values>
      </ddeItem>
      <ddeItem name="00731.TW-ReceivablesTurnoverRatio" advise="1">
        <values>
          <value t="str">
            <val>--</val>
          </value>
        </values>
      </ddeItem>
      <ddeItem name="00731.TW-ReturnOnAssets" advise="1">
        <values>
          <value t="str">
            <val>--</val>
          </value>
        </values>
      </ddeItem>
      <ddeItem name="00731.TW-ROE" advise="1">
        <values>
          <value t="str">
            <val>--</val>
          </value>
        </values>
      </ddeItem>
      <ddeItem name="00731.TW-StockDividend" advise="1">
        <values>
          <value t="str">
            <val>--</val>
          </value>
        </values>
      </ddeItem>
      <ddeItem name="00731.TW-StockNetValue" advise="1">
        <values>
          <value t="str">
            <val>--</val>
          </value>
        </values>
      </ddeItem>
      <ddeItem name="00731.TW-TimesInterestEarne" advise="1">
        <values>
          <value t="str">
            <val>--</val>
          </value>
        </values>
      </ddeItem>
      <ddeItem name="00731.TW-TotalVolume" advise="1">
        <values>
          <value>
            <val>1114</val>
          </value>
        </values>
      </ddeItem>
      <ddeItem name="00731.TW-Volume" advise="1">
        <values>
          <value>
            <val>2</val>
          </value>
        </values>
      </ddeItem>
      <ddeItem name="00733.TW-Ask" advise="1">
        <values>
          <value>
            <val>45.23</val>
          </value>
        </values>
      </ddeItem>
      <ddeItem name="00733.TW-BestAskSize" advise="1">
        <values>
          <value>
            <val>7</val>
          </value>
        </values>
      </ddeItem>
      <ddeItem name="00733.TW-BestBidSize" advise="1">
        <values>
          <value>
            <val>1</val>
          </value>
        </values>
      </ddeItem>
      <ddeItem name="00733.TW-Beta" advise="1">
        <values>
          <value t="str">
            <val>--</val>
          </value>
        </values>
      </ddeItem>
      <ddeItem name="00733.TW-Bid" advise="1">
        <values>
          <value>
            <val>45.2</val>
          </value>
        </values>
      </ddeItem>
      <ddeItem name="00733.TW-Capital" advise="1">
        <values>
          <value t="str">
            <val>--</val>
          </value>
        </values>
      </ddeItem>
      <ddeItem name="00733.TW-CashDividend" advise="1">
        <values>
          <value t="str">
            <val>0.11</val>
          </value>
        </values>
      </ddeItem>
      <ddeItem name="00733.TW-CashDividendYieldRate" advise="1">
        <values>
          <value>
            <val>2.4300000000000002</val>
          </value>
        </values>
      </ddeItem>
      <ddeItem name="00733.TW-ChipsField25" advise="1">
        <values>
          <value t="str">
            <val>2023/04/21</val>
          </value>
        </values>
      </ddeItem>
      <ddeItem name="00733.TW-ChipsField26" advise="1">
        <values>
          <value t="str">
            <val>2023/05/18</val>
          </value>
        </values>
      </ddeItem>
      <ddeItem name="00733.TW-ChipsField27" advise="1">
        <values>
          <value t="str">
            <val>--</val>
          </value>
        </values>
      </ddeItem>
      <ddeItem name="00733.TW-CurrentRatio" advise="1">
        <values>
          <value t="str">
            <val>--</val>
          </value>
        </values>
      </ddeItem>
      <ddeItem name="00733.TW-High" advise="1">
        <values>
          <value>
            <val>45.36</val>
          </value>
        </values>
      </ddeItem>
      <ddeItem name="00733.TW-ID" advise="1">
        <values>
          <value t="str">
            <val>00733</val>
          </value>
        </values>
      </ddeItem>
      <ddeItem name="00733.TW-InventoryTurnoverRatio" advise="1">
        <values>
          <value t="str">
            <val>--</val>
          </value>
        </values>
      </ddeItem>
      <ddeItem name="00733.TW-LiabilityRatio" advise="1">
        <values>
          <value t="str">
            <val>--</val>
          </value>
        </values>
      </ddeItem>
      <ddeItem name="00733.TW-Low" advise="1">
        <values>
          <value>
            <val>44.6</val>
          </value>
        </values>
      </ddeItem>
      <ddeItem name="00733.TW-ManagementPercent" advise="1">
        <values>
          <value>
            <val>2.13</val>
          </value>
        </values>
      </ddeItem>
      <ddeItem name="00733.TW-MarketValue" advise="1">
        <values>
          <value t="str">
            <val>--</val>
          </value>
        </values>
      </ddeItem>
      <ddeItem name="00733.TW-Name" advise="1">
        <values>
          <value t="str">
            <val>富邦臺灣中小</val>
          </value>
        </values>
      </ddeItem>
      <ddeItem name="00733.TW-NetProfitMargin" advise="1">
        <values>
          <value t="str">
            <val>--</val>
          </value>
        </values>
      </ddeItem>
      <ddeItem name="00733.TW-Open" advise="1">
        <values>
          <value>
            <val>44.65</val>
          </value>
        </values>
      </ddeItem>
      <ddeItem name="00733.TW-OperatingProfitRatio" advise="1">
        <values>
          <value t="str">
            <val>--</val>
          </value>
        </values>
      </ddeItem>
      <ddeItem name="00733.TW-PBRatio" advise="1">
        <values>
          <value t="str">
            <val>--</val>
          </value>
        </values>
      </ddeItem>
      <ddeItem name="00733.TW-PERatio" advise="1">
        <values>
          <value t="str">
            <val>--</val>
          </value>
        </values>
      </ddeItem>
      <ddeItem name="00733.TW-Price" advise="1">
        <values>
          <value>
            <val>45.23</val>
          </value>
        </values>
      </ddeItem>
      <ddeItem name="00733.TW-PriceChange" advise="1">
        <values>
          <value>
            <val>0.63</val>
          </value>
        </values>
      </ddeItem>
      <ddeItem name="00733.TW-PriceChangeRatio" advise="1">
        <values>
          <value>
            <val>1.41</val>
          </value>
        </values>
      </ddeItem>
      <ddeItem name="00733.TW-Profit" advise="1">
        <values>
          <value t="str">
            <val>--</val>
          </value>
        </values>
      </ddeItem>
      <ddeItem name="00733.TW-ProfitMargin" advise="1">
        <values>
          <value t="str">
            <val>--</val>
          </value>
        </values>
      </ddeItem>
      <ddeItem name="00733.TW-QuickRatio" advise="1">
        <values>
          <value t="str">
            <val>--</val>
          </value>
        </values>
      </ddeItem>
      <ddeItem name="00733.TW-ReceivablesTurnoverRatio" advise="1">
        <values>
          <value t="str">
            <val>--</val>
          </value>
        </values>
      </ddeItem>
      <ddeItem name="00733.TW-ReturnOnAssets" advise="1">
        <values>
          <value t="str">
            <val>--</val>
          </value>
        </values>
      </ddeItem>
      <ddeItem name="00733.TW-ROE" advise="1">
        <values>
          <value t="str">
            <val>--</val>
          </value>
        </values>
      </ddeItem>
      <ddeItem name="00733.TW-StockDividend" advise="1">
        <values>
          <value t="str">
            <val>--</val>
          </value>
        </values>
      </ddeItem>
      <ddeItem name="00733.TW-StockNetValue" advise="1">
        <values>
          <value t="str">
            <val>--</val>
          </value>
        </values>
      </ddeItem>
      <ddeItem name="00733.TW-TimesInterestEarne" advise="1">
        <values>
          <value t="str">
            <val>--</val>
          </value>
        </values>
      </ddeItem>
      <ddeItem name="00733.TW-TotalVolume" advise="1">
        <values>
          <value>
            <val>410</val>
          </value>
        </values>
      </ddeItem>
      <ddeItem name="00733.TW-Volume" advise="1">
        <values>
          <value>
            <val>3</val>
          </value>
        </values>
      </ddeItem>
      <ddeItem name="00751B.TW-Ask" advise="1">
        <values>
          <value>
            <val>34.659999999999997</val>
          </value>
        </values>
      </ddeItem>
      <ddeItem name="00751B.TW-BestAskSize" advise="1">
        <values>
          <value>
            <val>186</val>
          </value>
        </values>
      </ddeItem>
      <ddeItem name="00751B.TW-BestBidSize" advise="1">
        <values>
          <value>
            <val>146</val>
          </value>
        </values>
      </ddeItem>
      <ddeItem name="00751B.TW-Beta" advise="1">
        <values>
          <value t="str">
            <val>--</val>
          </value>
        </values>
      </ddeItem>
      <ddeItem name="00751B.TW-Bid" advise="1">
        <values>
          <value>
            <val>34.65</val>
          </value>
        </values>
      </ddeItem>
      <ddeItem name="00751B.TW-Capital" advise="1">
        <values>
          <value t="str">
            <val>--</val>
          </value>
        </values>
      </ddeItem>
      <ddeItem name="00751B.TW-CashDividend" advise="1">
        <values>
          <value t="str">
            <val>0.44</val>
          </value>
        </values>
      </ddeItem>
      <ddeItem name="00751B.TW-CashDividendYieldRate" advise="1">
        <values>
          <value>
            <val>5.16</val>
          </value>
        </values>
      </ddeItem>
      <ddeItem name="00751B.TW-ChipsField25" advise="1">
        <values>
          <value t="str">
            <val>2023/06/16</val>
          </value>
        </values>
      </ddeItem>
      <ddeItem name="00751B.TW-ChipsField26" advise="1">
        <values>
          <value t="str">
            <val>2023/07/14</val>
          </value>
        </values>
      </ddeItem>
      <ddeItem name="00751B.TW-ChipsField27" advise="1">
        <values>
          <value t="str">
            <val>--</val>
          </value>
        </values>
      </ddeItem>
      <ddeItem name="00751B.TW-CurrentRatio" advise="1">
        <values>
          <value t="str">
            <val>--</val>
          </value>
        </values>
      </ddeItem>
      <ddeItem name="00751B.TW-High" advise="1">
        <values>
          <value>
            <val>34.659999999999997</val>
          </value>
        </values>
      </ddeItem>
      <ddeItem name="00751B.TW-ID" advise="1">
        <values>
          <value t="str">
            <val>00751B</val>
          </value>
        </values>
      </ddeItem>
      <ddeItem name="00751B.TW-InventoryTurnoverRatio" advise="1">
        <values>
          <value t="str">
            <val>--</val>
          </value>
        </values>
      </ddeItem>
      <ddeItem name="00751B.TW-LiabilityRatio" advise="1">
        <values>
          <value t="str">
            <val>--</val>
          </value>
        </values>
      </ddeItem>
      <ddeItem name="00751B.TW-Low" advise="1">
        <values>
          <value>
            <val>34.590000000000003</val>
          </value>
        </values>
      </ddeItem>
      <ddeItem name="00751B.TW-ManagementPercent" advise="1">
        <values>
          <value>
            <val>0.26</val>
          </value>
        </values>
      </ddeItem>
      <ddeItem name="00751B.TW-MarketValue" advise="1">
        <values>
          <value t="str">
            <val>--</val>
          </value>
        </values>
      </ddeItem>
      <ddeItem name="00751B.TW-Name" advise="1">
        <values>
          <value t="str">
            <val>元大AAA至A公司債</val>
          </value>
        </values>
      </ddeItem>
      <ddeItem name="00751B.TW-NetProfitMargin" advise="1">
        <values>
          <value t="str">
            <val>--</val>
          </value>
        </values>
      </ddeItem>
      <ddeItem name="00751B.TW-Open" advise="1">
        <values>
          <value>
            <val>34.6</val>
          </value>
        </values>
      </ddeItem>
      <ddeItem name="00751B.TW-OperatingProfitRatio" advise="1">
        <values>
          <value t="str">
            <val>--</val>
          </value>
        </values>
      </ddeItem>
      <ddeItem name="00751B.TW-PBRatio" advise="1">
        <values>
          <value t="str">
            <val>--</val>
          </value>
        </values>
      </ddeItem>
      <ddeItem name="00751B.TW-PERatio" advise="1">
        <values>
          <value t="str">
            <val>--</val>
          </value>
        </values>
      </ddeItem>
      <ddeItem name="00751B.TW-Price" advise="1">
        <values>
          <value>
            <val>34.659999999999997</val>
          </value>
        </values>
      </ddeItem>
      <ddeItem name="00751B.TW-PriceChange" advise="1">
        <values>
          <value>
            <val>0.27</val>
          </value>
        </values>
      </ddeItem>
      <ddeItem name="00751B.TW-PriceChangeRatio" advise="1">
        <values>
          <value>
            <val>0.79</val>
          </value>
        </values>
      </ddeItem>
      <ddeItem name="00751B.TW-Profit" advise="1">
        <values>
          <value t="str">
            <val>--</val>
          </value>
        </values>
      </ddeItem>
      <ddeItem name="00751B.TW-ProfitMargin" advise="1">
        <values>
          <value t="str">
            <val>--</val>
          </value>
        </values>
      </ddeItem>
      <ddeItem name="00751B.TW-QuickRatio" advise="1">
        <values>
          <value t="str">
            <val>--</val>
          </value>
        </values>
      </ddeItem>
      <ddeItem name="00751B.TW-ReceivablesTurnoverRatio" advise="1">
        <values>
          <value t="str">
            <val>--</val>
          </value>
        </values>
      </ddeItem>
      <ddeItem name="00751B.TW-ReturnOnAssets" advise="1">
        <values>
          <value t="str">
            <val>--</val>
          </value>
        </values>
      </ddeItem>
      <ddeItem name="00751B.TW-ROE" advise="1">
        <values>
          <value t="str">
            <val>--</val>
          </value>
        </values>
      </ddeItem>
      <ddeItem name="00751B.TW-StockDividend" advise="1">
        <values>
          <value t="str">
            <val>--</val>
          </value>
        </values>
      </ddeItem>
      <ddeItem name="00751B.TW-StockNetValue" advise="1">
        <values>
          <value t="str">
            <val>--</val>
          </value>
        </values>
      </ddeItem>
      <ddeItem name="00751B.TW-TimesInterestEarne" advise="1">
        <values>
          <value t="str">
            <val>--</val>
          </value>
        </values>
      </ddeItem>
      <ddeItem name="00751B.TW-TotalVolume" advise="1">
        <values>
          <value>
            <val>8353</val>
          </value>
        </values>
      </ddeItem>
      <ddeItem name="00751B.TW-Volume" advise="1">
        <values>
          <value>
            <val>203</val>
          </value>
        </values>
      </ddeItem>
      <ddeItem name="00752.TW-Ask" advise="1">
        <values>
          <value>
            <val>17.899999999999999</val>
          </value>
        </values>
      </ddeItem>
      <ddeItem name="00752.TW-BestAskSize" advise="1">
        <values>
          <value>
            <val>77</val>
          </value>
        </values>
      </ddeItem>
      <ddeItem name="00752.TW-BestBidSize" advise="1">
        <values>
          <value>
            <val>234</val>
          </value>
        </values>
      </ddeItem>
      <ddeItem name="00752.TW-Beta" advise="1">
        <values>
          <value t="str">
            <val>--</val>
          </value>
        </values>
      </ddeItem>
      <ddeItem name="00752.TW-Bid" advise="1">
        <values>
          <value>
            <val>17.89</val>
          </value>
        </values>
      </ddeItem>
      <ddeItem name="00752.TW-Capital" advise="1">
        <values>
          <value t="str">
            <val>--</val>
          </value>
        </values>
      </ddeItem>
      <ddeItem name="00752.TW-CashDividend" advise="1">
        <values>
          <value t="str">
            <val>--</val>
          </value>
        </values>
      </ddeItem>
      <ddeItem name="00752.TW-CashDividendYieldRate" advise="1">
        <values>
          <value>
            <val>0</val>
          </value>
        </values>
      </ddeItem>
      <ddeItem name="00752.TW-ChipsField25" advise="1">
        <values>
          <value t="str">
            <val>--</val>
          </value>
        </values>
      </ddeItem>
      <ddeItem name="00752.TW-ChipsField26" advise="1">
        <values>
          <value t="str">
            <val>--</val>
          </value>
        </values>
      </ddeItem>
      <ddeItem name="00752.TW-ChipsField27" advise="1">
        <values>
          <value t="str">
            <val>--</val>
          </value>
        </values>
      </ddeItem>
      <ddeItem name="00752.TW-CurrentRatio" advise="1">
        <values>
          <value t="str">
            <val>--</val>
          </value>
        </values>
      </ddeItem>
      <ddeItem name="00752.TW-High" advise="1">
        <values>
          <value>
            <val>17.93</val>
          </value>
        </values>
      </ddeItem>
      <ddeItem name="00752.TW-ID" advise="1">
        <values>
          <value t="str">
            <val>00752</val>
          </value>
        </values>
      </ddeItem>
      <ddeItem name="00752.TW-InventoryTurnoverRatio" advise="1">
        <values>
          <value t="str">
            <val>--</val>
          </value>
        </values>
      </ddeItem>
      <ddeItem name="00752.TW-LiabilityRatio" advise="1">
        <values>
          <value t="str">
            <val>--</val>
          </value>
        </values>
      </ddeItem>
      <ddeItem name="00752.TW-Low" advise="1">
        <values>
          <value>
            <val>17.75</val>
          </value>
        </values>
      </ddeItem>
      <ddeItem name="00752.TW-ManagementPercent" advise="1">
        <values>
          <value>
            <val>1.1499999999999999</val>
          </value>
        </values>
      </ddeItem>
      <ddeItem name="00752.TW-MarketValue" advise="1">
        <values>
          <value t="str">
            <val>--</val>
          </value>
        </values>
      </ddeItem>
      <ddeItem name="00752.TW-Name" advise="1">
        <values>
          <value t="str">
            <val>中信中國50</val>
          </value>
        </values>
      </ddeItem>
      <ddeItem name="00752.TW-NetProfitMargin" advise="1">
        <values>
          <value t="str">
            <val>--</val>
          </value>
        </values>
      </ddeItem>
      <ddeItem name="00752.TW-Open" advise="1">
        <values>
          <value>
            <val>17.75</val>
          </value>
        </values>
      </ddeItem>
      <ddeItem name="00752.TW-OperatingProfitRatio" advise="1">
        <values>
          <value t="str">
            <val>--</val>
          </value>
        </values>
      </ddeItem>
      <ddeItem name="00752.TW-PBRatio" advise="1">
        <values>
          <value t="str">
            <val>--</val>
          </value>
        </values>
      </ddeItem>
      <ddeItem name="00752.TW-PERatio" advise="1">
        <values>
          <value t="str">
            <val>--</val>
          </value>
        </values>
      </ddeItem>
      <ddeItem name="00752.TW-Price" advise="1">
        <values>
          <value>
            <val>17.89</val>
          </value>
        </values>
      </ddeItem>
      <ddeItem name="00752.TW-PriceChange" advise="1">
        <values>
          <value>
            <val>0.18</val>
          </value>
        </values>
      </ddeItem>
      <ddeItem name="00752.TW-PriceChangeRatio" advise="1">
        <values>
          <value>
            <val>1.02</val>
          </value>
        </values>
      </ddeItem>
      <ddeItem name="00752.TW-Profit" advise="1">
        <values>
          <value t="str">
            <val>--</val>
          </value>
        </values>
      </ddeItem>
      <ddeItem name="00752.TW-ProfitMargin" advise="1">
        <values>
          <value t="str">
            <val>--</val>
          </value>
        </values>
      </ddeItem>
      <ddeItem name="00752.TW-QuickRatio" advise="1">
        <values>
          <value t="str">
            <val>--</val>
          </value>
        </values>
      </ddeItem>
      <ddeItem name="00752.TW-ReceivablesTurnoverRatio" advise="1">
        <values>
          <value t="str">
            <val>--</val>
          </value>
        </values>
      </ddeItem>
      <ddeItem name="00752.TW-ReturnOnAssets" advise="1">
        <values>
          <value t="str">
            <val>--</val>
          </value>
        </values>
      </ddeItem>
      <ddeItem name="00752.TW-ROE" advise="1">
        <values>
          <value t="str">
            <val>--</val>
          </value>
        </values>
      </ddeItem>
      <ddeItem name="00752.TW-StockDividend" advise="1">
        <values>
          <value t="str">
            <val>--</val>
          </value>
        </values>
      </ddeItem>
      <ddeItem name="00752.TW-StockNetValue" advise="1">
        <values>
          <value t="str">
            <val>--</val>
          </value>
        </values>
      </ddeItem>
      <ddeItem name="00752.TW-TimesInterestEarne" advise="1">
        <values>
          <value t="str">
            <val>--</val>
          </value>
        </values>
      </ddeItem>
      <ddeItem name="00752.TW-TotalVolume" advise="1">
        <values>
          <value>
            <val>6599</val>
          </value>
        </values>
      </ddeItem>
      <ddeItem name="00752.TW-Volume" advise="1">
        <values>
          <value>
            <val>153</val>
          </value>
        </values>
      </ddeItem>
      <ddeItem name="00757.TW-Ask" advise="1">
        <values>
          <value>
            <val>55.6</val>
          </value>
        </values>
      </ddeItem>
      <ddeItem name="00757.TW-BestAskSize" advise="1">
        <values>
          <value>
            <val>162</val>
          </value>
        </values>
      </ddeItem>
      <ddeItem name="00757.TW-BestBidSize" advise="1">
        <values>
          <value>
            <val>8</val>
          </value>
        </values>
      </ddeItem>
      <ddeItem name="00757.TW-Beta" advise="1">
        <values>
          <value t="str">
            <val>--</val>
          </value>
        </values>
      </ddeItem>
      <ddeItem name="00757.TW-Bid" advise="1">
        <values>
          <value>
            <val>55.55</val>
          </value>
        </values>
      </ddeItem>
      <ddeItem name="00757.TW-Capital" advise="1">
        <values>
          <value t="str">
            <val>--</val>
          </value>
        </values>
      </ddeItem>
      <ddeItem name="00757.TW-CashDividend" advise="1">
        <values>
          <value t="str">
            <val>--</val>
          </value>
        </values>
      </ddeItem>
      <ddeItem name="00757.TW-CashDividendYieldRate" advise="1">
        <values>
          <value>
            <val>0</val>
          </value>
        </values>
      </ddeItem>
      <ddeItem name="00757.TW-ChipsField25" advise="1">
        <values>
          <value t="str">
            <val>--</val>
          </value>
        </values>
      </ddeItem>
      <ddeItem name="00757.TW-ChipsField26" advise="1">
        <values>
          <value t="str">
            <val>--</val>
          </value>
        </values>
      </ddeItem>
      <ddeItem name="00757.TW-ChipsField27" advise="1">
        <values>
          <value t="str">
            <val>--</val>
          </value>
        </values>
      </ddeItem>
      <ddeItem name="00757.TW-CurrentRatio" advise="1">
        <values>
          <value t="str">
            <val>--</val>
          </value>
        </values>
      </ddeItem>
      <ddeItem name="00757.TW-High" advise="1">
        <values>
          <value>
            <val>55.6</val>
          </value>
        </values>
      </ddeItem>
      <ddeItem name="00757.TW-ID" advise="1">
        <values>
          <value t="str">
            <val>00757</val>
          </value>
        </values>
      </ddeItem>
      <ddeItem name="00757.TW-InventoryTurnoverRatio" advise="1">
        <values>
          <value t="str">
            <val>--</val>
          </value>
        </values>
      </ddeItem>
      <ddeItem name="00757.TW-LiabilityRatio" advise="1">
        <values>
          <value t="str">
            <val>--</val>
          </value>
        </values>
      </ddeItem>
      <ddeItem name="00757.TW-Low" advise="1">
        <values>
          <value>
            <val>55.3</val>
          </value>
        </values>
      </ddeItem>
      <ddeItem name="00757.TW-ManagementPercent" advise="1">
        <values>
          <value>
            <val>1.1599999999999999</val>
          </value>
        </values>
      </ddeItem>
      <ddeItem name="00757.TW-MarketValue" advise="1">
        <values>
          <value t="str">
            <val>--</val>
          </value>
        </values>
      </ddeItem>
      <ddeItem name="00757.TW-Name" advise="1">
        <values>
          <value t="str">
            <val>統一FANG+</val>
          </value>
        </values>
      </ddeItem>
      <ddeItem name="00757.TW-NetProfitMargin" advise="1">
        <values>
          <value t="str">
            <val>--</val>
          </value>
        </values>
      </ddeItem>
      <ddeItem name="00757.TW-Open" advise="1">
        <values>
          <value>
            <val>55.3</val>
          </value>
        </values>
      </ddeItem>
      <ddeItem name="00757.TW-OperatingProfitRatio" advise="1">
        <values>
          <value t="str">
            <val>--</val>
          </value>
        </values>
      </ddeItem>
      <ddeItem name="00757.TW-PBRatio" advise="1">
        <values>
          <value t="str">
            <val>--</val>
          </value>
        </values>
      </ddeItem>
      <ddeItem name="00757.TW-PERatio" advise="1">
        <values>
          <value t="str">
            <val>--</val>
          </value>
        </values>
      </ddeItem>
      <ddeItem name="00757.TW-Price" advise="1">
        <values>
          <value>
            <val>55.55</val>
          </value>
        </values>
      </ddeItem>
      <ddeItem name="00757.TW-PriceChange" advise="1">
        <values>
          <value>
            <val>0.55000000000000004</val>
          </value>
        </values>
      </ddeItem>
      <ddeItem name="00757.TW-PriceChangeRatio" advise="1">
        <values>
          <value>
            <val>1</val>
          </value>
        </values>
      </ddeItem>
      <ddeItem name="00757.TW-Profit" advise="1">
        <values>
          <value t="str">
            <val>--</val>
          </value>
        </values>
      </ddeItem>
      <ddeItem name="00757.TW-ProfitMargin" advise="1">
        <values>
          <value t="str">
            <val>--</val>
          </value>
        </values>
      </ddeItem>
      <ddeItem name="00757.TW-QuickRatio" advise="1">
        <values>
          <value t="str">
            <val>--</val>
          </value>
        </values>
      </ddeItem>
      <ddeItem name="00757.TW-ReceivablesTurnoverRatio" advise="1">
        <values>
          <value t="str">
            <val>--</val>
          </value>
        </values>
      </ddeItem>
      <ddeItem name="00757.TW-ReturnOnAssets" advise="1">
        <values>
          <value t="str">
            <val>--</val>
          </value>
        </values>
      </ddeItem>
      <ddeItem name="00757.TW-ROE" advise="1">
        <values>
          <value t="str">
            <val>--</val>
          </value>
        </values>
      </ddeItem>
      <ddeItem name="00757.TW-StockDividend" advise="1">
        <values>
          <value t="str">
            <val>--</val>
          </value>
        </values>
      </ddeItem>
      <ddeItem name="00757.TW-StockNetValue" advise="1">
        <values>
          <value t="str">
            <val>--</val>
          </value>
        </values>
      </ddeItem>
      <ddeItem name="00757.TW-TimesInterestEarne" advise="1">
        <values>
          <value t="str">
            <val>--</val>
          </value>
        </values>
      </ddeItem>
      <ddeItem name="00757.TW-TotalVolume" advise="1">
        <values>
          <value>
            <val>1175</val>
          </value>
        </values>
      </ddeItem>
      <ddeItem name="00757.TW-Volume" advise="1">
        <values>
          <value>
            <val>30</val>
          </value>
        </values>
      </ddeItem>
      <ddeItem name="00770.TW-Ask" advise="1">
        <values>
          <value>
            <val>33.17</val>
          </value>
        </values>
      </ddeItem>
      <ddeItem name="00770.TW-BestAskSize" advise="1">
        <values>
          <value>
            <val>4</val>
          </value>
        </values>
      </ddeItem>
      <ddeItem name="00770.TW-BestBidSize" advise="1">
        <values>
          <value>
            <val>20</val>
          </value>
        </values>
      </ddeItem>
      <ddeItem name="00770.TW-Beta" advise="1">
        <values>
          <value t="str">
            <val>--</val>
          </value>
        </values>
      </ddeItem>
      <ddeItem name="00770.TW-Bid" advise="1">
        <values>
          <value>
            <val>33.15</val>
          </value>
        </values>
      </ddeItem>
      <ddeItem name="00770.TW-Capital" advise="1">
        <values>
          <value t="str">
            <val>--</val>
          </value>
        </values>
      </ddeItem>
      <ddeItem name="00770.TW-CashDividend" advise="1">
        <values>
          <value t="str">
            <val>2.80</val>
          </value>
        </values>
      </ddeItem>
      <ddeItem name="00770.TW-CashDividendYieldRate" advise="1">
        <values>
          <value>
            <val>8.44</val>
          </value>
        </values>
      </ddeItem>
      <ddeItem name="00770.TW-ChipsField25" advise="1">
        <values>
          <value t="str">
            <val>2023/01/30</val>
          </value>
        </values>
      </ddeItem>
      <ddeItem name="00770.TW-ChipsField26" advise="1">
        <values>
          <value t="str">
            <val>2023/03/02</val>
          </value>
        </values>
      </ddeItem>
      <ddeItem name="00770.TW-ChipsField27" advise="1">
        <values>
          <value t="str">
            <val>--</val>
          </value>
        </values>
      </ddeItem>
      <ddeItem name="00770.TW-CurrentRatio" advise="1">
        <values>
          <value t="str">
            <val>--</val>
          </value>
        </values>
      </ddeItem>
      <ddeItem name="00770.TW-High" advise="1">
        <values>
          <value>
            <val>33.18</val>
          </value>
        </values>
      </ddeItem>
      <ddeItem name="00770.TW-ID" advise="1">
        <values>
          <value t="str">
            <val>00770</val>
          </value>
        </values>
      </ddeItem>
      <ddeItem name="00770.TW-InventoryTurnoverRatio" advise="1">
        <values>
          <value t="str">
            <val>--</val>
          </value>
        </values>
      </ddeItem>
      <ddeItem name="00770.TW-LiabilityRatio" advise="1">
        <values>
          <value t="str">
            <val>--</val>
          </value>
        </values>
      </ddeItem>
      <ddeItem name="00770.TW-Low" advise="1">
        <values>
          <value>
            <val>33.1</val>
          </value>
        </values>
      </ddeItem>
      <ddeItem name="00770.TW-ManagementPercent" advise="1">
        <values>
          <value>
            <val>1.1499999999999999</val>
          </value>
        </values>
      </ddeItem>
      <ddeItem name="00770.TW-MarketValue" advise="1">
        <values>
          <value t="str">
            <val>--</val>
          </value>
        </values>
      </ddeItem>
      <ddeItem name="00770.TW-Name" advise="1">
        <values>
          <value t="str">
            <val>國泰北美科技</val>
          </value>
        </values>
      </ddeItem>
      <ddeItem name="00770.TW-NetProfitMargin" advise="1">
        <values>
          <value t="str">
            <val>--</val>
          </value>
        </values>
      </ddeItem>
      <ddeItem name="00770.TW-Open" advise="1">
        <values>
          <value>
            <val>33.1</val>
          </value>
        </values>
      </ddeItem>
      <ddeItem name="00770.TW-OperatingProfitRatio" advise="1">
        <values>
          <value t="str">
            <val>--</val>
          </value>
        </values>
      </ddeItem>
      <ddeItem name="00770.TW-PBRatio" advise="1">
        <values>
          <value t="str">
            <val>--</val>
          </value>
        </values>
      </ddeItem>
      <ddeItem name="00770.TW-PERatio" advise="1">
        <values>
          <value t="str">
            <val>--</val>
          </value>
        </values>
      </ddeItem>
      <ddeItem name="00770.TW-Price" advise="1">
        <values>
          <value>
            <val>33.159999999999997</val>
          </value>
        </values>
      </ddeItem>
      <ddeItem name="00770.TW-PriceChange" advise="1">
        <values>
          <value>
            <val>0.13</val>
          </value>
        </values>
      </ddeItem>
      <ddeItem name="00770.TW-PriceChangeRatio" advise="1">
        <values>
          <value>
            <val>0.39</val>
          </value>
        </values>
      </ddeItem>
      <ddeItem name="00770.TW-Profit" advise="1">
        <values>
          <value t="str">
            <val>--</val>
          </value>
        </values>
      </ddeItem>
      <ddeItem name="00770.TW-ProfitMargin" advise="1">
        <values>
          <value t="str">
            <val>--</val>
          </value>
        </values>
      </ddeItem>
      <ddeItem name="00770.TW-QuickRatio" advise="1">
        <values>
          <value t="str">
            <val>--</val>
          </value>
        </values>
      </ddeItem>
      <ddeItem name="00770.TW-ReceivablesTurnoverRatio" advise="1">
        <values>
          <value t="str">
            <val>--</val>
          </value>
        </values>
      </ddeItem>
      <ddeItem name="00770.TW-ReturnOnAssets" advise="1">
        <values>
          <value t="str">
            <val>--</val>
          </value>
        </values>
      </ddeItem>
      <ddeItem name="00770.TW-ROE" advise="1">
        <values>
          <value t="str">
            <val>--</val>
          </value>
        </values>
      </ddeItem>
      <ddeItem name="00770.TW-StockDividend" advise="1">
        <values>
          <value t="str">
            <val>--</val>
          </value>
        </values>
      </ddeItem>
      <ddeItem name="00770.TW-StockNetValue" advise="1">
        <values>
          <value t="str">
            <val>--</val>
          </value>
        </values>
      </ddeItem>
      <ddeItem name="00770.TW-TimesInterestEarne" advise="1">
        <values>
          <value t="str">
            <val>--</val>
          </value>
        </values>
      </ddeItem>
      <ddeItem name="00770.TW-TotalVolume" advise="1">
        <values>
          <value>
            <val>88</val>
          </value>
        </values>
      </ddeItem>
      <ddeItem name="00770.TW-Volume" advise="1">
        <values>
          <value>
            <val>2</val>
          </value>
        </values>
      </ddeItem>
      <ddeItem name="00771.TW-Ask" advise="1">
        <values>
          <value>
            <val>15.95</val>
          </value>
        </values>
      </ddeItem>
      <ddeItem name="00771.TW-BestAskSize" advise="1">
        <values>
          <value>
            <val>2</val>
          </value>
        </values>
      </ddeItem>
      <ddeItem name="00771.TW-BestBidSize" advise="1">
        <values>
          <value>
            <val>5</val>
          </value>
        </values>
      </ddeItem>
      <ddeItem name="00771.TW-Beta" advise="1">
        <values>
          <value t="str">
            <val>--</val>
          </value>
        </values>
      </ddeItem>
      <ddeItem name="00771.TW-Bid" advise="1">
        <values>
          <value>
            <val>15.92</val>
          </value>
        </values>
      </ddeItem>
      <ddeItem name="00771.TW-Capital" advise="1">
        <values>
          <value t="str">
            <val>--</val>
          </value>
        </values>
      </ddeItem>
      <ddeItem name="00771.TW-CashDividend" advise="1">
        <values>
          <value t="str">
            <val>0.18</val>
          </value>
        </values>
      </ddeItem>
      <ddeItem name="00771.TW-CashDividendYieldRate" advise="1">
        <values>
          <value>
            <val>4.46</val>
          </value>
        </values>
      </ddeItem>
      <ddeItem name="00771.TW-ChipsField25" advise="1">
        <values>
          <value t="str">
            <val>2023/05/17</val>
          </value>
        </values>
      </ddeItem>
      <ddeItem name="00771.TW-ChipsField26" advise="1">
        <values>
          <value t="str">
            <val>2023/06/15</val>
          </value>
        </values>
      </ddeItem>
      <ddeItem name="00771.TW-ChipsField27" advise="1">
        <values>
          <value t="str">
            <val>--</val>
          </value>
        </values>
      </ddeItem>
      <ddeItem name="00771.TW-CurrentRatio" advise="1">
        <values>
          <value t="str">
            <val>--</val>
          </value>
        </values>
      </ddeItem>
      <ddeItem name="00771.TW-High" advise="1">
        <values>
          <value>
            <val>15.95</val>
          </value>
        </values>
      </ddeItem>
      <ddeItem name="00771.TW-ID" advise="1">
        <values>
          <value t="str">
            <val>00771</val>
          </value>
        </values>
      </ddeItem>
      <ddeItem name="00771.TW-InventoryTurnoverRatio" advise="1">
        <values>
          <value t="str">
            <val>--</val>
          </value>
        </values>
      </ddeItem>
      <ddeItem name="00771.TW-LiabilityRatio" advise="1">
        <values>
          <value t="str">
            <val>--</val>
          </value>
        </values>
      </ddeItem>
      <ddeItem name="00771.TW-Low" advise="1">
        <values>
          <value>
            <val>15.92</val>
          </value>
        </values>
      </ddeItem>
      <ddeItem name="00771.TW-ManagementPercent" advise="1">
        <values>
          <value>
            <val>0.9</val>
          </value>
        </values>
      </ddeItem>
      <ddeItem name="00771.TW-MarketValue" advise="1">
        <values>
          <value t="str">
            <val>--</val>
          </value>
        </values>
      </ddeItem>
      <ddeItem name="00771.TW-Name" advise="1">
        <values>
          <value t="str">
            <val>元大US高息特別股</val>
          </value>
        </values>
      </ddeItem>
      <ddeItem name="00771.TW-NetProfitMargin" advise="1">
        <values>
          <value t="str">
            <val>--</val>
          </value>
        </values>
      </ddeItem>
      <ddeItem name="00771.TW-Open" advise="1">
        <values>
          <value>
            <val>15.92</val>
          </value>
        </values>
      </ddeItem>
      <ddeItem name="00771.TW-OperatingProfitRatio" advise="1">
        <values>
          <value t="str">
            <val>--</val>
          </value>
        </values>
      </ddeItem>
      <ddeItem name="00771.TW-PBRatio" advise="1">
        <values>
          <value t="str">
            <val>--</val>
          </value>
        </values>
      </ddeItem>
      <ddeItem name="00771.TW-PERatio" advise="1">
        <values>
          <value t="str">
            <val>--</val>
          </value>
        </values>
      </ddeItem>
      <ddeItem name="00771.TW-Price" advise="1">
        <values>
          <value>
            <val>15.93</val>
          </value>
        </values>
      </ddeItem>
      <ddeItem name="00771.TW-PriceChange" advise="1">
        <values>
          <value>
            <val>0.01</val>
          </value>
        </values>
      </ddeItem>
      <ddeItem name="00771.TW-PriceChangeRatio" advise="1">
        <values>
          <value>
            <val>0.06</val>
          </value>
        </values>
      </ddeItem>
      <ddeItem name="00771.TW-Profit" advise="1">
        <values>
          <value t="str">
            <val>--</val>
          </value>
        </values>
      </ddeItem>
      <ddeItem name="00771.TW-ProfitMargin" advise="1">
        <values>
          <value t="str">
            <val>--</val>
          </value>
        </values>
      </ddeItem>
      <ddeItem name="00771.TW-QuickRatio" advise="1">
        <values>
          <value t="str">
            <val>--</val>
          </value>
        </values>
      </ddeItem>
      <ddeItem name="00771.TW-ReceivablesTurnoverRatio" advise="1">
        <values>
          <value t="str">
            <val>--</val>
          </value>
        </values>
      </ddeItem>
      <ddeItem name="00771.TW-ReturnOnAssets" advise="1">
        <values>
          <value t="str">
            <val>--</val>
          </value>
        </values>
      </ddeItem>
      <ddeItem name="00771.TW-ROE" advise="1">
        <values>
          <value t="str">
            <val>--</val>
          </value>
        </values>
      </ddeItem>
      <ddeItem name="00771.TW-StockDividend" advise="1">
        <values>
          <value t="str">
            <val>--</val>
          </value>
        </values>
      </ddeItem>
      <ddeItem name="00771.TW-StockNetValue" advise="1">
        <values>
          <value t="str">
            <val>--</val>
          </value>
        </values>
      </ddeItem>
      <ddeItem name="00771.TW-TimesInterestEarne" advise="1">
        <values>
          <value t="str">
            <val>--</val>
          </value>
        </values>
      </ddeItem>
      <ddeItem name="00771.TW-TotalVolume" advise="1">
        <values>
          <value>
            <val>23</val>
          </value>
        </values>
      </ddeItem>
      <ddeItem name="00771.TW-Volume" advise="1">
        <values>
          <value>
            <val>2</val>
          </value>
        </values>
      </ddeItem>
      <ddeItem name="00772B.TW-Ask" advise="1">
        <values>
          <value>
            <val>35.17</val>
          </value>
        </values>
      </ddeItem>
      <ddeItem name="00772B.TW-BestAskSize" advise="1">
        <values>
          <value>
            <val>105</val>
          </value>
        </values>
      </ddeItem>
      <ddeItem name="00772B.TW-BestBidSize" advise="1">
        <values>
          <value>
            <val>81</val>
          </value>
        </values>
      </ddeItem>
      <ddeItem name="00772B.TW-Beta" advise="1">
        <values>
          <value t="str">
            <val>--</val>
          </value>
        </values>
      </ddeItem>
      <ddeItem name="00772B.TW-Bid" advise="1">
        <values>
          <value>
            <val>35.159999999999997</val>
          </value>
        </values>
      </ddeItem>
      <ddeItem name="00772B.TW-Capital" advise="1">
        <values>
          <value t="str">
            <val>--</val>
          </value>
        </values>
      </ddeItem>
      <ddeItem name="00772B.TW-CashDividend" advise="1">
        <values>
          <value t="str">
            <val>0.12</val>
          </value>
        </values>
      </ddeItem>
      <ddeItem name="00772B.TW-CashDividendYieldRate" advise="1">
        <values>
          <value>
            <val>4.8099999999999996</val>
          </value>
        </values>
      </ddeItem>
      <ddeItem name="00772B.TW-ChipsField25" advise="1">
        <values>
          <value t="str">
            <val>2023/06/16</val>
          </value>
        </values>
      </ddeItem>
      <ddeItem name="00772B.TW-ChipsField26" advise="1">
        <values>
          <value t="str">
            <val>2023/07/14</val>
          </value>
        </values>
      </ddeItem>
      <ddeItem name="00772B.TW-ChipsField27" advise="1">
        <values>
          <value t="str">
            <val>--</val>
          </value>
        </values>
      </ddeItem>
      <ddeItem name="00772B.TW-CurrentRatio" advise="1">
        <values>
          <value t="str">
            <val>--</val>
          </value>
        </values>
      </ddeItem>
      <ddeItem name="00772B.TW-High" advise="1">
        <values>
          <value>
            <val>35.18</val>
          </value>
        </values>
      </ddeItem>
      <ddeItem name="00772B.TW-ID" advise="1">
        <values>
          <value t="str">
            <val>00772B</val>
          </value>
        </values>
      </ddeItem>
      <ddeItem name="00772B.TW-InventoryTurnoverRatio" advise="1">
        <values>
          <value t="str">
            <val>--</val>
          </value>
        </values>
      </ddeItem>
      <ddeItem name="00772B.TW-LiabilityRatio" advise="1">
        <values>
          <value t="str">
            <val>--</val>
          </value>
        </values>
      </ddeItem>
      <ddeItem name="00772B.TW-Low" advise="1">
        <values>
          <value>
            <val>35.049999999999997</val>
          </value>
        </values>
      </ddeItem>
      <ddeItem name="00772B.TW-ManagementPercent" advise="1">
        <values>
          <value>
            <val>0.28000000000000003</val>
          </value>
        </values>
      </ddeItem>
      <ddeItem name="00772B.TW-MarketValue" advise="1">
        <values>
          <value t="str">
            <val>--</val>
          </value>
        </values>
      </ddeItem>
      <ddeItem name="00772B.TW-Name" advise="1">
        <values>
          <value t="str">
            <val>中信高評級公司債</val>
          </value>
        </values>
      </ddeItem>
      <ddeItem name="00772B.TW-NetProfitMargin" advise="1">
        <values>
          <value t="str">
            <val>--</val>
          </value>
        </values>
      </ddeItem>
      <ddeItem name="00772B.TW-Open" advise="1">
        <values>
          <value>
            <val>35.06</val>
          </value>
        </values>
      </ddeItem>
      <ddeItem name="00772B.TW-OperatingProfitRatio" advise="1">
        <values>
          <value t="str">
            <val>--</val>
          </value>
        </values>
      </ddeItem>
      <ddeItem name="00772B.TW-PBRatio" advise="1">
        <values>
          <value t="str">
            <val>--</val>
          </value>
        </values>
      </ddeItem>
      <ddeItem name="00772B.TW-PERatio" advise="1">
        <values>
          <value t="str">
            <val>--</val>
          </value>
        </values>
      </ddeItem>
      <ddeItem name="00772B.TW-Price" advise="1">
        <values>
          <value>
            <val>35.159999999999997</val>
          </value>
        </values>
      </ddeItem>
      <ddeItem name="00772B.TW-PriceChange" advise="1">
        <values>
          <value>
            <val>0.23</val>
          </value>
        </values>
      </ddeItem>
      <ddeItem name="00772B.TW-PriceChangeRatio" advise="1">
        <values>
          <value>
            <val>0.66</val>
          </value>
        </values>
      </ddeItem>
      <ddeItem name="00772B.TW-Profit" advise="1">
        <values>
          <value t="str">
            <val>--</val>
          </value>
        </values>
      </ddeItem>
      <ddeItem name="00772B.TW-ProfitMargin" advise="1">
        <values>
          <value t="str">
            <val>--</val>
          </value>
        </values>
      </ddeItem>
      <ddeItem name="00772B.TW-QuickRatio" advise="1">
        <values>
          <value t="str">
            <val>--</val>
          </value>
        </values>
      </ddeItem>
      <ddeItem name="00772B.TW-ReceivablesTurnoverRatio" advise="1">
        <values>
          <value t="str">
            <val>--</val>
          </value>
        </values>
      </ddeItem>
      <ddeItem name="00772B.TW-ReturnOnAssets" advise="1">
        <values>
          <value t="str">
            <val>--</val>
          </value>
        </values>
      </ddeItem>
      <ddeItem name="00772B.TW-ROE" advise="1">
        <values>
          <value t="str">
            <val>--</val>
          </value>
        </values>
      </ddeItem>
      <ddeItem name="00772B.TW-StockDividend" advise="1">
        <values>
          <value t="str">
            <val>--</val>
          </value>
        </values>
      </ddeItem>
      <ddeItem name="00772B.TW-StockNetValue" advise="1">
        <values>
          <value t="str">
            <val>--</val>
          </value>
        </values>
      </ddeItem>
      <ddeItem name="00772B.TW-TimesInterestEarne" advise="1">
        <values>
          <value t="str">
            <val>--</val>
          </value>
        </values>
      </ddeItem>
      <ddeItem name="00772B.TW-TotalVolume" advise="1">
        <values>
          <value>
            <val>6939</val>
          </value>
        </values>
      </ddeItem>
      <ddeItem name="00772B.TW-Volume" advise="1">
        <values>
          <value>
            <val>352</val>
          </value>
        </values>
      </ddeItem>
      <ddeItem name="00773B.TW-Ask" advise="1">
        <values>
          <value>
            <val>35.299999999999997</val>
          </value>
        </values>
      </ddeItem>
      <ddeItem name="00773B.TW-BestAskSize" advise="1">
        <values>
          <value>
            <val>171</val>
          </value>
        </values>
      </ddeItem>
      <ddeItem name="00773B.TW-BestBidSize" advise="1">
        <values>
          <value>
            <val>89</val>
          </value>
        </values>
      </ddeItem>
      <ddeItem name="00773B.TW-Beta" advise="1">
        <values>
          <value t="str">
            <val>--</val>
          </value>
        </values>
      </ddeItem>
      <ddeItem name="00773B.TW-Bid" advise="1">
        <values>
          <value>
            <val>35.29</val>
          </value>
        </values>
      </ddeItem>
      <ddeItem name="00773B.TW-Capital" advise="1">
        <values>
          <value t="str">
            <val>--</val>
          </value>
        </values>
      </ddeItem>
      <ddeItem name="00773B.TW-CashDividend" advise="1">
        <values>
          <value t="str">
            <val>0.13</val>
          </value>
        </values>
      </ddeItem>
      <ddeItem name="00773B.TW-CashDividendYieldRate" advise="1">
        <values>
          <value>
            <val>5.19</val>
          </value>
        </values>
      </ddeItem>
      <ddeItem name="00773B.TW-ChipsField25" advise="1">
        <values>
          <value t="str">
            <val>2023/06/16</val>
          </value>
        </values>
      </ddeItem>
      <ddeItem name="00773B.TW-ChipsField26" advise="1">
        <values>
          <value t="str">
            <val>2023/07/14</val>
          </value>
        </values>
      </ddeItem>
      <ddeItem name="00773B.TW-ChipsField27" advise="1">
        <values>
          <value t="str">
            <val>--</val>
          </value>
        </values>
      </ddeItem>
      <ddeItem name="00773B.TW-CurrentRatio" advise="1">
        <values>
          <value t="str">
            <val>--</val>
          </value>
        </values>
      </ddeItem>
      <ddeItem name="00773B.TW-High" advise="1">
        <values>
          <value>
            <val>35.31</val>
          </value>
        </values>
      </ddeItem>
      <ddeItem name="00773B.TW-ID" advise="1">
        <values>
          <value t="str">
            <val>00773B</val>
          </value>
        </values>
      </ddeItem>
      <ddeItem name="00773B.TW-InventoryTurnoverRatio" advise="1">
        <values>
          <value t="str">
            <val>--</val>
          </value>
        </values>
      </ddeItem>
      <ddeItem name="00773B.TW-LiabilityRatio" advise="1">
        <values>
          <value t="str">
            <val>--</val>
          </value>
        </values>
      </ddeItem>
      <ddeItem name="00773B.TW-Low" advise="1">
        <values>
          <value>
            <val>35.200000000000003</val>
          </value>
        </values>
      </ddeItem>
      <ddeItem name="00773B.TW-ManagementPercent" advise="1">
        <values>
          <value>
            <val>0.26</val>
          </value>
        </values>
      </ddeItem>
      <ddeItem name="00773B.TW-MarketValue" advise="1">
        <values>
          <value t="str">
            <val>--</val>
          </value>
        </values>
      </ddeItem>
      <ddeItem name="00773B.TW-Name" advise="1">
        <values>
          <value t="str">
            <val>中信優先金融債</val>
          </value>
        </values>
      </ddeItem>
      <ddeItem name="00773B.TW-NetProfitMargin" advise="1">
        <values>
          <value t="str">
            <val>--</val>
          </value>
        </values>
      </ddeItem>
      <ddeItem name="00773B.TW-Open" advise="1">
        <values>
          <value>
            <val>35.21</val>
          </value>
        </values>
      </ddeItem>
      <ddeItem name="00773B.TW-OperatingProfitRatio" advise="1">
        <values>
          <value t="str">
            <val>--</val>
          </value>
        </values>
      </ddeItem>
      <ddeItem name="00773B.TW-PBRatio" advise="1">
        <values>
          <value t="str">
            <val>--</val>
          </value>
        </values>
      </ddeItem>
      <ddeItem name="00773B.TW-PERatio" advise="1">
        <values>
          <value t="str">
            <val>--</val>
          </value>
        </values>
      </ddeItem>
      <ddeItem name="00773B.TW-Price" advise="1">
        <values>
          <value>
            <val>35.29</val>
          </value>
        </values>
      </ddeItem>
      <ddeItem name="00773B.TW-PriceChange" advise="1">
        <values>
          <value>
            <val>0.21</val>
          </value>
        </values>
      </ddeItem>
      <ddeItem name="00773B.TW-PriceChangeRatio" advise="1">
        <values>
          <value>
            <val>0.6</val>
          </value>
        </values>
      </ddeItem>
      <ddeItem name="00773B.TW-Profit" advise="1">
        <values>
          <value t="str">
            <val>--</val>
          </value>
        </values>
      </ddeItem>
      <ddeItem name="00773B.TW-ProfitMargin" advise="1">
        <values>
          <value t="str">
            <val>--</val>
          </value>
        </values>
      </ddeItem>
      <ddeItem name="00773B.TW-QuickRatio" advise="1">
        <values>
          <value t="str">
            <val>--</val>
          </value>
        </values>
      </ddeItem>
      <ddeItem name="00773B.TW-ReceivablesTurnoverRatio" advise="1">
        <values>
          <value t="str">
            <val>--</val>
          </value>
        </values>
      </ddeItem>
      <ddeItem name="00773B.TW-ReturnOnAssets" advise="1">
        <values>
          <value t="str">
            <val>--</val>
          </value>
        </values>
      </ddeItem>
      <ddeItem name="00773B.TW-ROE" advise="1">
        <values>
          <value t="str">
            <val>--</val>
          </value>
        </values>
      </ddeItem>
      <ddeItem name="00773B.TW-StockDividend" advise="1">
        <values>
          <value t="str">
            <val>--</val>
          </value>
        </values>
      </ddeItem>
      <ddeItem name="00773B.TW-StockNetValue" advise="1">
        <values>
          <value t="str">
            <val>--</val>
          </value>
        </values>
      </ddeItem>
      <ddeItem name="00773B.TW-TimesInterestEarne" advise="1">
        <values>
          <value t="str">
            <val>--</val>
          </value>
        </values>
      </ddeItem>
      <ddeItem name="00773B.TW-TotalVolume" advise="1">
        <values>
          <value>
            <val>3730</val>
          </value>
        </values>
      </ddeItem>
      <ddeItem name="00773B.TW-Volume" advise="1">
        <values>
          <value>
            <val>103</val>
          </value>
        </values>
      </ddeItem>
      <ddeItem name="00830.TW-Ask" advise="1">
        <values>
          <value>
            <val>31.12</val>
          </value>
        </values>
      </ddeItem>
      <ddeItem name="00830.TW-BestAskSize" advise="1">
        <values>
          <value>
            <val>13</val>
          </value>
        </values>
      </ddeItem>
      <ddeItem name="00830.TW-BestBidSize" advise="1">
        <values>
          <value>
            <val>44</val>
          </value>
        </values>
      </ddeItem>
      <ddeItem name="00830.TW-Beta" advise="1">
        <values>
          <value t="str">
            <val>--</val>
          </value>
        </values>
      </ddeItem>
      <ddeItem name="00830.TW-Bid" advise="1">
        <values>
          <value>
            <val>31.11</val>
          </value>
        </values>
      </ddeItem>
      <ddeItem name="00830.TW-Capital" advise="1">
        <values>
          <value t="str">
            <val>--</val>
          </value>
        </values>
      </ddeItem>
      <ddeItem name="00830.TW-CashDividend" advise="1">
        <values>
          <value t="str">
            <val>0.12</val>
          </value>
        </values>
      </ddeItem>
      <ddeItem name="00830.TW-CashDividendYieldRate" advise="1">
        <values>
          <value>
            <val>0.39</val>
          </value>
        </values>
      </ddeItem>
      <ddeItem name="00830.TW-ChipsField25" advise="1">
        <values>
          <value t="str">
            <val>2023/01/30</val>
          </value>
        </values>
      </ddeItem>
      <ddeItem name="00830.TW-ChipsField26" advise="1">
        <values>
          <value t="str">
            <val>2023/03/02</val>
          </value>
        </values>
      </ddeItem>
      <ddeItem name="00830.TW-ChipsField27" advise="1">
        <values>
          <value t="str">
            <val>--</val>
          </value>
        </values>
      </ddeItem>
      <ddeItem name="00830.TW-CurrentRatio" advise="1">
        <values>
          <value t="str">
            <val>--</val>
          </value>
        </values>
      </ddeItem>
      <ddeItem name="00830.TW-High" advise="1">
        <values>
          <value>
            <val>31.15</val>
          </value>
        </values>
      </ddeItem>
      <ddeItem name="00830.TW-ID" advise="1">
        <values>
          <value t="str">
            <val>00830</val>
          </value>
        </values>
      </ddeItem>
      <ddeItem name="00830.TW-InventoryTurnoverRatio" advise="1">
        <values>
          <value t="str">
            <val>--</val>
          </value>
        </values>
      </ddeItem>
      <ddeItem name="00830.TW-LiabilityRatio" advise="1">
        <values>
          <value t="str">
            <val>--</val>
          </value>
        </values>
      </ddeItem>
      <ddeItem name="00830.TW-Low" advise="1">
        <values>
          <value>
            <val>31.08</val>
          </value>
        </values>
      </ddeItem>
      <ddeItem name="00830.TW-ManagementPercent" advise="1">
        <values>
          <value>
            <val>0.97</val>
          </value>
        </values>
      </ddeItem>
      <ddeItem name="00830.TW-MarketValue" advise="1">
        <values>
          <value t="str">
            <val>--</val>
          </value>
        </values>
      </ddeItem>
      <ddeItem name="00830.TW-Name" advise="1">
        <values>
          <value t="str">
            <val>國泰費城半導體</val>
          </value>
        </values>
      </ddeItem>
      <ddeItem name="00830.TW-NetProfitMargin" advise="1">
        <values>
          <value t="str">
            <val>--</val>
          </value>
        </values>
      </ddeItem>
      <ddeItem name="00830.TW-Open" advise="1">
        <values>
          <value>
            <val>31.14</val>
          </value>
        </values>
      </ddeItem>
      <ddeItem name="00830.TW-OperatingProfitRatio" advise="1">
        <values>
          <value t="str">
            <val>--</val>
          </value>
        </values>
      </ddeItem>
      <ddeItem name="00830.TW-PBRatio" advise="1">
        <values>
          <value t="str">
            <val>--</val>
          </value>
        </values>
      </ddeItem>
      <ddeItem name="00830.TW-PERatio" advise="1">
        <values>
          <value t="str">
            <val>--</val>
          </value>
        </values>
      </ddeItem>
      <ddeItem name="00830.TW-Price" advise="1">
        <values>
          <value>
            <val>31.12</val>
          </value>
        </values>
      </ddeItem>
      <ddeItem name="00830.TW-PriceChange" advise="1">
        <values>
          <value>
            <val>0.39</val>
          </value>
        </values>
      </ddeItem>
      <ddeItem name="00830.TW-PriceChangeRatio" advise="1">
        <values>
          <value>
            <val>1.27</val>
          </value>
        </values>
      </ddeItem>
      <ddeItem name="00830.TW-Profit" advise="1">
        <values>
          <value t="str">
            <val>--</val>
          </value>
        </values>
      </ddeItem>
      <ddeItem name="00830.TW-ProfitMargin" advise="1">
        <values>
          <value t="str">
            <val>--</val>
          </value>
        </values>
      </ddeItem>
      <ddeItem name="00830.TW-QuickRatio" advise="1">
        <values>
          <value t="str">
            <val>--</val>
          </value>
        </values>
      </ddeItem>
      <ddeItem name="00830.TW-ReceivablesTurnoverRatio" advise="1">
        <values>
          <value t="str">
            <val>--</val>
          </value>
        </values>
      </ddeItem>
      <ddeItem name="00830.TW-ReturnOnAssets" advise="1">
        <values>
          <value t="str">
            <val>--</val>
          </value>
        </values>
      </ddeItem>
      <ddeItem name="00830.TW-ROE" advise="1">
        <values>
          <value t="str">
            <val>--</val>
          </value>
        </values>
      </ddeItem>
      <ddeItem name="00830.TW-StockDividend" advise="1">
        <values>
          <value t="str">
            <val>--</val>
          </value>
        </values>
      </ddeItem>
      <ddeItem name="00830.TW-StockNetValue" advise="1">
        <values>
          <value t="str">
            <val>--</val>
          </value>
        </values>
      </ddeItem>
      <ddeItem name="00830.TW-TimesInterestEarne" advise="1">
        <values>
          <value t="str">
            <val>--</val>
          </value>
        </values>
      </ddeItem>
      <ddeItem name="00830.TW-TotalVolume" advise="1">
        <values>
          <value>
            <val>2425</val>
          </value>
        </values>
      </ddeItem>
      <ddeItem name="00830.TW-Volume" advise="1">
        <values>
          <value>
            <val>57</val>
          </value>
        </values>
      </ddeItem>
      <ddeItem name="00850.TW-Ask" advise="1">
        <values>
          <value>
            <val>33.42</val>
          </value>
        </values>
      </ddeItem>
      <ddeItem name="00850.TW-BestAskSize" advise="1">
        <values>
          <value>
            <val>3</val>
          </value>
        </values>
      </ddeItem>
      <ddeItem name="00850.TW-BestBidSize" advise="1">
        <values>
          <value>
            <val>34</val>
          </value>
        </values>
      </ddeItem>
      <ddeItem name="00850.TW-Beta" advise="1">
        <values>
          <value t="str">
            <val>--</val>
          </value>
        </values>
      </ddeItem>
      <ddeItem name="00850.TW-Bid" advise="1">
        <values>
          <value>
            <val>33.409999999999997</val>
          </value>
        </values>
      </ddeItem>
      <ddeItem name="00850.TW-Capital" advise="1">
        <values>
          <value t="str">
            <val>--</val>
          </value>
        </values>
      </ddeItem>
      <ddeItem name="00850.TW-CashDividend" advise="1">
        <values>
          <value t="str">
            <val>1.48</val>
          </value>
        </values>
      </ddeItem>
      <ddeItem name="00850.TW-CashDividendYieldRate" advise="1">
        <values>
          <value>
            <val>4.43</val>
          </value>
        </values>
      </ddeItem>
      <ddeItem name="00850.TW-ChipsField25" advise="1">
        <values>
          <value t="str">
            <val>2022/11/16</val>
          </value>
        </values>
      </ddeItem>
      <ddeItem name="00850.TW-ChipsField26" advise="1">
        <values>
          <value t="str">
            <val>2022/12/20</val>
          </value>
        </values>
      </ddeItem>
      <ddeItem name="00850.TW-ChipsField27" advise="1">
        <values>
          <value t="str">
            <val>--</val>
          </value>
        </values>
      </ddeItem>
      <ddeItem name="00850.TW-CurrentRatio" advise="1">
        <values>
          <value t="str">
            <val>--</val>
          </value>
        </values>
      </ddeItem>
      <ddeItem name="00850.TW-High" advise="1">
        <values>
          <value>
            <val>33.409999999999997</val>
          </value>
        </values>
      </ddeItem>
      <ddeItem name="00850.TW-ID" advise="1">
        <values>
          <value t="str">
            <val>00850</val>
          </value>
        </values>
      </ddeItem>
      <ddeItem name="00850.TW-InventoryTurnoverRatio" advise="1">
        <values>
          <value t="str">
            <val>--</val>
          </value>
        </values>
      </ddeItem>
      <ddeItem name="00850.TW-LiabilityRatio" advise="1">
        <values>
          <value t="str">
            <val>--</val>
          </value>
        </values>
      </ddeItem>
      <ddeItem name="00850.TW-Low" advise="1">
        <values>
          <value>
            <val>33.14</val>
          </value>
        </values>
      </ddeItem>
      <ddeItem name="00850.TW-ManagementPercent" advise="1">
        <values>
          <value>
            <val>0.42</val>
          </value>
        </values>
      </ddeItem>
      <ddeItem name="00850.TW-MarketValue" advise="1">
        <values>
          <value t="str">
            <val>--</val>
          </value>
        </values>
      </ddeItem>
      <ddeItem name="00850.TW-Name" advise="1">
        <values>
          <value t="str">
            <val>元大臺灣ESG永續</val>
          </value>
        </values>
      </ddeItem>
      <ddeItem name="00850.TW-NetProfitMargin" advise="1">
        <values>
          <value t="str">
            <val>--</val>
          </value>
        </values>
      </ddeItem>
      <ddeItem name="00850.TW-Open" advise="1">
        <values>
          <value>
            <val>33.14</val>
          </value>
        </values>
      </ddeItem>
      <ddeItem name="00850.TW-OperatingProfitRatio" advise="1">
        <values>
          <value t="str">
            <val>--</val>
          </value>
        </values>
      </ddeItem>
      <ddeItem name="00850.TW-PBRatio" advise="1">
        <values>
          <value t="str">
            <val>--</val>
          </value>
        </values>
      </ddeItem>
      <ddeItem name="00850.TW-PERatio" advise="1">
        <values>
          <value t="str">
            <val>--</val>
          </value>
        </values>
      </ddeItem>
      <ddeItem name="00850.TW-Price" advise="1">
        <values>
          <value>
            <val>33.409999999999997</val>
          </value>
        </values>
      </ddeItem>
      <ddeItem name="00850.TW-PriceChange" advise="1">
        <values>
          <value>
            <val>0.32</val>
          </value>
        </values>
      </ddeItem>
      <ddeItem name="00850.TW-PriceChangeRatio" advise="1">
        <values>
          <value>
            <val>0.97</val>
          </value>
        </values>
      </ddeItem>
      <ddeItem name="00850.TW-Profit" advise="1">
        <values>
          <value t="str">
            <val>--</val>
          </value>
        </values>
      </ddeItem>
      <ddeItem name="00850.TW-ProfitMargin" advise="1">
        <values>
          <value t="str">
            <val>--</val>
          </value>
        </values>
      </ddeItem>
      <ddeItem name="00850.TW-QuickRatio" advise="1">
        <values>
          <value t="str">
            <val>--</val>
          </value>
        </values>
      </ddeItem>
      <ddeItem name="00850.TW-ReceivablesTurnoverRatio" advise="1">
        <values>
          <value t="str">
            <val>--</val>
          </value>
        </values>
      </ddeItem>
      <ddeItem name="00850.TW-ReturnOnAssets" advise="1">
        <values>
          <value t="str">
            <val>--</val>
          </value>
        </values>
      </ddeItem>
      <ddeItem name="00850.TW-ROE" advise="1">
        <values>
          <value t="str">
            <val>--</val>
          </value>
        </values>
      </ddeItem>
      <ddeItem name="00850.TW-StockDividend" advise="1">
        <values>
          <value t="str">
            <val>--</val>
          </value>
        </values>
      </ddeItem>
      <ddeItem name="00850.TW-StockNetValue" advise="1">
        <values>
          <value t="str">
            <val>--</val>
          </value>
        </values>
      </ddeItem>
      <ddeItem name="00850.TW-TimesInterestEarne" advise="1">
        <values>
          <value t="str">
            <val>--</val>
          </value>
        </values>
      </ddeItem>
      <ddeItem name="00850.TW-TotalVolume" advise="1">
        <values>
          <value>
            <val>1647</val>
          </value>
        </values>
      </ddeItem>
      <ddeItem name="00850.TW-Volume" advise="1">
        <values>
          <value>
            <val>67</val>
          </value>
        </values>
      </ddeItem>
      <ddeItem name="00878.TW-Ask" advise="1">
        <values>
          <value>
            <val>18.79</val>
          </value>
        </values>
      </ddeItem>
      <ddeItem name="00878.TW-BestAskSize" advise="1">
        <values>
          <value>
            <val>1642</val>
          </value>
        </values>
      </ddeItem>
      <ddeItem name="00878.TW-BestBidSize" advise="1">
        <values>
          <value>
            <val>425</val>
          </value>
        </values>
      </ddeItem>
      <ddeItem name="00878.TW-Beta" advise="1">
        <values>
          <value t="str">
            <val>--</val>
          </value>
        </values>
      </ddeItem>
      <ddeItem name="00878.TW-Bid" advise="1">
        <values>
          <value>
            <val>18.78</val>
          </value>
        </values>
      </ddeItem>
      <ddeItem name="00878.TW-Capital" advise="1">
        <values>
          <value t="str">
            <val>--</val>
          </value>
        </values>
      </ddeItem>
      <ddeItem name="00878.TW-CashDividend" advise="1">
        <values>
          <value t="str">
            <val>0.27</val>
          </value>
        </values>
      </ddeItem>
      <ddeItem name="00878.TW-CashDividendYieldRate" advise="1">
        <values>
          <value>
            <val>5.86</val>
          </value>
        </values>
      </ddeItem>
      <ddeItem name="00878.TW-ChipsField25" advise="1">
        <values>
          <value t="str">
            <val>2023/05/17</val>
          </value>
        </values>
      </ddeItem>
      <ddeItem name="00878.TW-ChipsField26" advise="1">
        <values>
          <value t="str">
            <val>2023/06/12</val>
          </value>
        </values>
      </ddeItem>
      <ddeItem name="00878.TW-ChipsField27" advise="1">
        <values>
          <value t="str">
            <val>--</val>
          </value>
        </values>
      </ddeItem>
      <ddeItem name="00878.TW-CurrentRatio" advise="1">
        <values>
          <value t="str">
            <val>--</val>
          </value>
        </values>
      </ddeItem>
      <ddeItem name="00878.TW-High" advise="1">
        <values>
          <value>
            <val>18.79</val>
          </value>
        </values>
      </ddeItem>
      <ddeItem name="00878.TW-ID" advise="1">
        <values>
          <value t="str">
            <val>00878</val>
          </value>
        </values>
      </ddeItem>
      <ddeItem name="00878.TW-InventoryTurnoverRatio" advise="1">
        <values>
          <value t="str">
            <val>--</val>
          </value>
        </values>
      </ddeItem>
      <ddeItem name="00878.TW-LiabilityRatio" advise="1">
        <values>
          <value t="str">
            <val>--</val>
          </value>
        </values>
      </ddeItem>
      <ddeItem name="00878.TW-Low" advise="1">
        <values>
          <value>
            <val>18.66</val>
          </value>
        </values>
      </ddeItem>
      <ddeItem name="00878.TW-ManagementPercent" advise="1">
        <values>
          <value>
            <val>0.64</val>
          </value>
        </values>
      </ddeItem>
      <ddeItem name="00878.TW-MarketValue" advise="1">
        <values>
          <value t="str">
            <val>--</val>
          </value>
        </values>
      </ddeItem>
      <ddeItem name="00878.TW-Name" advise="1">
        <values>
          <value t="str">
            <val>國泰永續高股息</val>
          </value>
        </values>
      </ddeItem>
      <ddeItem name="00878.TW-NetProfitMargin" advise="1">
        <values>
          <value t="str">
            <val>--</val>
          </value>
        </values>
      </ddeItem>
      <ddeItem name="00878.TW-Open" advise="1">
        <values>
          <value>
            <val>18.66</val>
          </value>
        </values>
      </ddeItem>
      <ddeItem name="00878.TW-OperatingProfitRatio" advise="1">
        <values>
          <value t="str">
            <val>--</val>
          </value>
        </values>
      </ddeItem>
      <ddeItem name="00878.TW-PBRatio" advise="1">
        <values>
          <value t="str">
            <val>--</val>
          </value>
        </values>
      </ddeItem>
      <ddeItem name="00878.TW-PERatio" advise="1">
        <values>
          <value t="str">
            <val>--</val>
          </value>
        </values>
      </ddeItem>
      <ddeItem name="00878.TW-Price" advise="1">
        <values>
          <value>
            <val>18.78</val>
          </value>
        </values>
      </ddeItem>
      <ddeItem name="00878.TW-PriceChange" advise="1">
        <values>
          <value>
            <val>0.13</val>
          </value>
        </values>
      </ddeItem>
      <ddeItem name="00878.TW-PriceChangeRatio" advise="1">
        <values>
          <value>
            <val>0.7</val>
          </value>
        </values>
      </ddeItem>
      <ddeItem name="00878.TW-Profit" advise="1">
        <values>
          <value t="str">
            <val>--</val>
          </value>
        </values>
      </ddeItem>
      <ddeItem name="00878.TW-ProfitMargin" advise="1">
        <values>
          <value t="str">
            <val>--</val>
          </value>
        </values>
      </ddeItem>
      <ddeItem name="00878.TW-QuickRatio" advise="1">
        <values>
          <value t="str">
            <val>--</val>
          </value>
        </values>
      </ddeItem>
      <ddeItem name="00878.TW-ReceivablesTurnoverRatio" advise="1">
        <values>
          <value t="str">
            <val>--</val>
          </value>
        </values>
      </ddeItem>
      <ddeItem name="00878.TW-ReturnOnAssets" advise="1">
        <values>
          <value t="str">
            <val>--</val>
          </value>
        </values>
      </ddeItem>
      <ddeItem name="00878.TW-ROE" advise="1">
        <values>
          <value t="str">
            <val>--</val>
          </value>
        </values>
      </ddeItem>
      <ddeItem name="00878.TW-StockDividend" advise="1">
        <values>
          <value t="str">
            <val>--</val>
          </value>
        </values>
      </ddeItem>
      <ddeItem name="00878.TW-StockNetValue" advise="1">
        <values>
          <value t="str">
            <val>--</val>
          </value>
        </values>
      </ddeItem>
      <ddeItem name="00878.TW-TimesInterestEarne" advise="1">
        <values>
          <value t="str">
            <val>--</val>
          </value>
        </values>
      </ddeItem>
      <ddeItem name="00878.TW-TotalVolume" advise="1">
        <values>
          <value>
            <val>42608</val>
          </value>
        </values>
      </ddeItem>
      <ddeItem name="00878.TW-Volume" advise="1">
        <values>
          <value>
            <val>1160</val>
          </value>
        </values>
      </ddeItem>
      <ddeItem name="00881.TW-Ask" advise="1">
        <values>
          <value>
            <val>16.39</val>
          </value>
        </values>
      </ddeItem>
      <ddeItem name="00881.TW-BestAskSize" advise="1">
        <values>
          <value>
            <val>919</val>
          </value>
        </values>
      </ddeItem>
      <ddeItem name="00881.TW-BestBidSize" advise="1">
        <values>
          <value>
            <val>116</val>
          </value>
        </values>
      </ddeItem>
      <ddeItem name="00881.TW-Beta" advise="1">
        <values>
          <value t="str">
            <val>--</val>
          </value>
        </values>
      </ddeItem>
      <ddeItem name="00881.TW-Bid" advise="1">
        <values>
          <value>
            <val>16.38</val>
          </value>
        </values>
      </ddeItem>
      <ddeItem name="00881.TW-Capital" advise="1">
        <values>
          <value t="str">
            <val>--</val>
          </value>
        </values>
      </ddeItem>
      <ddeItem name="00881.TW-CashDividend" advise="1">
        <values>
          <value t="str">
            <val>0.35</val>
          </value>
        </values>
      </ddeItem>
      <ddeItem name="00881.TW-CashDividendYieldRate" advise="1">
        <values>
          <value>
            <val>3.72</val>
          </value>
        </values>
      </ddeItem>
      <ddeItem name="00881.TW-ChipsField25" advise="1">
        <values>
          <value t="str">
            <val>2023/01/30</val>
          </value>
        </values>
      </ddeItem>
      <ddeItem name="00881.TW-ChipsField26" advise="1">
        <values>
          <value t="str">
            <val>2023/03/02</val>
          </value>
        </values>
      </ddeItem>
      <ddeItem name="00881.TW-ChipsField27" advise="1">
        <values>
          <value t="str">
            <val>--</val>
          </value>
        </values>
      </ddeItem>
      <ddeItem name="00881.TW-CurrentRatio" advise="1">
        <values>
          <value t="str">
            <val>--</val>
          </value>
        </values>
      </ddeItem>
      <ddeItem name="00881.TW-High" advise="1">
        <values>
          <value>
            <val>16.39</val>
          </value>
        </values>
      </ddeItem>
      <ddeItem name="00881.TW-ID" advise="1">
        <values>
          <value t="str">
            <val>00881</val>
          </value>
        </values>
      </ddeItem>
      <ddeItem name="00881.TW-InventoryTurnoverRatio" advise="1">
        <values>
          <value t="str">
            <val>--</val>
          </value>
        </values>
      </ddeItem>
      <ddeItem name="00881.TW-LiabilityRatio" advise="1">
        <values>
          <value t="str">
            <val>--</val>
          </value>
        </values>
      </ddeItem>
      <ddeItem name="00881.TW-Low" advise="1">
        <values>
          <value>
            <val>16.149999999999999</val>
          </value>
        </values>
      </ddeItem>
      <ddeItem name="00881.TW-ManagementPercent" advise="1">
        <values>
          <value>
            <val>0.57999999999999996</val>
          </value>
        </values>
      </ddeItem>
      <ddeItem name="00881.TW-MarketValue" advise="1">
        <values>
          <value t="str">
            <val>--</val>
          </value>
        </values>
      </ddeItem>
      <ddeItem name="00881.TW-Name" advise="1">
        <values>
          <value t="str">
            <val>國泰台灣5G+</val>
          </value>
        </values>
      </ddeItem>
      <ddeItem name="00881.TW-NetProfitMargin" advise="1">
        <values>
          <value t="str">
            <val>--</val>
          </value>
        </values>
      </ddeItem>
      <ddeItem name="00881.TW-Open" advise="1">
        <values>
          <value>
            <val>16.149999999999999</val>
          </value>
        </values>
      </ddeItem>
      <ddeItem name="00881.TW-OperatingProfitRatio" advise="1">
        <values>
          <value t="str">
            <val>--</val>
          </value>
        </values>
      </ddeItem>
      <ddeItem name="00881.TW-PBRatio" advise="1">
        <values>
          <value t="str">
            <val>--</val>
          </value>
        </values>
      </ddeItem>
      <ddeItem name="00881.TW-PERatio" advise="1">
        <values>
          <value t="str">
            <val>--</val>
          </value>
        </values>
      </ddeItem>
      <ddeItem name="00881.TW-Price" advise="1">
        <values>
          <value>
            <val>16.38</val>
          </value>
        </values>
      </ddeItem>
      <ddeItem name="00881.TW-PriceChange" advise="1">
        <values>
          <value>
            <val>0.23</val>
          </value>
        </values>
      </ddeItem>
      <ddeItem name="00881.TW-PriceChangeRatio" advise="1">
        <values>
          <value>
            <val>1.42</val>
          </value>
        </values>
      </ddeItem>
      <ddeItem name="00881.TW-Profit" advise="1">
        <values>
          <value t="str">
            <val>--</val>
          </value>
        </values>
      </ddeItem>
      <ddeItem name="00881.TW-ProfitMargin" advise="1">
        <values>
          <value t="str">
            <val>--</val>
          </value>
        </values>
      </ddeItem>
      <ddeItem name="00881.TW-QuickRatio" advise="1">
        <values>
          <value t="str">
            <val>--</val>
          </value>
        </values>
      </ddeItem>
      <ddeItem name="00881.TW-ReceivablesTurnoverRatio" advise="1">
        <values>
          <value t="str">
            <val>--</val>
          </value>
        </values>
      </ddeItem>
      <ddeItem name="00881.TW-ReturnOnAssets" advise="1">
        <values>
          <value t="str">
            <val>--</val>
          </value>
        </values>
      </ddeItem>
      <ddeItem name="00881.TW-ROE" advise="1">
        <values>
          <value t="str">
            <val>--</val>
          </value>
        </values>
      </ddeItem>
      <ddeItem name="00881.TW-StockDividend" advise="1">
        <values>
          <value t="str">
            <val>--</val>
          </value>
        </values>
      </ddeItem>
      <ddeItem name="00881.TW-StockNetValue" advise="1">
        <values>
          <value t="str">
            <val>--</val>
          </value>
        </values>
      </ddeItem>
      <ddeItem name="00881.TW-TimesInterestEarne" advise="1">
        <values>
          <value t="str">
            <val>--</val>
          </value>
        </values>
      </ddeItem>
      <ddeItem name="00881.TW-TotalVolume" advise="1">
        <values>
          <value>
            <val>21591</val>
          </value>
        </values>
      </ddeItem>
      <ddeItem name="00881.TW-Volume" advise="1">
        <values>
          <value>
            <val>406</val>
          </value>
        </values>
      </ddeItem>
      <ddeItem name="00882.TW-Ask" advise="1">
        <values>
          <value>
            <val>11.64</val>
          </value>
        </values>
      </ddeItem>
      <ddeItem name="00882.TW-BestAskSize" advise="1">
        <values>
          <value>
            <val>168</val>
          </value>
        </values>
      </ddeItem>
      <ddeItem name="00882.TW-BestBidSize" advise="1">
        <values>
          <value>
            <val>445</val>
          </value>
        </values>
      </ddeItem>
      <ddeItem name="00882.TW-Beta" advise="1">
        <values>
          <value t="str">
            <val>--</val>
          </value>
        </values>
      </ddeItem>
      <ddeItem name="00882.TW-Bid" advise="1">
        <values>
          <value>
            <val>11.63</val>
          </value>
        </values>
      </ddeItem>
      <ddeItem name="00882.TW-Capital" advise="1">
        <values>
          <value t="str">
            <val>--</val>
          </value>
        </values>
      </ddeItem>
      <ddeItem name="00882.TW-CashDividend" advise="1">
        <values>
          <value t="str">
            <val>0.30</val>
          </value>
        </values>
      </ddeItem>
      <ddeItem name="00882.TW-CashDividendYieldRate" advise="1">
        <values>
          <value>
            <val>9.8800000000000008</val>
          </value>
        </values>
      </ddeItem>
      <ddeItem name="00882.TW-ChipsField25" advise="1">
        <values>
          <value t="str">
            <val>2023/01/17</val>
          </value>
        </values>
      </ddeItem>
      <ddeItem name="00882.TW-ChipsField26" advise="1">
        <values>
          <value t="str">
            <val>2023/02/20</val>
          </value>
        </values>
      </ddeItem>
      <ddeItem name="00882.TW-ChipsField27" advise="1">
        <values>
          <value t="str">
            <val>--</val>
          </value>
        </values>
      </ddeItem>
      <ddeItem name="00882.TW-CurrentRatio" advise="1">
        <values>
          <value t="str">
            <val>--</val>
          </value>
        </values>
      </ddeItem>
      <ddeItem name="00882.TW-High" advise="1">
        <values>
          <value>
            <val>11.72</val>
          </value>
        </values>
      </ddeItem>
      <ddeItem name="00882.TW-ID" advise="1">
        <values>
          <value t="str">
            <val>00882</val>
          </value>
        </values>
      </ddeItem>
      <ddeItem name="00882.TW-InventoryTurnoverRatio" advise="1">
        <values>
          <value t="str">
            <val>--</val>
          </value>
        </values>
      </ddeItem>
      <ddeItem name="00882.TW-LiabilityRatio" advise="1">
        <values>
          <value t="str">
            <val>--</val>
          </value>
        </values>
      </ddeItem>
      <ddeItem name="00882.TW-Low" advise="1">
        <values>
          <value>
            <val>11.6</val>
          </value>
        </values>
      </ddeItem>
      <ddeItem name="00882.TW-ManagementPercent" advise="1">
        <values>
          <value>
            <val>1.38</val>
          </value>
        </values>
      </ddeItem>
      <ddeItem name="00882.TW-MarketValue" advise="1">
        <values>
          <value t="str">
            <val>--</val>
          </value>
        </values>
      </ddeItem>
      <ddeItem name="00882.TW-Name" advise="1">
        <values>
          <value t="str">
            <val>中信中國高股息</val>
          </value>
        </values>
      </ddeItem>
      <ddeItem name="00882.TW-NetProfitMargin" advise="1">
        <values>
          <value t="str">
            <val>--</val>
          </value>
        </values>
      </ddeItem>
      <ddeItem name="00882.TW-Open" advise="1">
        <values>
          <value>
            <val>11.68</val>
          </value>
        </values>
      </ddeItem>
      <ddeItem name="00882.TW-OperatingProfitRatio" advise="1">
        <values>
          <value t="str">
            <val>--</val>
          </value>
        </values>
      </ddeItem>
      <ddeItem name="00882.TW-PBRatio" advise="1">
        <values>
          <value t="str">
            <val>--</val>
          </value>
        </values>
      </ddeItem>
      <ddeItem name="00882.TW-PERatio" advise="1">
        <values>
          <value t="str">
            <val>--</val>
          </value>
        </values>
      </ddeItem>
      <ddeItem name="00882.TW-Price" advise="1">
        <values>
          <value>
            <val>11.64</val>
          </value>
        </values>
      </ddeItem>
      <ddeItem name="00882.TW-PriceChange" advise="1">
        <values>
          <value>
            <val>-0.01</val>
          </value>
        </values>
      </ddeItem>
      <ddeItem name="00882.TW-PriceChangeRatio" advise="1">
        <values>
          <value>
            <val>-0.09</val>
          </value>
        </values>
      </ddeItem>
      <ddeItem name="00882.TW-Profit" advise="1">
        <values>
          <value t="str">
            <val>--</val>
          </value>
        </values>
      </ddeItem>
      <ddeItem name="00882.TW-ProfitMargin" advise="1">
        <values>
          <value t="str">
            <val>--</val>
          </value>
        </values>
      </ddeItem>
      <ddeItem name="00882.TW-QuickRatio" advise="1">
        <values>
          <value t="str">
            <val>--</val>
          </value>
        </values>
      </ddeItem>
      <ddeItem name="00882.TW-ReceivablesTurnoverRatio" advise="1">
        <values>
          <value t="str">
            <val>--</val>
          </value>
        </values>
      </ddeItem>
      <ddeItem name="00882.TW-ReturnOnAssets" advise="1">
        <values>
          <value t="str">
            <val>--</val>
          </value>
        </values>
      </ddeItem>
      <ddeItem name="00882.TW-ROE" advise="1">
        <values>
          <value t="str">
            <val>--</val>
          </value>
        </values>
      </ddeItem>
      <ddeItem name="00882.TW-StockDividend" advise="1">
        <values>
          <value t="str">
            <val>--</val>
          </value>
        </values>
      </ddeItem>
      <ddeItem name="00882.TW-StockNetValue" advise="1">
        <values>
          <value t="str">
            <val>--</val>
          </value>
        </values>
      </ddeItem>
      <ddeItem name="00882.TW-TimesInterestEarne" advise="1">
        <values>
          <value t="str">
            <val>--</val>
          </value>
        </values>
      </ddeItem>
      <ddeItem name="00882.TW-TotalVolume" advise="1">
        <values>
          <value>
            <val>25603</val>
          </value>
        </values>
      </ddeItem>
      <ddeItem name="00882.TW-Volume" advise="1">
        <values>
          <value>
            <val>414</val>
          </value>
        </values>
      </ddeItem>
      <ddeItem name="00885.TW-Ask" advise="1">
        <values>
          <value>
            <val>11.74</val>
          </value>
        </values>
      </ddeItem>
      <ddeItem name="00885.TW-BestAskSize" advise="1">
        <values>
          <value>
            <val>145</val>
          </value>
        </values>
      </ddeItem>
      <ddeItem name="00885.TW-BestBidSize" advise="1">
        <values>
          <value>
            <val>593</val>
          </value>
        </values>
      </ddeItem>
      <ddeItem name="00885.TW-Beta" advise="1">
        <values>
          <value t="str">
            <val>--</val>
          </value>
        </values>
      </ddeItem>
      <ddeItem name="00885.TW-Bid" advise="1">
        <values>
          <value>
            <val>11.73</val>
          </value>
        </values>
      </ddeItem>
      <ddeItem name="00885.TW-Capital" advise="1">
        <values>
          <value t="str">
            <val>--</val>
          </value>
        </values>
      </ddeItem>
      <ddeItem name="00885.TW-CashDividend" advise="1">
        <values>
          <value t="str">
            <val>--</val>
          </value>
        </values>
      </ddeItem>
      <ddeItem name="00885.TW-CashDividendYieldRate" advise="1">
        <values>
          <value>
            <val>0</val>
          </value>
        </values>
      </ddeItem>
      <ddeItem name="00885.TW-ChipsField25" advise="1">
        <values>
          <value t="str">
            <val>--</val>
          </value>
        </values>
      </ddeItem>
      <ddeItem name="00885.TW-ChipsField26" advise="1">
        <values>
          <value t="str">
            <val>--</val>
          </value>
        </values>
      </ddeItem>
      <ddeItem name="00885.TW-ChipsField27" advise="1">
        <values>
          <value t="str">
            <val>--</val>
          </value>
        </values>
      </ddeItem>
      <ddeItem name="00885.TW-CurrentRatio" advise="1">
        <values>
          <value t="str">
            <val>--</val>
          </value>
        </values>
      </ddeItem>
      <ddeItem name="00885.TW-High" advise="1">
        <values>
          <value>
            <val>11.76</val>
          </value>
        </values>
      </ddeItem>
      <ddeItem name="00885.TW-ID" advise="1">
        <values>
          <value t="str">
            <val>00885</val>
          </value>
        </values>
      </ddeItem>
      <ddeItem name="00885.TW-InventoryTurnoverRatio" advise="1">
        <values>
          <value t="str">
            <val>--</val>
          </value>
        </values>
      </ddeItem>
      <ddeItem name="00885.TW-LiabilityRatio" advise="1">
        <values>
          <value t="str">
            <val>--</val>
          </value>
        </values>
      </ddeItem>
      <ddeItem name="00885.TW-Low" advise="1">
        <values>
          <value>
            <val>11.71</val>
          </value>
        </values>
      </ddeItem>
      <ddeItem name="00885.TW-ManagementPercent" advise="1">
        <values>
          <value>
            <val>1.28</val>
          </value>
        </values>
      </ddeItem>
      <ddeItem name="00885.TW-MarketValue" advise="1">
        <values>
          <value t="str">
            <val>--</val>
          </value>
        </values>
      </ddeItem>
      <ddeItem name="00885.TW-Name" advise="1">
        <values>
          <value t="str">
            <val>富邦越南</val>
          </value>
        </values>
      </ddeItem>
      <ddeItem name="00885.TW-NetProfitMargin" advise="1">
        <values>
          <value t="str">
            <val>--</val>
          </value>
        </values>
      </ddeItem>
      <ddeItem name="00885.TW-Open" advise="1">
        <values>
          <value>
            <val>11.74</val>
          </value>
        </values>
      </ddeItem>
      <ddeItem name="00885.TW-OperatingProfitRatio" advise="1">
        <values>
          <value t="str">
            <val>--</val>
          </value>
        </values>
      </ddeItem>
      <ddeItem name="00885.TW-PBRatio" advise="1">
        <values>
          <value t="str">
            <val>--</val>
          </value>
        </values>
      </ddeItem>
      <ddeItem name="00885.TW-PERatio" advise="1">
        <values>
          <value t="str">
            <val>--</val>
          </value>
        </values>
      </ddeItem>
      <ddeItem name="00885.TW-Price" advise="1">
        <values>
          <value>
            <val>11.74</val>
          </value>
        </values>
      </ddeItem>
      <ddeItem name="00885.TW-PriceChange" advise="1">
        <values>
          <value>
            <val>0.14000000000000001</val>
          </value>
        </values>
      </ddeItem>
      <ddeItem name="00885.TW-PriceChangeRatio" advise="1">
        <values>
          <value>
            <val>1.21</val>
          </value>
        </values>
      </ddeItem>
      <ddeItem name="00885.TW-Profit" advise="1">
        <values>
          <value t="str">
            <val>--</val>
          </value>
        </values>
      </ddeItem>
      <ddeItem name="00885.TW-ProfitMargin" advise="1">
        <values>
          <value t="str">
            <val>--</val>
          </value>
        </values>
      </ddeItem>
      <ddeItem name="00885.TW-QuickRatio" advise="1">
        <values>
          <value t="str">
            <val>--</val>
          </value>
        </values>
      </ddeItem>
      <ddeItem name="00885.TW-ReceivablesTurnoverRatio" advise="1">
        <values>
          <value t="str">
            <val>--</val>
          </value>
        </values>
      </ddeItem>
      <ddeItem name="00885.TW-ReturnOnAssets" advise="1">
        <values>
          <value t="str">
            <val>--</val>
          </value>
        </values>
      </ddeItem>
      <ddeItem name="00885.TW-ROE" advise="1">
        <values>
          <value t="str">
            <val>--</val>
          </value>
        </values>
      </ddeItem>
      <ddeItem name="00885.TW-StockDividend" advise="1">
        <values>
          <value t="str">
            <val>--</val>
          </value>
        </values>
      </ddeItem>
      <ddeItem name="00885.TW-StockNetValue" advise="1">
        <values>
          <value t="str">
            <val>--</val>
          </value>
        </values>
      </ddeItem>
      <ddeItem name="00885.TW-TimesInterestEarne" advise="1">
        <values>
          <value t="str">
            <val>--</val>
          </value>
        </values>
      </ddeItem>
      <ddeItem name="00885.TW-TotalVolume" advise="1">
        <values>
          <value>
            <val>21911</val>
          </value>
        </values>
      </ddeItem>
      <ddeItem name="00885.TW-Volume" advise="1">
        <values>
          <value>
            <val>425</val>
          </value>
        </values>
      </ddeItem>
      <ddeItem name="00888.TW-Ask" advise="1">
        <values>
          <value>
            <val>14.09</val>
          </value>
        </values>
      </ddeItem>
      <ddeItem name="00888.TW-BestAskSize" advise="1">
        <values>
          <value>
            <val>87</val>
          </value>
        </values>
      </ddeItem>
      <ddeItem name="00888.TW-BestBidSize" advise="1">
        <values>
          <value>
            <val>71</val>
          </value>
        </values>
      </ddeItem>
      <ddeItem name="00888.TW-Beta" advise="1">
        <values>
          <value t="str">
            <val>--</val>
          </value>
        </values>
      </ddeItem>
      <ddeItem name="00888.TW-Bid" advise="1">
        <values>
          <value>
            <val>14.08</val>
          </value>
        </values>
      </ddeItem>
      <ddeItem name="00888.TW-Capital" advise="1">
        <values>
          <value t="str">
            <val>--</val>
          </value>
        </values>
      </ddeItem>
      <ddeItem name="00888.TW-CashDividend" advise="1">
        <values>
          <value t="str">
            <val>0.21</val>
          </value>
        </values>
      </ddeItem>
      <ddeItem name="00888.TW-CashDividendYieldRate" advise="1">
        <values>
          <value>
            <val>5.61</val>
          </value>
        </values>
      </ddeItem>
      <ddeItem name="00888.TW-ChipsField25" advise="1">
        <values>
          <value t="str">
            <val>2023/04/21</val>
          </value>
        </values>
      </ddeItem>
      <ddeItem name="00888.TW-ChipsField26" advise="1">
        <values>
          <value t="str">
            <val>2023/05/22</val>
          </value>
        </values>
      </ddeItem>
      <ddeItem name="00888.TW-ChipsField27" advise="1">
        <values>
          <value t="str">
            <val>--</val>
          </value>
        </values>
      </ddeItem>
      <ddeItem name="00888.TW-CurrentRatio" advise="1">
        <values>
          <value t="str">
            <val>--</val>
          </value>
        </values>
      </ddeItem>
      <ddeItem name="00888.TW-High" advise="1">
        <values>
          <value>
            <val>14.09</val>
          </value>
        </values>
      </ddeItem>
      <ddeItem name="00888.TW-ID" advise="1">
        <values>
          <value t="str">
            <val>00888</val>
          </value>
        </values>
      </ddeItem>
      <ddeItem name="00888.TW-InventoryTurnoverRatio" advise="1">
        <values>
          <value t="str">
            <val>--</val>
          </value>
        </values>
      </ddeItem>
      <ddeItem name="00888.TW-LiabilityRatio" advise="1">
        <values>
          <value t="str">
            <val>--</val>
          </value>
        </values>
      </ddeItem>
      <ddeItem name="00888.TW-Low" advise="1">
        <values>
          <value>
            <val>13.97</val>
          </value>
        </values>
      </ddeItem>
      <ddeItem name="00888.TW-ManagementPercent" advise="1">
        <values>
          <value>
            <val>0.63</val>
          </value>
        </values>
      </ddeItem>
      <ddeItem name="00888.TW-MarketValue" advise="1">
        <values>
          <value t="str">
            <val>--</val>
          </value>
        </values>
      </ddeItem>
      <ddeItem name="00888.TW-Name" advise="1">
        <values>
          <value t="str">
            <val>永豐台灣ESG</val>
          </value>
        </values>
      </ddeItem>
      <ddeItem name="00888.TW-NetProfitMargin" advise="1">
        <values>
          <value t="str">
            <val>--</val>
          </value>
        </values>
      </ddeItem>
      <ddeItem name="00888.TW-Open" advise="1">
        <values>
          <value>
            <val>13.97</val>
          </value>
        </values>
      </ddeItem>
      <ddeItem name="00888.TW-OperatingProfitRatio" advise="1">
        <values>
          <value t="str">
            <val>--</val>
          </value>
        </values>
      </ddeItem>
      <ddeItem name="00888.TW-PBRatio" advise="1">
        <values>
          <value t="str">
            <val>--</val>
          </value>
        </values>
      </ddeItem>
      <ddeItem name="00888.TW-PERatio" advise="1">
        <values>
          <value t="str">
            <val>--</val>
          </value>
        </values>
      </ddeItem>
      <ddeItem name="00888.TW-Price" advise="1">
        <values>
          <value>
            <val>14.09</val>
          </value>
        </values>
      </ddeItem>
      <ddeItem name="00888.TW-PriceChange" advise="1">
        <values>
          <value>
            <val>0.16</val>
          </value>
        </values>
      </ddeItem>
      <ddeItem name="00888.TW-PriceChangeRatio" advise="1">
        <values>
          <value>
            <val>1.1499999999999999</val>
          </value>
        </values>
      </ddeItem>
      <ddeItem name="00888.TW-Profit" advise="1">
        <values>
          <value t="str">
            <val>--</val>
          </value>
        </values>
      </ddeItem>
      <ddeItem name="00888.TW-ProfitMargin" advise="1">
        <values>
          <value t="str">
            <val>--</val>
          </value>
        </values>
      </ddeItem>
      <ddeItem name="00888.TW-QuickRatio" advise="1">
        <values>
          <value t="str">
            <val>--</val>
          </value>
        </values>
      </ddeItem>
      <ddeItem name="00888.TW-ReceivablesTurnoverRatio" advise="1">
        <values>
          <value t="str">
            <val>--</val>
          </value>
        </values>
      </ddeItem>
      <ddeItem name="00888.TW-ReturnOnAssets" advise="1">
        <values>
          <value t="str">
            <val>--</val>
          </value>
        </values>
      </ddeItem>
      <ddeItem name="00888.TW-ROE" advise="1">
        <values>
          <value t="str">
            <val>--</val>
          </value>
        </values>
      </ddeItem>
      <ddeItem name="00888.TW-StockDividend" advise="1">
        <values>
          <value t="str">
            <val>--</val>
          </value>
        </values>
      </ddeItem>
      <ddeItem name="00888.TW-StockNetValue" advise="1">
        <values>
          <value t="str">
            <val>--</val>
          </value>
        </values>
      </ddeItem>
      <ddeItem name="00888.TW-TimesInterestEarne" advise="1">
        <values>
          <value t="str">
            <val>--</val>
          </value>
        </values>
      </ddeItem>
      <ddeItem name="00888.TW-TotalVolume" advise="1">
        <values>
          <value>
            <val>5773</val>
          </value>
        </values>
      </ddeItem>
      <ddeItem name="00888.TW-Volume" advise="1">
        <values>
          <value>
            <val>63</val>
          </value>
        </values>
      </ddeItem>
      <ddeItem name="00892.TW-Ask" advise="1">
        <values>
          <value>
            <val>12.62</val>
          </value>
        </values>
      </ddeItem>
      <ddeItem name="00892.TW-BestAskSize" advise="1">
        <values>
          <value>
            <val>129</val>
          </value>
        </values>
      </ddeItem>
      <ddeItem name="00892.TW-BestBidSize" advise="1">
        <values>
          <value>
            <val>57</val>
          </value>
        </values>
      </ddeItem>
      <ddeItem name="00892.TW-Beta" advise="1">
        <values>
          <value t="str">
            <val>--</val>
          </value>
        </values>
      </ddeItem>
      <ddeItem name="00892.TW-Bid" advise="1">
        <values>
          <value>
            <val>12.61</val>
          </value>
        </values>
      </ddeItem>
      <ddeItem name="00892.TW-Capital" advise="1">
        <values>
          <value t="str">
            <val>--</val>
          </value>
        </values>
      </ddeItem>
      <ddeItem name="00892.TW-CashDividend" advise="1">
        <values>
          <value t="str">
            <val>0.35</val>
          </value>
        </values>
      </ddeItem>
      <ddeItem name="00892.TW-CashDividendYieldRate" advise="1">
        <values>
          <value>
            <val>4.5199999999999996</val>
          </value>
        </values>
      </ddeItem>
      <ddeItem name="00892.TW-ChipsField25" advise="1">
        <values>
          <value t="str">
            <val>2022/11/16</val>
          </value>
        </values>
      </ddeItem>
      <ddeItem name="00892.TW-ChipsField26" advise="1">
        <values>
          <value t="str">
            <val>2022/12/19</val>
          </value>
        </values>
      </ddeItem>
      <ddeItem name="00892.TW-ChipsField27" advise="1">
        <values>
          <value t="str">
            <val>--</val>
          </value>
        </values>
      </ddeItem>
      <ddeItem name="00892.TW-CurrentRatio" advise="1">
        <values>
          <value t="str">
            <val>--</val>
          </value>
        </values>
      </ddeItem>
      <ddeItem name="00892.TW-High" advise="1">
        <values>
          <value>
            <val>12.63</val>
          </value>
        </values>
      </ddeItem>
      <ddeItem name="00892.TW-ID" advise="1">
        <values>
          <value t="str">
            <val>00892</val>
          </value>
        </values>
      </ddeItem>
      <ddeItem name="00892.TW-InventoryTurnoverRatio" advise="1">
        <values>
          <value t="str">
            <val>--</val>
          </value>
        </values>
      </ddeItem>
      <ddeItem name="00892.TW-LiabilityRatio" advise="1">
        <values>
          <value t="str">
            <val>--</val>
          </value>
        </values>
      </ddeItem>
      <ddeItem name="00892.TW-Low" advise="1">
        <values>
          <value>
            <val>12.46</val>
          </value>
        </values>
      </ddeItem>
      <ddeItem name="00892.TW-ManagementPercent" advise="1">
        <values>
          <value>
            <val>0.79</val>
          </value>
        </values>
      </ddeItem>
      <ddeItem name="00892.TW-MarketValue" advise="1">
        <values>
          <value t="str">
            <val>--</val>
          </value>
        </values>
      </ddeItem>
      <ddeItem name="00892.TW-Name" advise="1">
        <values>
          <value t="str">
            <val>富邦台灣半導體</val>
          </value>
        </values>
      </ddeItem>
      <ddeItem name="00892.TW-NetProfitMargin" advise="1">
        <values>
          <value t="str">
            <val>--</val>
          </value>
        </values>
      </ddeItem>
      <ddeItem name="00892.TW-Open" advise="1">
        <values>
          <value>
            <val>12.46</val>
          </value>
        </values>
      </ddeItem>
      <ddeItem name="00892.TW-OperatingProfitRatio" advise="1">
        <values>
          <value t="str">
            <val>--</val>
          </value>
        </values>
      </ddeItem>
      <ddeItem name="00892.TW-PBRatio" advise="1">
        <values>
          <value t="str">
            <val>--</val>
          </value>
        </values>
      </ddeItem>
      <ddeItem name="00892.TW-PERatio" advise="1">
        <values>
          <value t="str">
            <val>--</val>
          </value>
        </values>
      </ddeItem>
      <ddeItem name="00892.TW-Price" advise="1">
        <values>
          <value>
            <val>12.61</val>
          </value>
        </values>
      </ddeItem>
      <ddeItem name="00892.TW-PriceChange" advise="1">
        <values>
          <value>
            <val>0.2</val>
          </value>
        </values>
      </ddeItem>
      <ddeItem name="00892.TW-PriceChangeRatio" advise="1">
        <values>
          <value>
            <val>1.61</val>
          </value>
        </values>
      </ddeItem>
      <ddeItem name="00892.TW-Profit" advise="1">
        <values>
          <value t="str">
            <val>--</val>
          </value>
        </values>
      </ddeItem>
      <ddeItem name="00892.TW-ProfitMargin" advise="1">
        <values>
          <value t="str">
            <val>--</val>
          </value>
        </values>
      </ddeItem>
      <ddeItem name="00892.TW-QuickRatio" advise="1">
        <values>
          <value t="str">
            <val>--</val>
          </value>
        </values>
      </ddeItem>
      <ddeItem name="00892.TW-ReceivablesTurnoverRatio" advise="1">
        <values>
          <value t="str">
            <val>--</val>
          </value>
        </values>
      </ddeItem>
      <ddeItem name="00892.TW-ReturnOnAssets" advise="1">
        <values>
          <value t="str">
            <val>--</val>
          </value>
        </values>
      </ddeItem>
      <ddeItem name="00892.TW-ROE" advise="1">
        <values>
          <value t="str">
            <val>--</val>
          </value>
        </values>
      </ddeItem>
      <ddeItem name="00892.TW-StockDividend" advise="1">
        <values>
          <value t="str">
            <val>--</val>
          </value>
        </values>
      </ddeItem>
      <ddeItem name="00892.TW-StockNetValue" advise="1">
        <values>
          <value t="str">
            <val>--</val>
          </value>
        </values>
      </ddeItem>
      <ddeItem name="00892.TW-TimesInterestEarne" advise="1">
        <values>
          <value t="str">
            <val>--</val>
          </value>
        </values>
      </ddeItem>
      <ddeItem name="00892.TW-TotalVolume" advise="1">
        <values>
          <value>
            <val>6114</val>
          </value>
        </values>
      </ddeItem>
      <ddeItem name="00892.TW-Volume" advise="1">
        <values>
          <value>
            <val>78</val>
          </value>
        </values>
      </ddeItem>
      <ddeItem name="00894.TW-Ask" advise="1">
        <values>
          <value>
            <val>14.38</val>
          </value>
        </values>
      </ddeItem>
      <ddeItem name="00894.TW-BestAskSize" advise="1">
        <values>
          <value>
            <val>31</val>
          </value>
        </values>
      </ddeItem>
      <ddeItem name="00894.TW-BestBidSize" advise="1">
        <values>
          <value>
            <val>52</val>
          </value>
        </values>
      </ddeItem>
      <ddeItem name="00894.TW-Beta" advise="1">
        <values>
          <value t="str">
            <val>--</val>
          </value>
        </values>
      </ddeItem>
      <ddeItem name="00894.TW-Bid" advise="1">
        <values>
          <value>
            <val>14.37</val>
          </value>
        </values>
      </ddeItem>
      <ddeItem name="00894.TW-Capital" advise="1">
        <values>
          <value t="str">
            <val>--</val>
          </value>
        </values>
      </ddeItem>
      <ddeItem name="00894.TW-CashDividend" advise="1">
        <values>
          <value t="str">
            <val>0.10</val>
          </value>
        </values>
      </ddeItem>
      <ddeItem name="00894.TW-CashDividendYieldRate" advise="1">
        <values>
          <value>
            <val>3.41</val>
          </value>
        </values>
      </ddeItem>
      <ddeItem name="00894.TW-ChipsField25" advise="1">
        <values>
          <value t="str">
            <val>2023/05/17</val>
          </value>
        </values>
      </ddeItem>
      <ddeItem name="00894.TW-ChipsField26" advise="1">
        <values>
          <value t="str">
            <val>2023/06/12</val>
          </value>
        </values>
      </ddeItem>
      <ddeItem name="00894.TW-ChipsField27" advise="1">
        <values>
          <value t="str">
            <val>--</val>
          </value>
        </values>
      </ddeItem>
      <ddeItem name="00894.TW-CurrentRatio" advise="1">
        <values>
          <value t="str">
            <val>--</val>
          </value>
        </values>
      </ddeItem>
      <ddeItem name="00894.TW-High" advise="1">
        <values>
          <value>
            <val>14.39</val>
          </value>
        </values>
      </ddeItem>
      <ddeItem name="00894.TW-ID" advise="1">
        <values>
          <value t="str">
            <val>00894</val>
          </value>
        </values>
      </ddeItem>
      <ddeItem name="00894.TW-InventoryTurnoverRatio" advise="1">
        <values>
          <value t="str">
            <val>--</val>
          </value>
        </values>
      </ddeItem>
      <ddeItem name="00894.TW-LiabilityRatio" advise="1">
        <values>
          <value t="str">
            <val>--</val>
          </value>
        </values>
      </ddeItem>
      <ddeItem name="00894.TW-Low" advise="1">
        <values>
          <value>
            <val>14.24</val>
          </value>
        </values>
      </ddeItem>
      <ddeItem name="00894.TW-ManagementPercent" advise="1">
        <values>
          <value>
            <val>0.66</val>
          </value>
        </values>
      </ddeItem>
      <ddeItem name="00894.TW-MarketValue" advise="1">
        <values>
          <value t="str">
            <val>--</val>
          </value>
        </values>
      </ddeItem>
      <ddeItem name="00894.TW-Name" advise="1">
        <values>
          <value t="str">
            <val>中信小資高價30</val>
          </value>
        </values>
      </ddeItem>
      <ddeItem name="00894.TW-NetProfitMargin" advise="1">
        <values>
          <value t="str">
            <val>--</val>
          </value>
        </values>
      </ddeItem>
      <ddeItem name="00894.TW-Open" advise="1">
        <values>
          <value>
            <val>14.24</val>
          </value>
        </values>
      </ddeItem>
      <ddeItem name="00894.TW-OperatingProfitRatio" advise="1">
        <values>
          <value t="str">
            <val>--</val>
          </value>
        </values>
      </ddeItem>
      <ddeItem name="00894.TW-PBRatio" advise="1">
        <values>
          <value t="str">
            <val>--</val>
          </value>
        </values>
      </ddeItem>
      <ddeItem name="00894.TW-PERatio" advise="1">
        <values>
          <value t="str">
            <val>--</val>
          </value>
        </values>
      </ddeItem>
      <ddeItem name="00894.TW-Price" advise="1">
        <values>
          <value>
            <val>14.38</val>
          </value>
        </values>
      </ddeItem>
      <ddeItem name="00894.TW-PriceChange" advise="1">
        <values>
          <value>
            <val>0.14000000000000001</val>
          </value>
        </values>
      </ddeItem>
      <ddeItem name="00894.TW-PriceChangeRatio" advise="1">
        <values>
          <value>
            <val>0.98</val>
          </value>
        </values>
      </ddeItem>
      <ddeItem name="00894.TW-Profit" advise="1">
        <values>
          <value t="str">
            <val>--</val>
          </value>
        </values>
      </ddeItem>
      <ddeItem name="00894.TW-ProfitMargin" advise="1">
        <values>
          <value t="str">
            <val>--</val>
          </value>
        </values>
      </ddeItem>
      <ddeItem name="00894.TW-QuickRatio" advise="1">
        <values>
          <value t="str">
            <val>--</val>
          </value>
        </values>
      </ddeItem>
      <ddeItem name="00894.TW-ReceivablesTurnoverRatio" advise="1">
        <values>
          <value t="str">
            <val>--</val>
          </value>
        </values>
      </ddeItem>
      <ddeItem name="00894.TW-ReturnOnAssets" advise="1">
        <values>
          <value t="str">
            <val>--</val>
          </value>
        </values>
      </ddeItem>
      <ddeItem name="00894.TW-ROE" advise="1">
        <values>
          <value t="str">
            <val>--</val>
          </value>
        </values>
      </ddeItem>
      <ddeItem name="00894.TW-StockDividend" advise="1">
        <values>
          <value t="str">
            <val>--</val>
          </value>
        </values>
      </ddeItem>
      <ddeItem name="00894.TW-StockNetValue" advise="1">
        <values>
          <value t="str">
            <val>--</val>
          </value>
        </values>
      </ddeItem>
      <ddeItem name="00894.TW-TimesInterestEarne" advise="1">
        <values>
          <value t="str">
            <val>--</val>
          </value>
        </values>
      </ddeItem>
      <ddeItem name="00894.TW-TotalVolume" advise="1">
        <values>
          <value>
            <val>2075</val>
          </value>
        </values>
      </ddeItem>
      <ddeItem name="00894.TW-Volume" advise="1">
        <values>
          <value>
            <val>40</val>
          </value>
        </values>
      </ddeItem>
      <ddeItem name="00900.TW-Ask" advise="1">
        <values>
          <value>
            <val>12.08</val>
          </value>
        </values>
      </ddeItem>
      <ddeItem name="00900.TW-BestAskSize" advise="1">
        <values>
          <value>
            <val>609</val>
          </value>
        </values>
      </ddeItem>
      <ddeItem name="00900.TW-BestBidSize" advise="1">
        <values>
          <value>
            <val>445</val>
          </value>
        </values>
      </ddeItem>
      <ddeItem name="00900.TW-Beta" advise="1">
        <values>
          <value t="str">
            <val>--</val>
          </value>
        </values>
      </ddeItem>
      <ddeItem name="00900.TW-Bid" advise="1">
        <values>
          <value>
            <val>12.07</val>
          </value>
        </values>
      </ddeItem>
      <ddeItem name="00900.TW-Capital" advise="1">
        <values>
          <value t="str">
            <val>--</val>
          </value>
        </values>
      </ddeItem>
      <ddeItem name="00900.TW-CashDividend" advise="1">
        <values>
          <value t="str">
            <val>0.02</val>
          </value>
        </values>
      </ddeItem>
      <ddeItem name="00900.TW-CashDividendYieldRate" advise="1">
        <values>
          <value>
            <val>12.34</val>
          </value>
        </values>
      </ddeItem>
      <ddeItem name="00900.TW-ChipsField25" advise="1">
        <values>
          <value t="str">
            <val>2023/05/17</val>
          </value>
        </values>
      </ddeItem>
      <ddeItem name="00900.TW-ChipsField26" advise="1">
        <values>
          <value t="str">
            <val>2023/06/12</val>
          </value>
        </values>
      </ddeItem>
      <ddeItem name="00900.TW-ChipsField27" advise="1">
        <values>
          <value t="str">
            <val>--</val>
          </value>
        </values>
      </ddeItem>
      <ddeItem name="00900.TW-CurrentRatio" advise="1">
        <values>
          <value t="str">
            <val>--</val>
          </value>
        </values>
      </ddeItem>
      <ddeItem name="00900.TW-High" advise="1">
        <values>
          <value>
            <val>12.1</val>
          </value>
        </values>
      </ddeItem>
      <ddeItem name="00900.TW-ID" advise="1">
        <values>
          <value t="str">
            <val>00900</val>
          </value>
        </values>
      </ddeItem>
      <ddeItem name="00900.TW-InventoryTurnoverRatio" advise="1">
        <values>
          <value t="str">
            <val>--</val>
          </value>
        </values>
      </ddeItem>
      <ddeItem name="00900.TW-LiabilityRatio" advise="1">
        <values>
          <value t="str">
            <val>--</val>
          </value>
        </values>
      </ddeItem>
      <ddeItem name="00900.TW-Low" advise="1">
        <values>
          <value>
            <val>12.04</val>
          </value>
        </values>
      </ddeItem>
      <ddeItem name="00900.TW-ManagementPercent" advise="1">
        <values>
          <value>
            <val>1.37</val>
          </value>
        </values>
      </ddeItem>
      <ddeItem name="00900.TW-MarketValue" advise="1">
        <values>
          <value t="str">
            <val>--</val>
          </value>
        </values>
      </ddeItem>
      <ddeItem name="00900.TW-Name" advise="1">
        <values>
          <value t="str">
            <val>富邦特選高股息30</val>
          </value>
        </values>
      </ddeItem>
      <ddeItem name="00900.TW-NetProfitMargin" advise="1">
        <values>
          <value t="str">
            <val>--</val>
          </value>
        </values>
      </ddeItem>
      <ddeItem name="00900.TW-Open" advise="1">
        <values>
          <value>
            <val>12.04</val>
          </value>
        </values>
      </ddeItem>
      <ddeItem name="00900.TW-OperatingProfitRatio" advise="1">
        <values>
          <value t="str">
            <val>--</val>
          </value>
        </values>
      </ddeItem>
      <ddeItem name="00900.TW-PBRatio" advise="1">
        <values>
          <value t="str">
            <val>--</val>
          </value>
        </values>
      </ddeItem>
      <ddeItem name="00900.TW-PERatio" advise="1">
        <values>
          <value t="str">
            <val>--</val>
          </value>
        </values>
      </ddeItem>
      <ddeItem name="00900.TW-Price" advise="1">
        <values>
          <value>
            <val>12.07</val>
          </value>
        </values>
      </ddeItem>
      <ddeItem name="00900.TW-PriceChange" advise="1">
        <values>
          <value>
            <val>0.05</val>
          </value>
        </values>
      </ddeItem>
      <ddeItem name="00900.TW-PriceChangeRatio" advise="1">
        <values>
          <value>
            <val>0.42</val>
          </value>
        </values>
      </ddeItem>
      <ddeItem name="00900.TW-Profit" advise="1">
        <values>
          <value t="str">
            <val>--</val>
          </value>
        </values>
      </ddeItem>
      <ddeItem name="00900.TW-ProfitMargin" advise="1">
        <values>
          <value t="str">
            <val>--</val>
          </value>
        </values>
      </ddeItem>
      <ddeItem name="00900.TW-QuickRatio" advise="1">
        <values>
          <value t="str">
            <val>--</val>
          </value>
        </values>
      </ddeItem>
      <ddeItem name="00900.TW-ReceivablesTurnoverRatio" advise="1">
        <values>
          <value t="str">
            <val>--</val>
          </value>
        </values>
      </ddeItem>
      <ddeItem name="00900.TW-ReturnOnAssets" advise="1">
        <values>
          <value t="str">
            <val>--</val>
          </value>
        </values>
      </ddeItem>
      <ddeItem name="00900.TW-ROE" advise="1">
        <values>
          <value t="str">
            <val>--</val>
          </value>
        </values>
      </ddeItem>
      <ddeItem name="00900.TW-StockDividend" advise="1">
        <values>
          <value t="str">
            <val>--</val>
          </value>
        </values>
      </ddeItem>
      <ddeItem name="00900.TW-StockNetValue" advise="1">
        <values>
          <value t="str">
            <val>--</val>
          </value>
        </values>
      </ddeItem>
      <ddeItem name="00900.TW-TimesInterestEarne" advise="1">
        <values>
          <value t="str">
            <val>--</val>
          </value>
        </values>
      </ddeItem>
      <ddeItem name="00900.TW-TotalVolume" advise="1">
        <values>
          <value>
            <val>10532</val>
          </value>
        </values>
      </ddeItem>
      <ddeItem name="00900.TW-Volume" advise="1">
        <values>
          <value>
            <val>213</val>
          </value>
        </values>
      </ddeItem>
      <ddeItem name="00907.TW-Ask" advise="1">
        <values>
          <value>
            <val>15.04</val>
          </value>
        </values>
      </ddeItem>
      <ddeItem name="00907.TW-BestAskSize" advise="1">
        <values>
          <value>
            <val>70</val>
          </value>
        </values>
      </ddeItem>
      <ddeItem name="00907.TW-BestBidSize" advise="1">
        <values>
          <value>
            <val>14</val>
          </value>
        </values>
      </ddeItem>
      <ddeItem name="00907.TW-Beta" advise="1">
        <values>
          <value t="str">
            <val>--</val>
          </value>
        </values>
      </ddeItem>
      <ddeItem name="00907.TW-Bid" advise="1">
        <values>
          <value>
            <val>15.03</val>
          </value>
        </values>
      </ddeItem>
      <ddeItem name="00907.TW-Capital" advise="1">
        <values>
          <value t="str">
            <val>--</val>
          </value>
        </values>
      </ddeItem>
      <ddeItem name="00907.TW-CashDividend" advise="1">
        <values>
          <value t="str">
            <val>0.07</val>
          </value>
        </values>
      </ddeItem>
      <ddeItem name="00907.TW-CashDividendYieldRate" advise="1">
        <values>
          <value>
            <val>4.26</val>
          </value>
        </values>
      </ddeItem>
      <ddeItem name="00907.TW-ChipsField25" advise="1">
        <values>
          <value t="str">
            <val>2023/06/16</val>
          </value>
        </values>
      </ddeItem>
      <ddeItem name="00907.TW-ChipsField26" advise="1">
        <values>
          <value t="str">
            <val>2023/07/14</val>
          </value>
        </values>
      </ddeItem>
      <ddeItem name="00907.TW-ChipsField27" advise="1">
        <values>
          <value t="str">
            <val>--</val>
          </value>
        </values>
      </ddeItem>
      <ddeItem name="00907.TW-CurrentRatio" advise="1">
        <values>
          <value t="str">
            <val>--</val>
          </value>
        </values>
      </ddeItem>
      <ddeItem name="00907.TW-High" advise="1">
        <values>
          <value>
            <val>15.03</val>
          </value>
        </values>
      </ddeItem>
      <ddeItem name="00907.TW-ID" advise="1">
        <values>
          <value t="str">
            <val>00907</val>
          </value>
        </values>
      </ddeItem>
      <ddeItem name="00907.TW-InventoryTurnoverRatio" advise="1">
        <values>
          <value t="str">
            <val>--</val>
          </value>
        </values>
      </ddeItem>
      <ddeItem name="00907.TW-LiabilityRatio" advise="1">
        <values>
          <value t="str">
            <val>--</val>
          </value>
        </values>
      </ddeItem>
      <ddeItem name="00907.TW-Low" advise="1">
        <values>
          <value>
            <val>14.93</val>
          </value>
        </values>
      </ddeItem>
      <ddeItem name="00907.TW-ManagementPercent" advise="1">
        <values>
          <value t="str">
            <val>--</val>
          </value>
        </values>
      </ddeItem>
      <ddeItem name="00907.TW-MarketValue" advise="1">
        <values>
          <value t="str">
            <val>--</val>
          </value>
        </values>
      </ddeItem>
      <ddeItem name="00907.TW-Name" advise="1">
        <values>
          <value t="str">
            <val>永豐優息存股</val>
          </value>
        </values>
      </ddeItem>
      <ddeItem name="00907.TW-NetProfitMargin" advise="1">
        <values>
          <value t="str">
            <val>--</val>
          </value>
        </values>
      </ddeItem>
      <ddeItem name="00907.TW-Open" advise="1">
        <values>
          <value>
            <val>14.93</val>
          </value>
        </values>
      </ddeItem>
      <ddeItem name="00907.TW-OperatingProfitRatio" advise="1">
        <values>
          <value t="str">
            <val>--</val>
          </value>
        </values>
      </ddeItem>
      <ddeItem name="00907.TW-PBRatio" advise="1">
        <values>
          <value t="str">
            <val>--</val>
          </value>
        </values>
      </ddeItem>
      <ddeItem name="00907.TW-PERatio" advise="1">
        <values>
          <value t="str">
            <val>--</val>
          </value>
        </values>
      </ddeItem>
      <ddeItem name="00907.TW-Price" advise="1">
        <values>
          <value>
            <val>15.03</val>
          </value>
        </values>
      </ddeItem>
      <ddeItem name="00907.TW-PriceChange" advise="1">
        <values>
          <value>
            <val>7.0000000000000007E-2</val>
          </value>
        </values>
      </ddeItem>
      <ddeItem name="00907.TW-PriceChangeRatio" advise="1">
        <values>
          <value>
            <val>0.47</val>
          </value>
        </values>
      </ddeItem>
      <ddeItem name="00907.TW-Profit" advise="1">
        <values>
          <value t="str">
            <val>--</val>
          </value>
        </values>
      </ddeItem>
      <ddeItem name="00907.TW-ProfitMargin" advise="1">
        <values>
          <value t="str">
            <val>--</val>
          </value>
        </values>
      </ddeItem>
      <ddeItem name="00907.TW-QuickRatio" advise="1">
        <values>
          <value t="str">
            <val>--</val>
          </value>
        </values>
      </ddeItem>
      <ddeItem name="00907.TW-ReceivablesTurnoverRatio" advise="1">
        <values>
          <value t="str">
            <val>--</val>
          </value>
        </values>
      </ddeItem>
      <ddeItem name="00907.TW-ReturnOnAssets" advise="1">
        <values>
          <value t="str">
            <val>--</val>
          </value>
        </values>
      </ddeItem>
      <ddeItem name="00907.TW-ROE" advise="1">
        <values>
          <value t="str">
            <val>--</val>
          </value>
        </values>
      </ddeItem>
      <ddeItem name="00907.TW-StockDividend" advise="1">
        <values>
          <value t="str">
            <val>--</val>
          </value>
        </values>
      </ddeItem>
      <ddeItem name="00907.TW-StockNetValue" advise="1">
        <values>
          <value t="str">
            <val>--</val>
          </value>
        </values>
      </ddeItem>
      <ddeItem name="00907.TW-TimesInterestEarne" advise="1">
        <values>
          <value t="str">
            <val>--</val>
          </value>
        </values>
      </ddeItem>
      <ddeItem name="00907.TW-TotalVolume" advise="1">
        <values>
          <value>
            <val>2917</val>
          </value>
        </values>
      </ddeItem>
      <ddeItem name="00907.TW-Volume" advise="1">
        <values>
          <value>
            <val>44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60E4-6252-4CFB-95E8-1808FF752DF3}">
  <dimension ref="A1:AN38"/>
  <sheetViews>
    <sheetView tabSelected="1" workbookViewId="0">
      <selection activeCell="G2" sqref="G2"/>
    </sheetView>
  </sheetViews>
  <sheetFormatPr defaultRowHeight="16.2" x14ac:dyDescent="0.3"/>
  <cols>
    <col min="2" max="2" width="22.21875" bestFit="1" customWidth="1"/>
    <col min="3" max="3" width="7.4414062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14</v>
      </c>
      <c r="AL1" t="s">
        <v>36</v>
      </c>
      <c r="AM1" t="s">
        <v>37</v>
      </c>
      <c r="AN1" t="s">
        <v>38</v>
      </c>
    </row>
    <row r="2" spans="1:40" x14ac:dyDescent="0.3">
      <c r="A2" t="str">
        <f>[1]!'0050.TW-ID'</f>
        <v>0050</v>
      </c>
      <c r="B2" t="s">
        <v>39</v>
      </c>
      <c r="C2">
        <v>131.30000000000001</v>
      </c>
      <c r="D2">
        <v>131.75</v>
      </c>
      <c r="E2">
        <v>131.55000000000001</v>
      </c>
      <c r="F2" t="s">
        <v>40</v>
      </c>
      <c r="G2" t="s">
        <v>40</v>
      </c>
      <c r="H2">
        <v>206</v>
      </c>
      <c r="I2">
        <v>65</v>
      </c>
      <c r="J2">
        <v>41</v>
      </c>
      <c r="K2">
        <v>7172</v>
      </c>
      <c r="L2">
        <v>131.80000000000001</v>
      </c>
      <c r="M2">
        <v>131.1</v>
      </c>
      <c r="N2">
        <v>131.80000000000001</v>
      </c>
      <c r="O2" t="str">
        <f>[1]!'0050.TW-Beta'</f>
        <v>--</v>
      </c>
      <c r="P2" t="str">
        <f>[1]!'0050.TW-PERatio'</f>
        <v>--</v>
      </c>
      <c r="Q2" t="str">
        <f>[1]!'0050.TW-PBRatio'</f>
        <v>--</v>
      </c>
      <c r="R2" t="str">
        <f>[1]!'0050.TW-ROE'</f>
        <v>--</v>
      </c>
      <c r="S2" t="str">
        <f>[1]!'0050.TW-ReturnOnAssets'</f>
        <v>--</v>
      </c>
      <c r="T2" t="str">
        <f>[1]!'0050.TW-ProfitMargin'</f>
        <v>--</v>
      </c>
      <c r="U2" t="str">
        <f>[1]!'0050.TW-OperatingProfitRatio'</f>
        <v>--</v>
      </c>
      <c r="V2" t="str">
        <f>[1]!'0050.TW-NetProfitMargin'</f>
        <v>--</v>
      </c>
      <c r="W2" t="str">
        <f>[1]!'0050.TW-StockNetValue'</f>
        <v>--</v>
      </c>
      <c r="X2" t="str">
        <f>[1]!'0050.TW-Profit'</f>
        <v>--</v>
      </c>
      <c r="Y2" t="str">
        <f>[1]!'0050.TW-CurrentRatio'</f>
        <v>--</v>
      </c>
      <c r="Z2" t="str">
        <f>[1]!'0050.TW-QuickRatio'</f>
        <v>--</v>
      </c>
      <c r="AA2" t="str">
        <f>[1]!'0050.TW-LiabilityRatio'</f>
        <v>--</v>
      </c>
      <c r="AB2" t="str">
        <f>[1]!'0050.TW-TimesInterestEarne'</f>
        <v>--</v>
      </c>
      <c r="AC2" t="str">
        <f>[1]!'0050.TW-ReceivablesTurnoverRatio'</f>
        <v>--</v>
      </c>
      <c r="AD2" t="str">
        <f>[1]!'0050.TW-InventoryTurnoverRatio'</f>
        <v>--</v>
      </c>
      <c r="AE2" t="str">
        <f>[1]!'0050.TW-CashDividend'</f>
        <v>2.60</v>
      </c>
      <c r="AF2" t="str">
        <f>[1]!'0050.TW-StockDividend'</f>
        <v>--</v>
      </c>
      <c r="AG2">
        <f>[1]!'0050.TW-CashDividendYieldRate'</f>
        <v>3.43</v>
      </c>
      <c r="AH2" t="str">
        <f>[1]!'0050.TW-ChipsField25'</f>
        <v>2023/01/30</v>
      </c>
      <c r="AI2" t="str">
        <f>[1]!'0050.TW-ChipsField26'</f>
        <v>2023/03/07</v>
      </c>
      <c r="AJ2" t="str">
        <f>[1]!'0050.TW-ChipsField27'</f>
        <v>--</v>
      </c>
      <c r="AK2" t="str">
        <f>[1]!'0050.TW-Beta'</f>
        <v>--</v>
      </c>
      <c r="AL2" t="str">
        <f>[1]!'0050.TW-Capital'</f>
        <v>--</v>
      </c>
      <c r="AM2" t="str">
        <f>[1]!'0050.TW-MarketValue'</f>
        <v>--</v>
      </c>
      <c r="AN2">
        <f>[1]!'0050.TW-ManagementPercent'</f>
        <v>0.43</v>
      </c>
    </row>
    <row r="3" spans="1:40" x14ac:dyDescent="0.3">
      <c r="A3" t="str">
        <f>[1]!'0052.TW-ID'</f>
        <v>0052</v>
      </c>
      <c r="B3" t="str">
        <f>[1]!'0052.TW-Name'</f>
        <v>富邦科技</v>
      </c>
      <c r="C3">
        <f>[1]!'0052.TW-Bid'</f>
        <v>113.15</v>
      </c>
      <c r="D3">
        <f>[1]!'0052.TW-Ask'</f>
        <v>113.2</v>
      </c>
      <c r="E3">
        <f>[1]!'0052.TW-Price'</f>
        <v>113.15</v>
      </c>
      <c r="F3">
        <f>[1]!'0052.TW-PriceChange'</f>
        <v>1.55</v>
      </c>
      <c r="G3">
        <f>[1]!'0052.TW-PriceChangeRatio'</f>
        <v>1.39</v>
      </c>
      <c r="H3">
        <f>[1]!'0052.TW-Volume'</f>
        <v>48</v>
      </c>
      <c r="I3">
        <f>[1]!'0052.TW-BestBidSize'</f>
        <v>5</v>
      </c>
      <c r="J3">
        <f>[1]!'0052.TW-BestAskSize'</f>
        <v>16</v>
      </c>
      <c r="K3">
        <f>[1]!'0052.TW-TotalVolume'</f>
        <v>370</v>
      </c>
      <c r="L3">
        <f>[1]!'0052.TW-High'</f>
        <v>113.15</v>
      </c>
      <c r="M3">
        <f>[1]!'0052.TW-Low'</f>
        <v>111.7</v>
      </c>
      <c r="N3">
        <f>[1]!'0052.TW-Open'</f>
        <v>111.7</v>
      </c>
      <c r="O3" t="str">
        <f>[1]!'0052.TW-Beta'</f>
        <v>--</v>
      </c>
      <c r="P3" t="str">
        <f>[1]!'0052.TW-PERatio'</f>
        <v>--</v>
      </c>
      <c r="Q3" t="str">
        <f>[1]!'0052.TW-PBRatio'</f>
        <v>--</v>
      </c>
      <c r="R3" t="str">
        <f>[1]!'0052.TW-ROE'</f>
        <v>--</v>
      </c>
      <c r="S3" t="str">
        <f>[1]!'0052.TW-ReturnOnAssets'</f>
        <v>--</v>
      </c>
      <c r="T3" t="str">
        <f>[1]!'0052.TW-ProfitMargin'</f>
        <v>--</v>
      </c>
      <c r="U3" t="str">
        <f>[1]!'0052.TW-OperatingProfitRatio'</f>
        <v>--</v>
      </c>
      <c r="V3" t="str">
        <f>[1]!'0052.TW-NetProfitMargin'</f>
        <v>--</v>
      </c>
      <c r="W3" t="str">
        <f>[1]!'0052.TW-StockNetValue'</f>
        <v>--</v>
      </c>
      <c r="X3" t="str">
        <f>[1]!'0052.TW-Profit'</f>
        <v>--</v>
      </c>
      <c r="Y3" t="str">
        <f>[1]!'0052.TW-CurrentRatio'</f>
        <v>--</v>
      </c>
      <c r="Z3" t="str">
        <f>[1]!'0052.TW-QuickRatio'</f>
        <v>--</v>
      </c>
      <c r="AA3" t="str">
        <f>[1]!'0052.TW-LiabilityRatio'</f>
        <v>--</v>
      </c>
      <c r="AB3" t="str">
        <f>[1]!'0052.TW-TimesInterestEarne'</f>
        <v>--</v>
      </c>
      <c r="AC3" t="str">
        <f>[1]!'0052.TW-ReceivablesTurnoverRatio'</f>
        <v>--</v>
      </c>
      <c r="AD3" t="str">
        <f>[1]!'0052.TW-InventoryTurnoverRatio'</f>
        <v>--</v>
      </c>
      <c r="AE3" t="str">
        <f>[1]!'0052.TW-CashDividend'</f>
        <v>4.00</v>
      </c>
      <c r="AF3" t="str">
        <f>[1]!'0052.TW-StockDividend'</f>
        <v>--</v>
      </c>
      <c r="AG3">
        <f>[1]!'0052.TW-CashDividendYieldRate'</f>
        <v>3.54</v>
      </c>
      <c r="AH3" t="str">
        <f>[1]!'0052.TW-ChipsField25'</f>
        <v>2023/04/21</v>
      </c>
      <c r="AI3" t="str">
        <f>[1]!'0052.TW-ChipsField26'</f>
        <v>2023/05/18</v>
      </c>
      <c r="AJ3" t="str">
        <f>[1]!'0052.TW-ChipsField27'</f>
        <v>--</v>
      </c>
      <c r="AK3" t="str">
        <f>[1]!'0052.TW-Beta'</f>
        <v>--</v>
      </c>
      <c r="AL3" t="str">
        <f>[1]!'0052.TW-Capital'</f>
        <v>--</v>
      </c>
      <c r="AM3" t="str">
        <f>[1]!'0052.TW-MarketValue'</f>
        <v>--</v>
      </c>
      <c r="AN3">
        <f>[1]!'0052.TW-ManagementPercent'</f>
        <v>0.24</v>
      </c>
    </row>
    <row r="4" spans="1:40" x14ac:dyDescent="0.3">
      <c r="A4" t="str">
        <f>[1]!'0055.TW-ID'</f>
        <v>0055</v>
      </c>
      <c r="B4" t="str">
        <f>[1]!'0055.TW-Name'</f>
        <v>元大MSCI金融</v>
      </c>
      <c r="C4">
        <f>[1]!'0055.TW-Bid'</f>
        <v>23.44</v>
      </c>
      <c r="D4">
        <f>[1]!'0055.TW-Ask'</f>
        <v>23.45</v>
      </c>
      <c r="E4">
        <f>[1]!'0055.TW-Price'</f>
        <v>23.44</v>
      </c>
      <c r="F4">
        <f>[1]!'0055.TW-PriceChange'</f>
        <v>0.19</v>
      </c>
      <c r="G4">
        <f>[1]!'0055.TW-PriceChangeRatio'</f>
        <v>0.82</v>
      </c>
      <c r="H4">
        <f>[1]!'0055.TW-Volume'</f>
        <v>7</v>
      </c>
      <c r="I4">
        <f>[1]!'0055.TW-BestBidSize'</f>
        <v>33</v>
      </c>
      <c r="J4">
        <f>[1]!'0055.TW-BestAskSize'</f>
        <v>17</v>
      </c>
      <c r="K4">
        <f>[1]!'0055.TW-TotalVolume'</f>
        <v>206</v>
      </c>
      <c r="L4">
        <f>[1]!'0055.TW-High'</f>
        <v>23.45</v>
      </c>
      <c r="M4">
        <f>[1]!'0055.TW-Low'</f>
        <v>23.26</v>
      </c>
      <c r="N4">
        <f>[1]!'0055.TW-Open'</f>
        <v>23.26</v>
      </c>
      <c r="O4" t="str">
        <f>[1]!'0055.TW-Beta'</f>
        <v>--</v>
      </c>
      <c r="P4" t="str">
        <f>[1]!'0055.TW-PERatio'</f>
        <v>--</v>
      </c>
      <c r="Q4" t="str">
        <f>[1]!'0055.TW-PBRatio'</f>
        <v>--</v>
      </c>
      <c r="R4" t="str">
        <f>[1]!'0055.TW-ROE'</f>
        <v>--</v>
      </c>
      <c r="S4" t="str">
        <f>[1]!'0055.TW-ReturnOnAssets'</f>
        <v>--</v>
      </c>
      <c r="T4" t="str">
        <f>[1]!'0055.TW-ProfitMargin'</f>
        <v>--</v>
      </c>
      <c r="U4" t="str">
        <f>[1]!'0055.TW-OperatingProfitRatio'</f>
        <v>--</v>
      </c>
      <c r="V4" t="str">
        <f>[1]!'0055.TW-NetProfitMargin'</f>
        <v>--</v>
      </c>
      <c r="W4" t="str">
        <f>[1]!'0055.TW-StockNetValue'</f>
        <v>--</v>
      </c>
      <c r="X4" t="str">
        <f>[1]!'0055.TW-Profit'</f>
        <v>--</v>
      </c>
      <c r="Y4" t="str">
        <f>[1]!'0055.TW-CurrentRatio'</f>
        <v>--</v>
      </c>
      <c r="Z4" t="str">
        <f>[1]!'0055.TW-QuickRatio'</f>
        <v>--</v>
      </c>
      <c r="AA4" t="str">
        <f>[1]!'0055.TW-LiabilityRatio'</f>
        <v>--</v>
      </c>
      <c r="AB4" t="str">
        <f>[1]!'0055.TW-TimesInterestEarne'</f>
        <v>--</v>
      </c>
      <c r="AC4" t="str">
        <f>[1]!'0055.TW-ReceivablesTurnoverRatio'</f>
        <v>--</v>
      </c>
      <c r="AD4" t="str">
        <f>[1]!'0055.TW-InventoryTurnoverRatio'</f>
        <v>--</v>
      </c>
      <c r="AE4" t="str">
        <f>[1]!'0055.TW-CashDividend'</f>
        <v>0.87</v>
      </c>
      <c r="AF4" t="str">
        <f>[1]!'0055.TW-StockDividend'</f>
        <v>--</v>
      </c>
      <c r="AG4">
        <f>[1]!'0055.TW-CashDividendYieldRate'</f>
        <v>3.71</v>
      </c>
      <c r="AH4" t="str">
        <f>[1]!'0055.TW-ChipsField25'</f>
        <v>2022/11/16</v>
      </c>
      <c r="AI4" t="str">
        <f>[1]!'0055.TW-ChipsField26'</f>
        <v>2022/12/20</v>
      </c>
      <c r="AJ4" t="str">
        <f>[1]!'0055.TW-ChipsField27'</f>
        <v>--</v>
      </c>
      <c r="AK4" t="str">
        <f>[1]!'0055.TW-Beta'</f>
        <v>--</v>
      </c>
      <c r="AL4" t="str">
        <f>[1]!'0055.TW-Capital'</f>
        <v>--</v>
      </c>
      <c r="AM4" t="str">
        <f>[1]!'0055.TW-MarketValue'</f>
        <v>--</v>
      </c>
      <c r="AN4">
        <f>[1]!'0055.TW-ManagementPercent'</f>
        <v>0.56999999999999995</v>
      </c>
    </row>
    <row r="5" spans="1:40" x14ac:dyDescent="0.3">
      <c r="A5" t="str">
        <f>[1]!'0056.TW-ID'</f>
        <v>0056</v>
      </c>
      <c r="B5" t="str">
        <f>[1]!'0056.TW-Name'</f>
        <v>元大高股息</v>
      </c>
      <c r="C5">
        <f>[1]!'0056.TW-Bid'</f>
        <v>31.45</v>
      </c>
      <c r="D5">
        <f>[1]!'0056.TW-Ask'</f>
        <v>31.46</v>
      </c>
      <c r="E5">
        <f>[1]!'0056.TW-Price'</f>
        <v>31.46</v>
      </c>
      <c r="F5">
        <f>[1]!'0056.TW-PriceChange'</f>
        <v>0.31</v>
      </c>
      <c r="G5">
        <f>[1]!'0056.TW-PriceChangeRatio'</f>
        <v>1</v>
      </c>
      <c r="H5">
        <f>[1]!'0056.TW-Volume'</f>
        <v>958</v>
      </c>
      <c r="I5">
        <f>[1]!'0056.TW-BestBidSize'</f>
        <v>600</v>
      </c>
      <c r="J5">
        <f>[1]!'0056.TW-BestAskSize'</f>
        <v>114</v>
      </c>
      <c r="K5">
        <f>[1]!'0056.TW-TotalVolume'</f>
        <v>24177</v>
      </c>
      <c r="L5">
        <f>[1]!'0056.TW-High'</f>
        <v>31.5</v>
      </c>
      <c r="M5">
        <f>[1]!'0056.TW-Low'</f>
        <v>31.16</v>
      </c>
      <c r="N5">
        <f>[1]!'0056.TW-Open'</f>
        <v>31.16</v>
      </c>
      <c r="O5" t="str">
        <f>[1]!'0056.TW-Beta'</f>
        <v>--</v>
      </c>
      <c r="P5" t="str">
        <f>[1]!'0056.TW-PERatio'</f>
        <v>--</v>
      </c>
      <c r="Q5" t="str">
        <f>[1]!'0056.TW-PBRatio'</f>
        <v>--</v>
      </c>
      <c r="R5" t="str">
        <f>[1]!'0056.TW-ROE'</f>
        <v>--</v>
      </c>
      <c r="S5" t="str">
        <f>[1]!'0056.TW-ReturnOnAssets'</f>
        <v>--</v>
      </c>
      <c r="T5" t="str">
        <f>[1]!'0056.TW-ProfitMargin'</f>
        <v>--</v>
      </c>
      <c r="U5" t="str">
        <f>[1]!'0056.TW-OperatingProfitRatio'</f>
        <v>--</v>
      </c>
      <c r="V5" t="str">
        <f>[1]!'0056.TW-NetProfitMargin'</f>
        <v>--</v>
      </c>
      <c r="W5" t="str">
        <f>[1]!'0056.TW-StockNetValue'</f>
        <v>--</v>
      </c>
      <c r="X5" t="str">
        <f>[1]!'0056.TW-Profit'</f>
        <v>--</v>
      </c>
      <c r="Y5" t="str">
        <f>[1]!'0056.TW-CurrentRatio'</f>
        <v>--</v>
      </c>
      <c r="Z5" t="str">
        <f>[1]!'0056.TW-QuickRatio'</f>
        <v>--</v>
      </c>
      <c r="AA5" t="str">
        <f>[1]!'0056.TW-LiabilityRatio'</f>
        <v>--</v>
      </c>
      <c r="AB5" t="str">
        <f>[1]!'0056.TW-TimesInterestEarne'</f>
        <v>--</v>
      </c>
      <c r="AC5" t="str">
        <f>[1]!'0056.TW-ReceivablesTurnoverRatio'</f>
        <v>--</v>
      </c>
      <c r="AD5" t="str">
        <f>[1]!'0056.TW-InventoryTurnoverRatio'</f>
        <v>--</v>
      </c>
      <c r="AE5" t="str">
        <f>[1]!'0056.TW-CashDividend'</f>
        <v>2.10</v>
      </c>
      <c r="AF5" t="str">
        <f>[1]!'0056.TW-StockDividend'</f>
        <v>--</v>
      </c>
      <c r="AG5">
        <f>[1]!'0056.TW-CashDividendYieldRate'</f>
        <v>6.68</v>
      </c>
      <c r="AH5" t="str">
        <f>[1]!'0056.TW-ChipsField25'</f>
        <v>2022/10/19</v>
      </c>
      <c r="AI5" t="str">
        <f>[1]!'0056.TW-ChipsField26'</f>
        <v>2022/11/22</v>
      </c>
      <c r="AJ5" t="str">
        <f>[1]!'0056.TW-ChipsField27'</f>
        <v>--</v>
      </c>
      <c r="AK5" t="str">
        <f>[1]!'0056.TW-Beta'</f>
        <v>--</v>
      </c>
      <c r="AL5" t="str">
        <f>[1]!'0056.TW-Capital'</f>
        <v>--</v>
      </c>
      <c r="AM5" t="str">
        <f>[1]!'0056.TW-MarketValue'</f>
        <v>--</v>
      </c>
      <c r="AN5">
        <f>[1]!'0056.TW-ManagementPercent'</f>
        <v>0.86</v>
      </c>
    </row>
    <row r="6" spans="1:40" x14ac:dyDescent="0.3">
      <c r="A6" t="str">
        <f>[1]!'006204.TW-ID'</f>
        <v>006204</v>
      </c>
      <c r="B6" t="str">
        <f>[1]!'006204.TW-Name'</f>
        <v>永豐臺灣加權</v>
      </c>
      <c r="C6">
        <f>[1]!'006204.TW-Bid'</f>
        <v>85.8</v>
      </c>
      <c r="D6">
        <f>[1]!'006204.TW-Ask'</f>
        <v>86</v>
      </c>
      <c r="E6">
        <f>[1]!'006204.TW-Price'</f>
        <v>85.85</v>
      </c>
      <c r="F6">
        <f>[1]!'006204.TW-PriceChange'</f>
        <v>0.95</v>
      </c>
      <c r="G6">
        <f>[1]!'006204.TW-PriceChangeRatio'</f>
        <v>1.1200000000000001</v>
      </c>
      <c r="H6">
        <f>[1]!'006204.TW-Volume'</f>
        <v>10</v>
      </c>
      <c r="I6">
        <f>[1]!'006204.TW-BestBidSize'</f>
        <v>51</v>
      </c>
      <c r="J6">
        <f>[1]!'006204.TW-BestAskSize'</f>
        <v>49</v>
      </c>
      <c r="K6">
        <f>[1]!'006204.TW-TotalVolume'</f>
        <v>24</v>
      </c>
      <c r="L6">
        <f>[1]!'006204.TW-High'</f>
        <v>85.85</v>
      </c>
      <c r="M6">
        <f>[1]!'006204.TW-Low'</f>
        <v>85.25</v>
      </c>
      <c r="N6">
        <f>[1]!'006204.TW-Open'</f>
        <v>85.25</v>
      </c>
      <c r="O6" t="str">
        <f>[1]!'006204.TW-Beta'</f>
        <v>--</v>
      </c>
      <c r="P6" t="str">
        <f>[1]!'006204.TW-PERatio'</f>
        <v>--</v>
      </c>
      <c r="Q6" t="str">
        <f>[1]!'006204.TW-PBRatio'</f>
        <v>--</v>
      </c>
      <c r="R6" t="str">
        <f>[1]!'006204.TW-ROE'</f>
        <v>--</v>
      </c>
      <c r="S6" t="str">
        <f>[1]!'006204.TW-ReturnOnAssets'</f>
        <v>--</v>
      </c>
      <c r="T6" t="str">
        <f>[1]!'006204.TW-ProfitMargin'</f>
        <v>--</v>
      </c>
      <c r="U6" t="str">
        <f>[1]!'006204.TW-OperatingProfitRatio'</f>
        <v>--</v>
      </c>
      <c r="V6" t="str">
        <f>[1]!'006204.TW-NetProfitMargin'</f>
        <v>--</v>
      </c>
      <c r="W6" t="str">
        <f>[1]!'006204.TW-StockNetValue'</f>
        <v>--</v>
      </c>
      <c r="X6" t="str">
        <f>[1]!'006204.TW-Profit'</f>
        <v>--</v>
      </c>
      <c r="Y6" t="str">
        <f>[1]!'006204.TW-CurrentRatio'</f>
        <v>--</v>
      </c>
      <c r="Z6" t="str">
        <f>[1]!'006204.TW-QuickRatio'</f>
        <v>--</v>
      </c>
      <c r="AA6" t="str">
        <f>[1]!'006204.TW-LiabilityRatio'</f>
        <v>--</v>
      </c>
      <c r="AB6" t="str">
        <f>[1]!'006204.TW-TimesInterestEarne'</f>
        <v>--</v>
      </c>
      <c r="AC6" t="str">
        <f>[1]!'006204.TW-ReceivablesTurnoverRatio'</f>
        <v>--</v>
      </c>
      <c r="AD6" t="str">
        <f>[1]!'006204.TW-InventoryTurnoverRatio'</f>
        <v>--</v>
      </c>
      <c r="AE6" t="str">
        <f>[1]!'006204.TW-CashDividend'</f>
        <v>2.68</v>
      </c>
      <c r="AF6" t="str">
        <f>[1]!'006204.TW-StockDividend'</f>
        <v>--</v>
      </c>
      <c r="AG6">
        <f>[1]!'006204.TW-CashDividendYieldRate'</f>
        <v>3.12</v>
      </c>
      <c r="AH6" t="str">
        <f>[1]!'006204.TW-ChipsField25'</f>
        <v>2022/10/19</v>
      </c>
      <c r="AI6" t="str">
        <f>[1]!'006204.TW-ChipsField26'</f>
        <v>2022/11/21</v>
      </c>
      <c r="AJ6" t="str">
        <f>[1]!'006204.TW-ChipsField27'</f>
        <v>--</v>
      </c>
      <c r="AK6" t="str">
        <f>[1]!'006204.TW-Beta'</f>
        <v>--</v>
      </c>
      <c r="AL6" t="str">
        <f>[1]!'006204.TW-Capital'</f>
        <v>--</v>
      </c>
      <c r="AM6" t="str">
        <f>[1]!'006204.TW-MarketValue'</f>
        <v>--</v>
      </c>
      <c r="AN6">
        <f>[1]!'006204.TW-ManagementPercent'</f>
        <v>0.99</v>
      </c>
    </row>
    <row r="7" spans="1:40" x14ac:dyDescent="0.3">
      <c r="A7" t="str">
        <f>[1]!'006208.TW-ID'</f>
        <v>006208</v>
      </c>
      <c r="B7" t="str">
        <f>[1]!'006208.TW-Name'</f>
        <v>富邦台50</v>
      </c>
      <c r="C7">
        <f>[1]!'006208.TW-Bid'</f>
        <v>73.95</v>
      </c>
      <c r="D7">
        <f>[1]!'006208.TW-Ask'</f>
        <v>74</v>
      </c>
      <c r="E7">
        <f>[1]!'006208.TW-Price'</f>
        <v>73.95</v>
      </c>
      <c r="F7">
        <f>[1]!'006208.TW-PriceChange'</f>
        <v>0.8</v>
      </c>
      <c r="G7">
        <f>[1]!'006208.TW-PriceChangeRatio'</f>
        <v>1.0900000000000001</v>
      </c>
      <c r="H7">
        <f>[1]!'006208.TW-Volume'</f>
        <v>81</v>
      </c>
      <c r="I7">
        <f>[1]!'006208.TW-BestBidSize'</f>
        <v>25</v>
      </c>
      <c r="J7">
        <f>[1]!'006208.TW-BestAskSize'</f>
        <v>383</v>
      </c>
      <c r="K7">
        <f>[1]!'006208.TW-TotalVolume'</f>
        <v>2665</v>
      </c>
      <c r="L7">
        <f>[1]!'006208.TW-High'</f>
        <v>74</v>
      </c>
      <c r="M7">
        <f>[1]!'006208.TW-Low'</f>
        <v>73.400000000000006</v>
      </c>
      <c r="N7">
        <f>[1]!'006208.TW-Open'</f>
        <v>73.400000000000006</v>
      </c>
      <c r="O7" t="str">
        <f>[1]!'006208.TW-Beta'</f>
        <v>--</v>
      </c>
      <c r="P7" t="str">
        <f>[1]!'006208.TW-PERatio'</f>
        <v>--</v>
      </c>
      <c r="Q7" t="str">
        <f>[1]!'006208.TW-PBRatio'</f>
        <v>--</v>
      </c>
      <c r="R7" t="str">
        <f>[1]!'006208.TW-ROE'</f>
        <v>--</v>
      </c>
      <c r="S7" t="str">
        <f>[1]!'006208.TW-ReturnOnAssets'</f>
        <v>--</v>
      </c>
      <c r="T7" t="str">
        <f>[1]!'006208.TW-ProfitMargin'</f>
        <v>--</v>
      </c>
      <c r="U7" t="str">
        <f>[1]!'006208.TW-OperatingProfitRatio'</f>
        <v>--</v>
      </c>
      <c r="V7" t="str">
        <f>[1]!'006208.TW-NetProfitMargin'</f>
        <v>--</v>
      </c>
      <c r="W7" t="str">
        <f>[1]!'006208.TW-StockNetValue'</f>
        <v>--</v>
      </c>
      <c r="X7" t="str">
        <f>[1]!'006208.TW-Profit'</f>
        <v>--</v>
      </c>
      <c r="Y7" t="str">
        <f>[1]!'006208.TW-CurrentRatio'</f>
        <v>--</v>
      </c>
      <c r="Z7" t="str">
        <f>[1]!'006208.TW-QuickRatio'</f>
        <v>--</v>
      </c>
      <c r="AA7" t="str">
        <f>[1]!'006208.TW-LiabilityRatio'</f>
        <v>--</v>
      </c>
      <c r="AB7" t="str">
        <f>[1]!'006208.TW-TimesInterestEarne'</f>
        <v>--</v>
      </c>
      <c r="AC7" t="str">
        <f>[1]!'006208.TW-ReceivablesTurnoverRatio'</f>
        <v>--</v>
      </c>
      <c r="AD7" t="str">
        <f>[1]!'006208.TW-InventoryTurnoverRatio'</f>
        <v>--</v>
      </c>
      <c r="AE7" t="str">
        <f>[1]!'006208.TW-CashDividend'</f>
        <v>1.03</v>
      </c>
      <c r="AF7" t="str">
        <f>[1]!'006208.TW-StockDividend'</f>
        <v>--</v>
      </c>
      <c r="AG7">
        <f>[1]!'006208.TW-CashDividendYieldRate'</f>
        <v>3.08</v>
      </c>
      <c r="AH7" t="str">
        <f>[1]!'006208.TW-ChipsField25'</f>
        <v>2022/11/16</v>
      </c>
      <c r="AI7" t="str">
        <f>[1]!'006208.TW-ChipsField26'</f>
        <v>2022/12/19</v>
      </c>
      <c r="AJ7" t="str">
        <f>[1]!'006208.TW-ChipsField27'</f>
        <v>--</v>
      </c>
      <c r="AK7" t="str">
        <f>[1]!'006208.TW-Beta'</f>
        <v>--</v>
      </c>
      <c r="AL7" t="str">
        <f>[1]!'006208.TW-Capital'</f>
        <v>--</v>
      </c>
      <c r="AM7" t="str">
        <f>[1]!'006208.TW-MarketValue'</f>
        <v>--</v>
      </c>
      <c r="AN7">
        <f>[1]!'006208.TW-ManagementPercent'</f>
        <v>0.24</v>
      </c>
    </row>
    <row r="8" spans="1:40" x14ac:dyDescent="0.3">
      <c r="A8" t="str">
        <f>[1]!'00637L.TW-ID'</f>
        <v>00637L</v>
      </c>
      <c r="B8" t="str">
        <f>[1]!'00637L.TW-Name'</f>
        <v>元大滬深300正2</v>
      </c>
      <c r="C8">
        <f>[1]!'00637L.TW-Bid'</f>
        <v>13.65</v>
      </c>
      <c r="D8">
        <f>[1]!'00637L.TW-Ask'</f>
        <v>13.66</v>
      </c>
      <c r="E8">
        <f>[1]!'00637L.TW-Price'</f>
        <v>13.65</v>
      </c>
      <c r="F8">
        <f>[1]!'00637L.TW-PriceChange'</f>
        <v>-0.22</v>
      </c>
      <c r="G8">
        <f>[1]!'00637L.TW-PriceChangeRatio'</f>
        <v>-1.59</v>
      </c>
      <c r="H8">
        <f>[1]!'00637L.TW-Volume'</f>
        <v>2026</v>
      </c>
      <c r="I8">
        <f>[1]!'00637L.TW-BestBidSize'</f>
        <v>712</v>
      </c>
      <c r="J8">
        <f>[1]!'00637L.TW-BestAskSize'</f>
        <v>216</v>
      </c>
      <c r="K8">
        <f>[1]!'00637L.TW-TotalVolume'</f>
        <v>87986</v>
      </c>
      <c r="L8">
        <f>[1]!'00637L.TW-High'</f>
        <v>13.87</v>
      </c>
      <c r="M8">
        <f>[1]!'00637L.TW-Low'</f>
        <v>13.56</v>
      </c>
      <c r="N8">
        <f>[1]!'00637L.TW-Open'</f>
        <v>13.83</v>
      </c>
      <c r="O8" t="str">
        <f>[1]!'00637L.TW-Beta'</f>
        <v>--</v>
      </c>
      <c r="P8" t="str">
        <f>[1]!'00637L.TW-PERatio'</f>
        <v>--</v>
      </c>
      <c r="Q8" t="str">
        <f>[1]!'00637L.TW-PBRatio'</f>
        <v>--</v>
      </c>
      <c r="R8" t="str">
        <f>[1]!'00637L.TW-ROE'</f>
        <v>--</v>
      </c>
      <c r="S8" t="str">
        <f>[1]!'00637L.TW-ReturnOnAssets'</f>
        <v>--</v>
      </c>
      <c r="T8" t="str">
        <f>[1]!'00637L.TW-ProfitMargin'</f>
        <v>--</v>
      </c>
      <c r="U8" t="str">
        <f>[1]!'00637L.TW-OperatingProfitRatio'</f>
        <v>--</v>
      </c>
      <c r="V8" t="str">
        <f>[1]!'00637L.TW-NetProfitMargin'</f>
        <v>--</v>
      </c>
      <c r="W8" t="str">
        <f>[1]!'00637L.TW-StockNetValue'</f>
        <v>--</v>
      </c>
      <c r="X8" t="str">
        <f>[1]!'00637L.TW-Profit'</f>
        <v>--</v>
      </c>
      <c r="Y8" t="str">
        <f>[1]!'00637L.TW-CurrentRatio'</f>
        <v>--</v>
      </c>
      <c r="Z8" t="str">
        <f>[1]!'00637L.TW-QuickRatio'</f>
        <v>--</v>
      </c>
      <c r="AA8" t="str">
        <f>[1]!'00637L.TW-LiabilityRatio'</f>
        <v>--</v>
      </c>
      <c r="AB8" t="str">
        <f>[1]!'00637L.TW-TimesInterestEarne'</f>
        <v>--</v>
      </c>
      <c r="AC8" t="str">
        <f>[1]!'00637L.TW-ReceivablesTurnoverRatio'</f>
        <v>--</v>
      </c>
      <c r="AD8" t="str">
        <f>[1]!'00637L.TW-InventoryTurnoverRatio'</f>
        <v>--</v>
      </c>
      <c r="AE8" t="str">
        <f>[1]!'00637L.TW-CashDividend'</f>
        <v>--</v>
      </c>
      <c r="AF8" t="str">
        <f>[1]!'00637L.TW-StockDividend'</f>
        <v>--</v>
      </c>
      <c r="AG8">
        <f>[1]!'00637L.TW-CashDividendYieldRate'</f>
        <v>0</v>
      </c>
      <c r="AH8" t="str">
        <f>[1]!'00637L.TW-ChipsField25'</f>
        <v>--</v>
      </c>
      <c r="AI8" t="str">
        <f>[1]!'00637L.TW-ChipsField26'</f>
        <v>--</v>
      </c>
      <c r="AJ8" t="str">
        <f>[1]!'00637L.TW-ChipsField27'</f>
        <v>--</v>
      </c>
      <c r="AK8" t="str">
        <f>[1]!'00637L.TW-Beta'</f>
        <v>--</v>
      </c>
      <c r="AL8" t="str">
        <f>[1]!'00637L.TW-Capital'</f>
        <v>--</v>
      </c>
      <c r="AM8" t="str">
        <f>[1]!'00637L.TW-MarketValue'</f>
        <v>--</v>
      </c>
      <c r="AN8">
        <f>[1]!'00637L.TW-ManagementPercent'</f>
        <v>1.88</v>
      </c>
    </row>
    <row r="9" spans="1:40" x14ac:dyDescent="0.3">
      <c r="A9" t="str">
        <f>[1]!'00646.TW-ID'</f>
        <v>00646</v>
      </c>
      <c r="B9" t="str">
        <f>[1]!'00646.TW-Name'</f>
        <v>元大S＆P500</v>
      </c>
      <c r="C9">
        <f>[1]!'00646.TW-Bid'</f>
        <v>40.85</v>
      </c>
      <c r="D9">
        <f>[1]!'00646.TW-Ask'</f>
        <v>40.86</v>
      </c>
      <c r="E9">
        <f>[1]!'00646.TW-Price'</f>
        <v>40.86</v>
      </c>
      <c r="F9">
        <f>[1]!'00646.TW-PriceChange'</f>
        <v>0.02</v>
      </c>
      <c r="G9">
        <f>[1]!'00646.TW-PriceChangeRatio'</f>
        <v>0.05</v>
      </c>
      <c r="H9">
        <f>[1]!'00646.TW-Volume'</f>
        <v>3</v>
      </c>
      <c r="I9">
        <f>[1]!'00646.TW-BestBidSize'</f>
        <v>6</v>
      </c>
      <c r="J9">
        <f>[1]!'00646.TW-BestAskSize'</f>
        <v>2</v>
      </c>
      <c r="K9">
        <f>[1]!'00646.TW-TotalVolume'</f>
        <v>231</v>
      </c>
      <c r="L9">
        <f>[1]!'00646.TW-High'</f>
        <v>40.869999999999997</v>
      </c>
      <c r="M9">
        <f>[1]!'00646.TW-Low'</f>
        <v>40.81</v>
      </c>
      <c r="N9">
        <f>[1]!'00646.TW-Open'</f>
        <v>40.840000000000003</v>
      </c>
      <c r="O9" t="str">
        <f>[1]!'00646.TW-Beta'</f>
        <v>--</v>
      </c>
      <c r="P9" t="str">
        <f>[1]!'00646.TW-PERatio'</f>
        <v>--</v>
      </c>
      <c r="Q9" t="str">
        <f>[1]!'00646.TW-PBRatio'</f>
        <v>--</v>
      </c>
      <c r="R9" t="str">
        <f>[1]!'00646.TW-ROE'</f>
        <v>--</v>
      </c>
      <c r="S9" t="str">
        <f>[1]!'00646.TW-ReturnOnAssets'</f>
        <v>--</v>
      </c>
      <c r="T9" t="str">
        <f>[1]!'00646.TW-ProfitMargin'</f>
        <v>--</v>
      </c>
      <c r="U9" t="str">
        <f>[1]!'00646.TW-OperatingProfitRatio'</f>
        <v>--</v>
      </c>
      <c r="V9" t="str">
        <f>[1]!'00646.TW-NetProfitMargin'</f>
        <v>--</v>
      </c>
      <c r="W9" t="str">
        <f>[1]!'00646.TW-StockNetValue'</f>
        <v>--</v>
      </c>
      <c r="X9" t="str">
        <f>[1]!'00646.TW-Profit'</f>
        <v>--</v>
      </c>
      <c r="Y9" t="str">
        <f>[1]!'00646.TW-CurrentRatio'</f>
        <v>--</v>
      </c>
      <c r="Z9" t="str">
        <f>[1]!'00646.TW-QuickRatio'</f>
        <v>--</v>
      </c>
      <c r="AA9" t="str">
        <f>[1]!'00646.TW-LiabilityRatio'</f>
        <v>--</v>
      </c>
      <c r="AB9" t="str">
        <f>[1]!'00646.TW-TimesInterestEarne'</f>
        <v>--</v>
      </c>
      <c r="AC9" t="str">
        <f>[1]!'00646.TW-ReceivablesTurnoverRatio'</f>
        <v>--</v>
      </c>
      <c r="AD9" t="str">
        <f>[1]!'00646.TW-InventoryTurnoverRatio'</f>
        <v>--</v>
      </c>
      <c r="AE9" t="str">
        <f>[1]!'00646.TW-CashDividend'</f>
        <v>--</v>
      </c>
      <c r="AF9" t="str">
        <f>[1]!'00646.TW-StockDividend'</f>
        <v>--</v>
      </c>
      <c r="AG9">
        <f>[1]!'00646.TW-CashDividendYieldRate'</f>
        <v>0</v>
      </c>
      <c r="AH9" t="str">
        <f>[1]!'00646.TW-ChipsField25'</f>
        <v>--</v>
      </c>
      <c r="AI9" t="str">
        <f>[1]!'00646.TW-ChipsField26'</f>
        <v>--</v>
      </c>
      <c r="AJ9" t="str">
        <f>[1]!'00646.TW-ChipsField27'</f>
        <v>--</v>
      </c>
      <c r="AK9" t="str">
        <f>[1]!'00646.TW-Beta'</f>
        <v>--</v>
      </c>
      <c r="AL9" t="str">
        <f>[1]!'00646.TW-Capital'</f>
        <v>--</v>
      </c>
      <c r="AM9" t="str">
        <f>[1]!'00646.TW-MarketValue'</f>
        <v>--</v>
      </c>
      <c r="AN9">
        <f>[1]!'00646.TW-ManagementPercent'</f>
        <v>0.45</v>
      </c>
    </row>
    <row r="10" spans="1:40" x14ac:dyDescent="0.3">
      <c r="A10" t="str">
        <f>[1]!'00679B.TW-ID'</f>
        <v>00679B</v>
      </c>
      <c r="B10" t="str">
        <f>[1]!'00679B.TW-Name'</f>
        <v>元大美債20年</v>
      </c>
      <c r="C10">
        <f>[1]!'00679B.TW-Bid'</f>
        <v>31.43</v>
      </c>
      <c r="D10">
        <f>[1]!'00679B.TW-Ask'</f>
        <v>31.44</v>
      </c>
      <c r="E10">
        <f>[1]!'00679B.TW-Price'</f>
        <v>31.43</v>
      </c>
      <c r="F10">
        <f>[1]!'00679B.TW-PriceChange'</f>
        <v>0.24</v>
      </c>
      <c r="G10">
        <f>[1]!'00679B.TW-PriceChangeRatio'</f>
        <v>0.77</v>
      </c>
      <c r="H10">
        <f>[1]!'00679B.TW-Volume'</f>
        <v>1078</v>
      </c>
      <c r="I10">
        <f>[1]!'00679B.TW-BestBidSize'</f>
        <v>211</v>
      </c>
      <c r="J10">
        <f>[1]!'00679B.TW-BestAskSize'</f>
        <v>1039</v>
      </c>
      <c r="K10">
        <f>[1]!'00679B.TW-TotalVolume'</f>
        <v>43822</v>
      </c>
      <c r="L10">
        <f>[1]!'00679B.TW-High'</f>
        <v>31.48</v>
      </c>
      <c r="M10">
        <f>[1]!'00679B.TW-Low'</f>
        <v>31.35</v>
      </c>
      <c r="N10">
        <f>[1]!'00679B.TW-Open'</f>
        <v>31.35</v>
      </c>
      <c r="O10" t="str">
        <f>[1]!'00679B.TW-Beta'</f>
        <v>--</v>
      </c>
      <c r="P10" t="str">
        <f>[1]!'00679B.TW-PERatio'</f>
        <v>--</v>
      </c>
      <c r="Q10" t="str">
        <f>[1]!'00679B.TW-PBRatio'</f>
        <v>--</v>
      </c>
      <c r="R10" t="str">
        <f>[1]!'00679B.TW-ROE'</f>
        <v>--</v>
      </c>
      <c r="S10" t="str">
        <f>[1]!'00679B.TW-ReturnOnAssets'</f>
        <v>--</v>
      </c>
      <c r="T10" t="str">
        <f>[1]!'00679B.TW-ProfitMargin'</f>
        <v>--</v>
      </c>
      <c r="U10" t="str">
        <f>[1]!'00679B.TW-OperatingProfitRatio'</f>
        <v>--</v>
      </c>
      <c r="V10" t="str">
        <f>[1]!'00679B.TW-NetProfitMargin'</f>
        <v>--</v>
      </c>
      <c r="W10" t="str">
        <f>[1]!'00679B.TW-StockNetValue'</f>
        <v>--</v>
      </c>
      <c r="X10" t="str">
        <f>[1]!'00679B.TW-Profit'</f>
        <v>--</v>
      </c>
      <c r="Y10" t="str">
        <f>[1]!'00679B.TW-CurrentRatio'</f>
        <v>--</v>
      </c>
      <c r="Z10" t="str">
        <f>[1]!'00679B.TW-QuickRatio'</f>
        <v>--</v>
      </c>
      <c r="AA10" t="str">
        <f>[1]!'00679B.TW-LiabilityRatio'</f>
        <v>--</v>
      </c>
      <c r="AB10" t="str">
        <f>[1]!'00679B.TW-TimesInterestEarne'</f>
        <v>--</v>
      </c>
      <c r="AC10" t="str">
        <f>[1]!'00679B.TW-ReceivablesTurnoverRatio'</f>
        <v>--</v>
      </c>
      <c r="AD10" t="str">
        <f>[1]!'00679B.TW-InventoryTurnoverRatio'</f>
        <v>--</v>
      </c>
      <c r="AE10" t="str">
        <f>[1]!'00679B.TW-CashDividend'</f>
        <v>0.29</v>
      </c>
      <c r="AF10" t="str">
        <f>[1]!'00679B.TW-StockDividend'</f>
        <v>--</v>
      </c>
      <c r="AG10">
        <f>[1]!'00679B.TW-CashDividendYieldRate'</f>
        <v>3.88</v>
      </c>
      <c r="AH10" t="str">
        <f>[1]!'00679B.TW-ChipsField25'</f>
        <v>2023/05/17</v>
      </c>
      <c r="AI10" t="str">
        <f>[1]!'00679B.TW-ChipsField26'</f>
        <v>2023/06/12</v>
      </c>
      <c r="AJ10" t="str">
        <f>[1]!'00679B.TW-ChipsField27'</f>
        <v>--</v>
      </c>
      <c r="AK10" t="str">
        <f>[1]!'00679B.TW-Beta'</f>
        <v>--</v>
      </c>
      <c r="AL10" t="str">
        <f>[1]!'00679B.TW-Capital'</f>
        <v>--</v>
      </c>
      <c r="AM10" t="str">
        <f>[1]!'00679B.TW-MarketValue'</f>
        <v>--</v>
      </c>
      <c r="AN10">
        <f>[1]!'00679B.TW-ManagementPercent'</f>
        <v>0.22</v>
      </c>
    </row>
    <row r="11" spans="1:40" x14ac:dyDescent="0.3">
      <c r="A11" t="str">
        <f>[1]!'00690.TW-ID'</f>
        <v>00690</v>
      </c>
      <c r="B11" t="str">
        <f>[1]!'00690.TW-Name'</f>
        <v>兆豐藍籌30</v>
      </c>
      <c r="C11">
        <f>[1]!'00690.TW-Bid'</f>
        <v>27.5</v>
      </c>
      <c r="D11">
        <f>[1]!'00690.TW-Ask'</f>
        <v>27.52</v>
      </c>
      <c r="E11">
        <f>[1]!'00690.TW-Price'</f>
        <v>27.5</v>
      </c>
      <c r="F11">
        <f>[1]!'00690.TW-PriceChange'</f>
        <v>0.41</v>
      </c>
      <c r="G11">
        <f>[1]!'00690.TW-PriceChangeRatio'</f>
        <v>1.51</v>
      </c>
      <c r="H11">
        <f>[1]!'00690.TW-Volume'</f>
        <v>11</v>
      </c>
      <c r="I11">
        <f>[1]!'00690.TW-BestBidSize'</f>
        <v>13</v>
      </c>
      <c r="J11">
        <f>[1]!'00690.TW-BestAskSize'</f>
        <v>15</v>
      </c>
      <c r="K11">
        <f>[1]!'00690.TW-TotalVolume'</f>
        <v>2330</v>
      </c>
      <c r="L11">
        <f>[1]!'00690.TW-High'</f>
        <v>27.55</v>
      </c>
      <c r="M11">
        <f>[1]!'00690.TW-Low'</f>
        <v>27.18</v>
      </c>
      <c r="N11">
        <f>[1]!'00690.TW-Open'</f>
        <v>27.18</v>
      </c>
      <c r="O11" t="str">
        <f>[1]!'00690.TW-Beta'</f>
        <v>--</v>
      </c>
      <c r="P11" t="str">
        <f>[1]!'00690.TW-PERatio'</f>
        <v>--</v>
      </c>
      <c r="Q11" t="str">
        <f>[1]!'00690.TW-PBRatio'</f>
        <v>--</v>
      </c>
      <c r="R11" t="str">
        <f>[1]!'00690.TW-ROE'</f>
        <v>--</v>
      </c>
      <c r="S11" t="str">
        <f>[1]!'00690.TW-ReturnOnAssets'</f>
        <v>--</v>
      </c>
      <c r="T11" t="str">
        <f>[1]!'00690.TW-ProfitMargin'</f>
        <v>--</v>
      </c>
      <c r="U11" t="str">
        <f>[1]!'00690.TW-OperatingProfitRatio'</f>
        <v>--</v>
      </c>
      <c r="V11" t="str">
        <f>[1]!'00690.TW-NetProfitMargin'</f>
        <v>--</v>
      </c>
      <c r="W11" t="str">
        <f>[1]!'00690.TW-StockNetValue'</f>
        <v>--</v>
      </c>
      <c r="X11" t="str">
        <f>[1]!'00690.TW-Profit'</f>
        <v>--</v>
      </c>
      <c r="Y11" t="str">
        <f>[1]!'00690.TW-CurrentRatio'</f>
        <v>--</v>
      </c>
      <c r="Z11" t="str">
        <f>[1]!'00690.TW-QuickRatio'</f>
        <v>--</v>
      </c>
      <c r="AA11" t="str">
        <f>[1]!'00690.TW-LiabilityRatio'</f>
        <v>--</v>
      </c>
      <c r="AB11" t="str">
        <f>[1]!'00690.TW-TimesInterestEarne'</f>
        <v>--</v>
      </c>
      <c r="AC11" t="str">
        <f>[1]!'00690.TW-ReceivablesTurnoverRatio'</f>
        <v>--</v>
      </c>
      <c r="AD11" t="str">
        <f>[1]!'00690.TW-InventoryTurnoverRatio'</f>
        <v>--</v>
      </c>
      <c r="AE11" t="str">
        <f>[1]!'00690.TW-CashDividend'</f>
        <v>1.50</v>
      </c>
      <c r="AF11" t="str">
        <f>[1]!'00690.TW-StockDividend'</f>
        <v>--</v>
      </c>
      <c r="AG11">
        <f>[1]!'00690.TW-CashDividendYieldRate'</f>
        <v>14.18</v>
      </c>
      <c r="AH11" t="str">
        <f>[1]!'00690.TW-ChipsField25'</f>
        <v>2023/05/22</v>
      </c>
      <c r="AI11" t="str">
        <f>[1]!'00690.TW-ChipsField26'</f>
        <v>2023/06/14</v>
      </c>
      <c r="AJ11" t="str">
        <f>[1]!'00690.TW-ChipsField27'</f>
        <v>--</v>
      </c>
      <c r="AK11" t="str">
        <f>[1]!'00690.TW-Beta'</f>
        <v>--</v>
      </c>
      <c r="AL11" t="str">
        <f>[1]!'00690.TW-Capital'</f>
        <v>--</v>
      </c>
      <c r="AM11" t="str">
        <f>[1]!'00690.TW-MarketValue'</f>
        <v>--</v>
      </c>
      <c r="AN11">
        <f>[1]!'00690.TW-ManagementPercent'</f>
        <v>0.63</v>
      </c>
    </row>
    <row r="12" spans="1:40" x14ac:dyDescent="0.3">
      <c r="A12" t="str">
        <f>[1]!'00692.TW-ID'</f>
        <v>00692</v>
      </c>
      <c r="B12" t="str">
        <f>[1]!'00692.TW-Name'</f>
        <v>富邦公司治理</v>
      </c>
      <c r="C12">
        <f>[1]!'00692.TW-Bid'</f>
        <v>32.049999999999997</v>
      </c>
      <c r="D12">
        <f>[1]!'00692.TW-Ask'</f>
        <v>32.06</v>
      </c>
      <c r="E12">
        <f>[1]!'00692.TW-Price'</f>
        <v>32.049999999999997</v>
      </c>
      <c r="F12">
        <f>[1]!'00692.TW-PriceChange'</f>
        <v>0.25</v>
      </c>
      <c r="G12">
        <f>[1]!'00692.TW-PriceChangeRatio'</f>
        <v>0.79</v>
      </c>
      <c r="H12">
        <f>[1]!'00692.TW-Volume'</f>
        <v>111</v>
      </c>
      <c r="I12">
        <f>[1]!'00692.TW-BestBidSize'</f>
        <v>51</v>
      </c>
      <c r="J12">
        <f>[1]!'00692.TW-BestAskSize'</f>
        <v>9</v>
      </c>
      <c r="K12">
        <f>[1]!'00692.TW-TotalVolume'</f>
        <v>2736</v>
      </c>
      <c r="L12">
        <f>[1]!'00692.TW-High'</f>
        <v>32.049999999999997</v>
      </c>
      <c r="M12">
        <f>[1]!'00692.TW-Low'</f>
        <v>31.82</v>
      </c>
      <c r="N12">
        <f>[1]!'00692.TW-Open'</f>
        <v>31.84</v>
      </c>
      <c r="O12" t="str">
        <f>[1]!'00692.TW-Beta'</f>
        <v>--</v>
      </c>
      <c r="P12" t="str">
        <f>[1]!'00692.TW-PERatio'</f>
        <v>--</v>
      </c>
      <c r="Q12" t="str">
        <f>[1]!'00692.TW-PBRatio'</f>
        <v>--</v>
      </c>
      <c r="R12" t="str">
        <f>[1]!'00692.TW-ROE'</f>
        <v>--</v>
      </c>
      <c r="S12" t="str">
        <f>[1]!'00692.TW-ReturnOnAssets'</f>
        <v>--</v>
      </c>
      <c r="T12" t="str">
        <f>[1]!'00692.TW-ProfitMargin'</f>
        <v>--</v>
      </c>
      <c r="U12" t="str">
        <f>[1]!'00692.TW-OperatingProfitRatio'</f>
        <v>--</v>
      </c>
      <c r="V12" t="str">
        <f>[1]!'00692.TW-NetProfitMargin'</f>
        <v>--</v>
      </c>
      <c r="W12" t="str">
        <f>[1]!'00692.TW-StockNetValue'</f>
        <v>--</v>
      </c>
      <c r="X12" t="str">
        <f>[1]!'00692.TW-Profit'</f>
        <v>--</v>
      </c>
      <c r="Y12" t="str">
        <f>[1]!'00692.TW-CurrentRatio'</f>
        <v>--</v>
      </c>
      <c r="Z12" t="str">
        <f>[1]!'00692.TW-QuickRatio'</f>
        <v>--</v>
      </c>
      <c r="AA12" t="str">
        <f>[1]!'00692.TW-LiabilityRatio'</f>
        <v>--</v>
      </c>
      <c r="AB12" t="str">
        <f>[1]!'00692.TW-TimesInterestEarne'</f>
        <v>--</v>
      </c>
      <c r="AC12" t="str">
        <f>[1]!'00692.TW-ReceivablesTurnoverRatio'</f>
        <v>--</v>
      </c>
      <c r="AD12" t="str">
        <f>[1]!'00692.TW-InventoryTurnoverRatio'</f>
        <v>--</v>
      </c>
      <c r="AE12" t="str">
        <f>[1]!'00692.TW-CashDividend'</f>
        <v>0.55</v>
      </c>
      <c r="AF12" t="str">
        <f>[1]!'00692.TW-StockDividend'</f>
        <v>--</v>
      </c>
      <c r="AG12">
        <f>[1]!'00692.TW-CashDividendYieldRate'</f>
        <v>6.33</v>
      </c>
      <c r="AH12" t="str">
        <f>[1]!'00692.TW-ChipsField25'</f>
        <v>2022/11/16</v>
      </c>
      <c r="AI12" t="str">
        <f>[1]!'00692.TW-ChipsField26'</f>
        <v>2022/12/19</v>
      </c>
      <c r="AJ12" t="str">
        <f>[1]!'00692.TW-ChipsField27'</f>
        <v>--</v>
      </c>
      <c r="AK12" t="str">
        <f>[1]!'00692.TW-Beta'</f>
        <v>--</v>
      </c>
      <c r="AL12" t="str">
        <f>[1]!'00692.TW-Capital'</f>
        <v>--</v>
      </c>
      <c r="AM12" t="str">
        <f>[1]!'00692.TW-MarketValue'</f>
        <v>--</v>
      </c>
      <c r="AN12">
        <f>[1]!'00692.TW-ManagementPercent'</f>
        <v>0.35</v>
      </c>
    </row>
    <row r="13" spans="1:40" x14ac:dyDescent="0.3">
      <c r="A13" t="str">
        <f>[1]!'00701.TW-ID'</f>
        <v>00701</v>
      </c>
      <c r="B13" t="str">
        <f>[1]!'00701.TW-Name'</f>
        <v>國泰股利精選30</v>
      </c>
      <c r="C13">
        <f>[1]!'00701.TW-Bid'</f>
        <v>24.52</v>
      </c>
      <c r="D13">
        <f>[1]!'00701.TW-Ask'</f>
        <v>24.53</v>
      </c>
      <c r="E13">
        <f>[1]!'00701.TW-Price'</f>
        <v>24.52</v>
      </c>
      <c r="F13">
        <f>[1]!'00701.TW-PriceChange'</f>
        <v>0.16</v>
      </c>
      <c r="G13">
        <f>[1]!'00701.TW-PriceChangeRatio'</f>
        <v>0.66</v>
      </c>
      <c r="H13">
        <f>[1]!'00701.TW-Volume'</f>
        <v>3</v>
      </c>
      <c r="I13">
        <f>[1]!'00701.TW-BestBidSize'</f>
        <v>2</v>
      </c>
      <c r="J13">
        <f>[1]!'00701.TW-BestAskSize'</f>
        <v>11</v>
      </c>
      <c r="K13">
        <f>[1]!'00701.TW-TotalVolume'</f>
        <v>845</v>
      </c>
      <c r="L13">
        <f>[1]!'00701.TW-High'</f>
        <v>24.54</v>
      </c>
      <c r="M13">
        <f>[1]!'00701.TW-Low'</f>
        <v>24.39</v>
      </c>
      <c r="N13">
        <f>[1]!'00701.TW-Open'</f>
        <v>24.39</v>
      </c>
      <c r="O13" t="str">
        <f>[1]!'00701.TW-Beta'</f>
        <v>--</v>
      </c>
      <c r="P13" t="str">
        <f>[1]!'00701.TW-PERatio'</f>
        <v>--</v>
      </c>
      <c r="Q13" t="str">
        <f>[1]!'00701.TW-PBRatio'</f>
        <v>--</v>
      </c>
      <c r="R13" t="str">
        <f>[1]!'00701.TW-ROE'</f>
        <v>--</v>
      </c>
      <c r="S13" t="str">
        <f>[1]!'00701.TW-ReturnOnAssets'</f>
        <v>--</v>
      </c>
      <c r="T13" t="str">
        <f>[1]!'00701.TW-ProfitMargin'</f>
        <v>--</v>
      </c>
      <c r="U13" t="str">
        <f>[1]!'00701.TW-OperatingProfitRatio'</f>
        <v>--</v>
      </c>
      <c r="V13" t="str">
        <f>[1]!'00701.TW-NetProfitMargin'</f>
        <v>--</v>
      </c>
      <c r="W13" t="str">
        <f>[1]!'00701.TW-StockNetValue'</f>
        <v>--</v>
      </c>
      <c r="X13" t="str">
        <f>[1]!'00701.TW-Profit'</f>
        <v>--</v>
      </c>
      <c r="Y13" t="str">
        <f>[1]!'00701.TW-CurrentRatio'</f>
        <v>--</v>
      </c>
      <c r="Z13" t="str">
        <f>[1]!'00701.TW-QuickRatio'</f>
        <v>--</v>
      </c>
      <c r="AA13" t="str">
        <f>[1]!'00701.TW-LiabilityRatio'</f>
        <v>--</v>
      </c>
      <c r="AB13" t="str">
        <f>[1]!'00701.TW-TimesInterestEarne'</f>
        <v>--</v>
      </c>
      <c r="AC13" t="str">
        <f>[1]!'00701.TW-ReceivablesTurnoverRatio'</f>
        <v>--</v>
      </c>
      <c r="AD13" t="str">
        <f>[1]!'00701.TW-InventoryTurnoverRatio'</f>
        <v>--</v>
      </c>
      <c r="AE13" t="str">
        <f>[1]!'00701.TW-CashDividend'</f>
        <v>0.66</v>
      </c>
      <c r="AF13" t="str">
        <f>[1]!'00701.TW-StockDividend'</f>
        <v>--</v>
      </c>
      <c r="AG13">
        <f>[1]!'00701.TW-CashDividendYieldRate'</f>
        <v>3.71</v>
      </c>
      <c r="AH13" t="str">
        <f>[1]!'00701.TW-ChipsField25'</f>
        <v>2023/01/30</v>
      </c>
      <c r="AI13" t="str">
        <f>[1]!'00701.TW-ChipsField26'</f>
        <v>2023/03/02</v>
      </c>
      <c r="AJ13" t="str">
        <f>[1]!'00701.TW-ChipsField27'</f>
        <v>--</v>
      </c>
      <c r="AK13" t="str">
        <f>[1]!'00701.TW-Beta'</f>
        <v>--</v>
      </c>
      <c r="AL13" t="str">
        <f>[1]!'00701.TW-Capital'</f>
        <v>--</v>
      </c>
      <c r="AM13" t="str">
        <f>[1]!'00701.TW-MarketValue'</f>
        <v>--</v>
      </c>
      <c r="AN13">
        <f>[1]!'00701.TW-ManagementPercent'</f>
        <v>0.64</v>
      </c>
    </row>
    <row r="14" spans="1:40" x14ac:dyDescent="0.3">
      <c r="A14" t="str">
        <f>[1]!'00708L.TW-ID'</f>
        <v>00708L</v>
      </c>
      <c r="B14" t="str">
        <f>[1]!'00708L.TW-Name'</f>
        <v>期元大S＆P黃金正2</v>
      </c>
      <c r="C14">
        <f>[1]!'00708L.TW-Bid'</f>
        <v>27.1</v>
      </c>
      <c r="D14">
        <f>[1]!'00708L.TW-Ask'</f>
        <v>27.11</v>
      </c>
      <c r="E14">
        <f>[1]!'00708L.TW-Price'</f>
        <v>27.11</v>
      </c>
      <c r="F14">
        <f>[1]!'00708L.TW-PriceChange'</f>
        <v>7.0000000000000007E-2</v>
      </c>
      <c r="G14">
        <f>[1]!'00708L.TW-PriceChangeRatio'</f>
        <v>0.26</v>
      </c>
      <c r="H14">
        <f>[1]!'00708L.TW-Volume'</f>
        <v>3</v>
      </c>
      <c r="I14">
        <f>[1]!'00708L.TW-BestBidSize'</f>
        <v>55</v>
      </c>
      <c r="J14">
        <f>[1]!'00708L.TW-BestAskSize'</f>
        <v>7</v>
      </c>
      <c r="K14">
        <f>[1]!'00708L.TW-TotalVolume'</f>
        <v>450</v>
      </c>
      <c r="L14">
        <f>[1]!'00708L.TW-High'</f>
        <v>27.2</v>
      </c>
      <c r="M14">
        <f>[1]!'00708L.TW-Low'</f>
        <v>27.11</v>
      </c>
      <c r="N14">
        <f>[1]!'00708L.TW-Open'</f>
        <v>27.17</v>
      </c>
      <c r="O14" t="str">
        <f>[1]!'00708L.TW-Beta'</f>
        <v>--</v>
      </c>
      <c r="P14" t="str">
        <f>[1]!'00708L.TW-PERatio'</f>
        <v>--</v>
      </c>
      <c r="Q14" t="str">
        <f>[1]!'00708L.TW-PBRatio'</f>
        <v>--</v>
      </c>
      <c r="R14" t="str">
        <f>[1]!'00708L.TW-ROE'</f>
        <v>--</v>
      </c>
      <c r="S14" t="str">
        <f>[1]!'00708L.TW-ReturnOnAssets'</f>
        <v>--</v>
      </c>
      <c r="T14" t="str">
        <f>[1]!'00708L.TW-ProfitMargin'</f>
        <v>--</v>
      </c>
      <c r="U14" t="str">
        <f>[1]!'00708L.TW-OperatingProfitRatio'</f>
        <v>--</v>
      </c>
      <c r="V14" t="str">
        <f>[1]!'00708L.TW-NetProfitMargin'</f>
        <v>--</v>
      </c>
      <c r="W14" t="str">
        <f>[1]!'00708L.TW-StockNetValue'</f>
        <v>--</v>
      </c>
      <c r="X14" t="str">
        <f>[1]!'00708L.TW-Profit'</f>
        <v>--</v>
      </c>
      <c r="Y14" t="str">
        <f>[1]!'00708L.TW-CurrentRatio'</f>
        <v>--</v>
      </c>
      <c r="Z14" t="str">
        <f>[1]!'00708L.TW-QuickRatio'</f>
        <v>--</v>
      </c>
      <c r="AA14" t="str">
        <f>[1]!'00708L.TW-LiabilityRatio'</f>
        <v>--</v>
      </c>
      <c r="AB14" t="str">
        <f>[1]!'00708L.TW-TimesInterestEarne'</f>
        <v>--</v>
      </c>
      <c r="AC14" t="str">
        <f>[1]!'00708L.TW-ReceivablesTurnoverRatio'</f>
        <v>--</v>
      </c>
      <c r="AD14" t="str">
        <f>[1]!'00708L.TW-InventoryTurnoverRatio'</f>
        <v>--</v>
      </c>
      <c r="AE14" t="str">
        <f>[1]!'00708L.TW-CashDividend'</f>
        <v>--</v>
      </c>
      <c r="AF14" t="str">
        <f>[1]!'00708L.TW-StockDividend'</f>
        <v>--</v>
      </c>
      <c r="AG14">
        <f>[1]!'00708L.TW-CashDividendYieldRate'</f>
        <v>0</v>
      </c>
      <c r="AH14" t="str">
        <f>[1]!'00708L.TW-ChipsField25'</f>
        <v>--</v>
      </c>
      <c r="AI14" t="str">
        <f>[1]!'00708L.TW-ChipsField26'</f>
        <v>--</v>
      </c>
      <c r="AJ14" t="str">
        <f>[1]!'00708L.TW-ChipsField27'</f>
        <v>--</v>
      </c>
      <c r="AK14" t="str">
        <f>[1]!'00708L.TW-Beta'</f>
        <v>--</v>
      </c>
      <c r="AL14" t="str">
        <f>[1]!'00708L.TW-Capital'</f>
        <v>--</v>
      </c>
      <c r="AM14" t="str">
        <f>[1]!'00708L.TW-MarketValue'</f>
        <v>--</v>
      </c>
      <c r="AN14" t="str">
        <f>[1]!'00708L.TW-ManagementPercent'</f>
        <v>--</v>
      </c>
    </row>
    <row r="15" spans="1:40" x14ac:dyDescent="0.3">
      <c r="A15" t="str">
        <f>[1]!'00712.TW-ID'</f>
        <v>00712</v>
      </c>
      <c r="B15" t="str">
        <f>[1]!'00712.TW-Name'</f>
        <v>復華富時不動產</v>
      </c>
      <c r="C15">
        <f>[1]!'00712.TW-Bid'</f>
        <v>9.5</v>
      </c>
      <c r="D15">
        <f>[1]!'00712.TW-Ask'</f>
        <v>9.51</v>
      </c>
      <c r="E15">
        <f>[1]!'00712.TW-Price'</f>
        <v>9.5</v>
      </c>
      <c r="F15">
        <f>[1]!'00712.TW-PriceChange'</f>
        <v>0.19</v>
      </c>
      <c r="G15">
        <f>[1]!'00712.TW-PriceChangeRatio'</f>
        <v>2.04</v>
      </c>
      <c r="H15">
        <f>[1]!'00712.TW-Volume'</f>
        <v>921</v>
      </c>
      <c r="I15">
        <f>[1]!'00712.TW-BestBidSize'</f>
        <v>120</v>
      </c>
      <c r="J15">
        <f>[1]!'00712.TW-BestAskSize'</f>
        <v>2013</v>
      </c>
      <c r="K15">
        <f>[1]!'00712.TW-TotalVolume'</f>
        <v>41145</v>
      </c>
      <c r="L15">
        <f>[1]!'00712.TW-High'</f>
        <v>9.51</v>
      </c>
      <c r="M15">
        <f>[1]!'00712.TW-Low'</f>
        <v>9.4600000000000009</v>
      </c>
      <c r="N15">
        <f>[1]!'00712.TW-Open'</f>
        <v>9.4600000000000009</v>
      </c>
      <c r="O15" t="str">
        <f>[1]!'00712.TW-Beta'</f>
        <v>--</v>
      </c>
      <c r="P15" t="str">
        <f>[1]!'00712.TW-PERatio'</f>
        <v>--</v>
      </c>
      <c r="Q15" t="str">
        <f>[1]!'00712.TW-PBRatio'</f>
        <v>--</v>
      </c>
      <c r="R15" t="str">
        <f>[1]!'00712.TW-ROE'</f>
        <v>--</v>
      </c>
      <c r="S15" t="str">
        <f>[1]!'00712.TW-ReturnOnAssets'</f>
        <v>--</v>
      </c>
      <c r="T15" t="str">
        <f>[1]!'00712.TW-ProfitMargin'</f>
        <v>--</v>
      </c>
      <c r="U15" t="str">
        <f>[1]!'00712.TW-OperatingProfitRatio'</f>
        <v>--</v>
      </c>
      <c r="V15" t="str">
        <f>[1]!'00712.TW-NetProfitMargin'</f>
        <v>--</v>
      </c>
      <c r="W15" t="str">
        <f>[1]!'00712.TW-StockNetValue'</f>
        <v>--</v>
      </c>
      <c r="X15" t="str">
        <f>[1]!'00712.TW-Profit'</f>
        <v>--</v>
      </c>
      <c r="Y15" t="str">
        <f>[1]!'00712.TW-CurrentRatio'</f>
        <v>--</v>
      </c>
      <c r="Z15" t="str">
        <f>[1]!'00712.TW-QuickRatio'</f>
        <v>--</v>
      </c>
      <c r="AA15" t="str">
        <f>[1]!'00712.TW-LiabilityRatio'</f>
        <v>--</v>
      </c>
      <c r="AB15" t="str">
        <f>[1]!'00712.TW-TimesInterestEarne'</f>
        <v>--</v>
      </c>
      <c r="AC15" t="str">
        <f>[1]!'00712.TW-ReceivablesTurnoverRatio'</f>
        <v>--</v>
      </c>
      <c r="AD15" t="str">
        <f>[1]!'00712.TW-InventoryTurnoverRatio'</f>
        <v>--</v>
      </c>
      <c r="AE15" t="str">
        <f>[1]!'00712.TW-CashDividend'</f>
        <v>0.27</v>
      </c>
      <c r="AF15" t="str">
        <f>[1]!'00712.TW-StockDividend'</f>
        <v>--</v>
      </c>
      <c r="AG15">
        <f>[1]!'00712.TW-CashDividendYieldRate'</f>
        <v>10.210000000000001</v>
      </c>
      <c r="AH15" t="str">
        <f>[1]!'00712.TW-ChipsField25'</f>
        <v>2023/06/20</v>
      </c>
      <c r="AI15" t="str">
        <f>[1]!'00712.TW-ChipsField26'</f>
        <v>2023/07/14</v>
      </c>
      <c r="AJ15" t="str">
        <f>[1]!'00712.TW-ChipsField27'</f>
        <v>--</v>
      </c>
      <c r="AK15" t="str">
        <f>[1]!'00712.TW-Beta'</f>
        <v>--</v>
      </c>
      <c r="AL15" t="str">
        <f>[1]!'00712.TW-Capital'</f>
        <v>--</v>
      </c>
      <c r="AM15" t="str">
        <f>[1]!'00712.TW-MarketValue'</f>
        <v>--</v>
      </c>
      <c r="AN15">
        <f>[1]!'00712.TW-ManagementPercent'</f>
        <v>3.47</v>
      </c>
    </row>
    <row r="16" spans="1:40" x14ac:dyDescent="0.3">
      <c r="A16" t="str">
        <f>[1]!'00713.TW-ID'</f>
        <v>00713</v>
      </c>
      <c r="B16" t="str">
        <f>[1]!'00713.TW-Name'</f>
        <v>元大台灣高息低波</v>
      </c>
      <c r="C16">
        <f>[1]!'00713.TW-Bid'</f>
        <v>45.06</v>
      </c>
      <c r="D16">
        <f>[1]!'00713.TW-Ask'</f>
        <v>45.07</v>
      </c>
      <c r="E16">
        <f>[1]!'00713.TW-Price'</f>
        <v>45.06</v>
      </c>
      <c r="F16">
        <f>[1]!'00713.TW-PriceChange'</f>
        <v>0.18</v>
      </c>
      <c r="G16">
        <f>[1]!'00713.TW-PriceChangeRatio'</f>
        <v>0.4</v>
      </c>
      <c r="H16">
        <f>[1]!'00713.TW-Volume'</f>
        <v>69</v>
      </c>
      <c r="I16">
        <f>[1]!'00713.TW-BestBidSize'</f>
        <v>27</v>
      </c>
      <c r="J16">
        <f>[1]!'00713.TW-BestAskSize'</f>
        <v>3</v>
      </c>
      <c r="K16">
        <f>[1]!'00713.TW-TotalVolume'</f>
        <v>8188</v>
      </c>
      <c r="L16">
        <f>[1]!'00713.TW-High'</f>
        <v>45.1</v>
      </c>
      <c r="M16">
        <f>[1]!'00713.TW-Low'</f>
        <v>44.95</v>
      </c>
      <c r="N16">
        <f>[1]!'00713.TW-Open'</f>
        <v>44.99</v>
      </c>
      <c r="O16" t="str">
        <f>[1]!'00713.TW-Beta'</f>
        <v>--</v>
      </c>
      <c r="P16" t="str">
        <f>[1]!'00713.TW-PERatio'</f>
        <v>--</v>
      </c>
      <c r="Q16" t="str">
        <f>[1]!'00713.TW-PBRatio'</f>
        <v>--</v>
      </c>
      <c r="R16" t="str">
        <f>[1]!'00713.TW-ROE'</f>
        <v>--</v>
      </c>
      <c r="S16" t="str">
        <f>[1]!'00713.TW-ReturnOnAssets'</f>
        <v>--</v>
      </c>
      <c r="T16" t="str">
        <f>[1]!'00713.TW-ProfitMargin'</f>
        <v>--</v>
      </c>
      <c r="U16" t="str">
        <f>[1]!'00713.TW-OperatingProfitRatio'</f>
        <v>--</v>
      </c>
      <c r="V16" t="str">
        <f>[1]!'00713.TW-NetProfitMargin'</f>
        <v>--</v>
      </c>
      <c r="W16" t="str">
        <f>[1]!'00713.TW-StockNetValue'</f>
        <v>--</v>
      </c>
      <c r="X16" t="str">
        <f>[1]!'00713.TW-Profit'</f>
        <v>--</v>
      </c>
      <c r="Y16" t="str">
        <f>[1]!'00713.TW-CurrentRatio'</f>
        <v>--</v>
      </c>
      <c r="Z16" t="str">
        <f>[1]!'00713.TW-QuickRatio'</f>
        <v>--</v>
      </c>
      <c r="AA16" t="str">
        <f>[1]!'00713.TW-LiabilityRatio'</f>
        <v>--</v>
      </c>
      <c r="AB16" t="str">
        <f>[1]!'00713.TW-TimesInterestEarne'</f>
        <v>--</v>
      </c>
      <c r="AC16" t="str">
        <f>[1]!'00713.TW-ReceivablesTurnoverRatio'</f>
        <v>--</v>
      </c>
      <c r="AD16" t="str">
        <f>[1]!'00713.TW-InventoryTurnoverRatio'</f>
        <v>--</v>
      </c>
      <c r="AE16" t="str">
        <f>[1]!'00713.TW-CashDividend'</f>
        <v>0.68</v>
      </c>
      <c r="AF16" t="str">
        <f>[1]!'00713.TW-StockDividend'</f>
        <v>--</v>
      </c>
      <c r="AG16">
        <f>[1]!'00713.TW-CashDividendYieldRate'</f>
        <v>9.4499999999999993</v>
      </c>
      <c r="AH16" t="str">
        <f>[1]!'00713.TW-ChipsField25'</f>
        <v>2023/06/16</v>
      </c>
      <c r="AI16" t="str">
        <f>[1]!'00713.TW-ChipsField26'</f>
        <v>2023/07/14</v>
      </c>
      <c r="AJ16" t="str">
        <f>[1]!'00713.TW-ChipsField27'</f>
        <v>--</v>
      </c>
      <c r="AK16" t="str">
        <f>[1]!'00713.TW-Beta'</f>
        <v>--</v>
      </c>
      <c r="AL16" t="str">
        <f>[1]!'00713.TW-Capital'</f>
        <v>--</v>
      </c>
      <c r="AM16" t="str">
        <f>[1]!'00713.TW-MarketValue'</f>
        <v>--</v>
      </c>
      <c r="AN16">
        <f>[1]!'00713.TW-ManagementPercent'</f>
        <v>0.62</v>
      </c>
    </row>
    <row r="17" spans="1:40" x14ac:dyDescent="0.3">
      <c r="A17" t="str">
        <f>[1]!'00728.TW-ID'</f>
        <v>00728</v>
      </c>
      <c r="B17" t="str">
        <f>[1]!'00728.TW-Name'</f>
        <v>第一金工業30</v>
      </c>
      <c r="C17">
        <f>[1]!'00728.TW-Bid'</f>
        <v>24.56</v>
      </c>
      <c r="D17">
        <f>[1]!'00728.TW-Ask'</f>
        <v>24.58</v>
      </c>
      <c r="E17">
        <f>[1]!'00728.TW-Price'</f>
        <v>24.56</v>
      </c>
      <c r="F17">
        <f>[1]!'00728.TW-PriceChange'</f>
        <v>0.17</v>
      </c>
      <c r="G17">
        <f>[1]!'00728.TW-PriceChangeRatio'</f>
        <v>0.7</v>
      </c>
      <c r="H17">
        <f>[1]!'00728.TW-Volume'</f>
        <v>5</v>
      </c>
      <c r="I17">
        <f>[1]!'00728.TW-BestBidSize'</f>
        <v>35</v>
      </c>
      <c r="J17">
        <f>[1]!'00728.TW-BestAskSize'</f>
        <v>2</v>
      </c>
      <c r="K17">
        <f>[1]!'00728.TW-TotalVolume'</f>
        <v>909</v>
      </c>
      <c r="L17">
        <f>[1]!'00728.TW-High'</f>
        <v>24.57</v>
      </c>
      <c r="M17">
        <f>[1]!'00728.TW-Low'</f>
        <v>24.41</v>
      </c>
      <c r="N17">
        <f>[1]!'00728.TW-Open'</f>
        <v>24.41</v>
      </c>
      <c r="O17" t="str">
        <f>[1]!'00728.TW-Beta'</f>
        <v>--</v>
      </c>
      <c r="P17" t="str">
        <f>[1]!'00728.TW-PERatio'</f>
        <v>--</v>
      </c>
      <c r="Q17" t="str">
        <f>[1]!'00728.TW-PBRatio'</f>
        <v>--</v>
      </c>
      <c r="R17" t="str">
        <f>[1]!'00728.TW-ROE'</f>
        <v>--</v>
      </c>
      <c r="S17" t="str">
        <f>[1]!'00728.TW-ReturnOnAssets'</f>
        <v>--</v>
      </c>
      <c r="T17" t="str">
        <f>[1]!'00728.TW-ProfitMargin'</f>
        <v>--</v>
      </c>
      <c r="U17" t="str">
        <f>[1]!'00728.TW-OperatingProfitRatio'</f>
        <v>--</v>
      </c>
      <c r="V17" t="str">
        <f>[1]!'00728.TW-NetProfitMargin'</f>
        <v>--</v>
      </c>
      <c r="W17" t="str">
        <f>[1]!'00728.TW-StockNetValue'</f>
        <v>--</v>
      </c>
      <c r="X17" t="str">
        <f>[1]!'00728.TW-Profit'</f>
        <v>--</v>
      </c>
      <c r="Y17" t="str">
        <f>[1]!'00728.TW-CurrentRatio'</f>
        <v>--</v>
      </c>
      <c r="Z17" t="str">
        <f>[1]!'00728.TW-QuickRatio'</f>
        <v>--</v>
      </c>
      <c r="AA17" t="str">
        <f>[1]!'00728.TW-LiabilityRatio'</f>
        <v>--</v>
      </c>
      <c r="AB17" t="str">
        <f>[1]!'00728.TW-TimesInterestEarne'</f>
        <v>--</v>
      </c>
      <c r="AC17" t="str">
        <f>[1]!'00728.TW-ReceivablesTurnoverRatio'</f>
        <v>--</v>
      </c>
      <c r="AD17" t="str">
        <f>[1]!'00728.TW-InventoryTurnoverRatio'</f>
        <v>--</v>
      </c>
      <c r="AE17" t="str">
        <f>[1]!'00728.TW-CashDividend'</f>
        <v>0.93</v>
      </c>
      <c r="AF17" t="str">
        <f>[1]!'00728.TW-StockDividend'</f>
        <v>--</v>
      </c>
      <c r="AG17">
        <f>[1]!'00728.TW-CashDividendYieldRate'</f>
        <v>3.79</v>
      </c>
      <c r="AH17" t="str">
        <f>[1]!'00728.TW-ChipsField25'</f>
        <v>2023/02/01</v>
      </c>
      <c r="AI17" t="str">
        <f>[1]!'00728.TW-ChipsField26'</f>
        <v>2023/03/06</v>
      </c>
      <c r="AJ17" t="str">
        <f>[1]!'00728.TW-ChipsField27'</f>
        <v>--</v>
      </c>
      <c r="AK17" t="str">
        <f>[1]!'00728.TW-Beta'</f>
        <v>--</v>
      </c>
      <c r="AL17" t="str">
        <f>[1]!'00728.TW-Capital'</f>
        <v>--</v>
      </c>
      <c r="AM17" t="str">
        <f>[1]!'00728.TW-MarketValue'</f>
        <v>--</v>
      </c>
      <c r="AN17">
        <f>[1]!'00728.TW-ManagementPercent'</f>
        <v>0.56000000000000005</v>
      </c>
    </row>
    <row r="18" spans="1:40" x14ac:dyDescent="0.3">
      <c r="A18" t="str">
        <f>[1]!'00730.TW-ID'</f>
        <v>00730</v>
      </c>
      <c r="B18" t="str">
        <f>[1]!'00730.TW-Name'</f>
        <v>富邦臺灣優質高息</v>
      </c>
      <c r="C18">
        <f>[1]!'00730.TW-Bid'</f>
        <v>18.98</v>
      </c>
      <c r="D18">
        <f>[1]!'00730.TW-Ask'</f>
        <v>18.989999999999998</v>
      </c>
      <c r="E18">
        <f>[1]!'00730.TW-Price'</f>
        <v>18.989999999999998</v>
      </c>
      <c r="F18">
        <f>[1]!'00730.TW-PriceChange'</f>
        <v>0.16</v>
      </c>
      <c r="G18">
        <f>[1]!'00730.TW-PriceChangeRatio'</f>
        <v>0.85</v>
      </c>
      <c r="H18">
        <f>[1]!'00730.TW-Volume'</f>
        <v>2</v>
      </c>
      <c r="I18">
        <f>[1]!'00730.TW-BestBidSize'</f>
        <v>5</v>
      </c>
      <c r="J18">
        <f>[1]!'00730.TW-BestAskSize'</f>
        <v>7</v>
      </c>
      <c r="K18">
        <f>[1]!'00730.TW-TotalVolume'</f>
        <v>823</v>
      </c>
      <c r="L18">
        <f>[1]!'00730.TW-High'</f>
        <v>19.02</v>
      </c>
      <c r="M18">
        <f>[1]!'00730.TW-Low'</f>
        <v>18.89</v>
      </c>
      <c r="N18">
        <f>[1]!'00730.TW-Open'</f>
        <v>18.89</v>
      </c>
      <c r="O18" t="str">
        <f>[1]!'00730.TW-Beta'</f>
        <v>--</v>
      </c>
      <c r="P18" t="str">
        <f>[1]!'00730.TW-PERatio'</f>
        <v>--</v>
      </c>
      <c r="Q18" t="str">
        <f>[1]!'00730.TW-PBRatio'</f>
        <v>--</v>
      </c>
      <c r="R18" t="str">
        <f>[1]!'00730.TW-ROE'</f>
        <v>--</v>
      </c>
      <c r="S18" t="str">
        <f>[1]!'00730.TW-ReturnOnAssets'</f>
        <v>--</v>
      </c>
      <c r="T18" t="str">
        <f>[1]!'00730.TW-ProfitMargin'</f>
        <v>--</v>
      </c>
      <c r="U18" t="str">
        <f>[1]!'00730.TW-OperatingProfitRatio'</f>
        <v>--</v>
      </c>
      <c r="V18" t="str">
        <f>[1]!'00730.TW-NetProfitMargin'</f>
        <v>--</v>
      </c>
      <c r="W18" t="str">
        <f>[1]!'00730.TW-StockNetValue'</f>
        <v>--</v>
      </c>
      <c r="X18" t="str">
        <f>[1]!'00730.TW-Profit'</f>
        <v>--</v>
      </c>
      <c r="Y18" t="str">
        <f>[1]!'00730.TW-CurrentRatio'</f>
        <v>--</v>
      </c>
      <c r="Z18" t="str">
        <f>[1]!'00730.TW-QuickRatio'</f>
        <v>--</v>
      </c>
      <c r="AA18" t="str">
        <f>[1]!'00730.TW-LiabilityRatio'</f>
        <v>--</v>
      </c>
      <c r="AB18" t="str">
        <f>[1]!'00730.TW-TimesInterestEarne'</f>
        <v>--</v>
      </c>
      <c r="AC18" t="str">
        <f>[1]!'00730.TW-ReceivablesTurnoverRatio'</f>
        <v>--</v>
      </c>
      <c r="AD18" t="str">
        <f>[1]!'00730.TW-InventoryTurnoverRatio'</f>
        <v>--</v>
      </c>
      <c r="AE18" t="str">
        <f>[1]!'00730.TW-CashDividend'</f>
        <v>1.08</v>
      </c>
      <c r="AF18" t="str">
        <f>[1]!'00730.TW-StockDividend'</f>
        <v>--</v>
      </c>
      <c r="AG18">
        <f>[1]!'00730.TW-CashDividendYieldRate'</f>
        <v>5.69</v>
      </c>
      <c r="AH18" t="str">
        <f>[1]!'00730.TW-ChipsField25'</f>
        <v>2022/10/19</v>
      </c>
      <c r="AI18" t="str">
        <f>[1]!'00730.TW-ChipsField26'</f>
        <v>2022/11/21</v>
      </c>
      <c r="AJ18" t="str">
        <f>[1]!'00730.TW-ChipsField27'</f>
        <v>--</v>
      </c>
      <c r="AK18" t="str">
        <f>[1]!'00730.TW-Beta'</f>
        <v>--</v>
      </c>
      <c r="AL18" t="str">
        <f>[1]!'00730.TW-Capital'</f>
        <v>--</v>
      </c>
      <c r="AM18" t="str">
        <f>[1]!'00730.TW-MarketValue'</f>
        <v>--</v>
      </c>
      <c r="AN18">
        <f>[1]!'00730.TW-ManagementPercent'</f>
        <v>0.77</v>
      </c>
    </row>
    <row r="19" spans="1:40" x14ac:dyDescent="0.3">
      <c r="A19" t="str">
        <f>[1]!'00731.TW-ID'</f>
        <v>00731</v>
      </c>
      <c r="B19" t="str">
        <f>[1]!'00731.TW-Name'</f>
        <v>復華富時高息低波</v>
      </c>
      <c r="C19">
        <f>[1]!'00731.TW-Bid'</f>
        <v>62.15</v>
      </c>
      <c r="D19">
        <f>[1]!'00731.TW-Ask'</f>
        <v>62.2</v>
      </c>
      <c r="E19">
        <f>[1]!'00731.TW-Price'</f>
        <v>62.15</v>
      </c>
      <c r="F19">
        <f>[1]!'00731.TW-PriceChange'</f>
        <v>0.55000000000000004</v>
      </c>
      <c r="G19">
        <f>[1]!'00731.TW-PriceChangeRatio'</f>
        <v>0.89</v>
      </c>
      <c r="H19">
        <f>[1]!'00731.TW-Volume'</f>
        <v>2</v>
      </c>
      <c r="I19">
        <f>[1]!'00731.TW-BestBidSize'</f>
        <v>15</v>
      </c>
      <c r="J19">
        <f>[1]!'00731.TW-BestAskSize'</f>
        <v>145</v>
      </c>
      <c r="K19">
        <f>[1]!'00731.TW-TotalVolume'</f>
        <v>1114</v>
      </c>
      <c r="L19">
        <f>[1]!'00731.TW-High'</f>
        <v>62.15</v>
      </c>
      <c r="M19">
        <f>[1]!'00731.TW-Low'</f>
        <v>61.6</v>
      </c>
      <c r="N19">
        <f>[1]!'00731.TW-Open'</f>
        <v>61.6</v>
      </c>
      <c r="O19" t="str">
        <f>[1]!'00731.TW-Beta'</f>
        <v>--</v>
      </c>
      <c r="P19" t="str">
        <f>[1]!'00731.TW-PERatio'</f>
        <v>--</v>
      </c>
      <c r="Q19" t="str">
        <f>[1]!'00731.TW-PBRatio'</f>
        <v>--</v>
      </c>
      <c r="R19" t="str">
        <f>[1]!'00731.TW-ROE'</f>
        <v>--</v>
      </c>
      <c r="S19" t="str">
        <f>[1]!'00731.TW-ReturnOnAssets'</f>
        <v>--</v>
      </c>
      <c r="T19" t="str">
        <f>[1]!'00731.TW-ProfitMargin'</f>
        <v>--</v>
      </c>
      <c r="U19" t="str">
        <f>[1]!'00731.TW-OperatingProfitRatio'</f>
        <v>--</v>
      </c>
      <c r="V19" t="str">
        <f>[1]!'00731.TW-NetProfitMargin'</f>
        <v>--</v>
      </c>
      <c r="W19" t="str">
        <f>[1]!'00731.TW-StockNetValue'</f>
        <v>--</v>
      </c>
      <c r="X19" t="str">
        <f>[1]!'00731.TW-Profit'</f>
        <v>--</v>
      </c>
      <c r="Y19" t="str">
        <f>[1]!'00731.TW-CurrentRatio'</f>
        <v>--</v>
      </c>
      <c r="Z19" t="str">
        <f>[1]!'00731.TW-QuickRatio'</f>
        <v>--</v>
      </c>
      <c r="AA19" t="str">
        <f>[1]!'00731.TW-LiabilityRatio'</f>
        <v>--</v>
      </c>
      <c r="AB19" t="str">
        <f>[1]!'00731.TW-TimesInterestEarne'</f>
        <v>--</v>
      </c>
      <c r="AC19" t="str">
        <f>[1]!'00731.TW-ReceivablesTurnoverRatio'</f>
        <v>--</v>
      </c>
      <c r="AD19" t="str">
        <f>[1]!'00731.TW-InventoryTurnoverRatio'</f>
        <v>--</v>
      </c>
      <c r="AE19" t="str">
        <f>[1]!'00731.TW-CashDividend'</f>
        <v>2.80</v>
      </c>
      <c r="AF19" t="str">
        <f>[1]!'00731.TW-StockDividend'</f>
        <v>--</v>
      </c>
      <c r="AG19">
        <f>[1]!'00731.TW-CashDividendYieldRate'</f>
        <v>4.51</v>
      </c>
      <c r="AH19" t="str">
        <f>[1]!'00731.TW-ChipsField25'</f>
        <v>2022/11/17</v>
      </c>
      <c r="AI19" t="str">
        <f>[1]!'00731.TW-ChipsField26'</f>
        <v>2022/12/14</v>
      </c>
      <c r="AJ19" t="str">
        <f>[1]!'00731.TW-ChipsField27'</f>
        <v>--</v>
      </c>
      <c r="AK19" t="str">
        <f>[1]!'00731.TW-Beta'</f>
        <v>--</v>
      </c>
      <c r="AL19" t="str">
        <f>[1]!'00731.TW-Capital'</f>
        <v>--</v>
      </c>
      <c r="AM19" t="str">
        <f>[1]!'00731.TW-MarketValue'</f>
        <v>--</v>
      </c>
      <c r="AN19">
        <f>[1]!'00731.TW-ManagementPercent'</f>
        <v>0.98</v>
      </c>
    </row>
    <row r="20" spans="1:40" x14ac:dyDescent="0.3">
      <c r="A20" t="str">
        <f>[1]!'00733.TW-ID'</f>
        <v>00733</v>
      </c>
      <c r="B20" t="str">
        <f>[1]!'00733.TW-Name'</f>
        <v>富邦臺灣中小</v>
      </c>
      <c r="C20">
        <f>[1]!'00733.TW-Bid'</f>
        <v>45.2</v>
      </c>
      <c r="D20">
        <f>[1]!'00733.TW-Ask'</f>
        <v>45.23</v>
      </c>
      <c r="E20">
        <f>[1]!'00733.TW-Price'</f>
        <v>45.23</v>
      </c>
      <c r="F20">
        <f>[1]!'00733.TW-PriceChange'</f>
        <v>0.63</v>
      </c>
      <c r="G20">
        <f>[1]!'00733.TW-PriceChangeRatio'</f>
        <v>1.41</v>
      </c>
      <c r="H20">
        <f>[1]!'00733.TW-Volume'</f>
        <v>3</v>
      </c>
      <c r="I20">
        <f>[1]!'00733.TW-BestBidSize'</f>
        <v>1</v>
      </c>
      <c r="J20">
        <f>[1]!'00733.TW-BestAskSize'</f>
        <v>7</v>
      </c>
      <c r="K20">
        <f>[1]!'00733.TW-TotalVolume'</f>
        <v>410</v>
      </c>
      <c r="L20">
        <f>[1]!'00733.TW-High'</f>
        <v>45.36</v>
      </c>
      <c r="M20">
        <f>[1]!'00733.TW-Low'</f>
        <v>44.6</v>
      </c>
      <c r="N20">
        <f>[1]!'00733.TW-Open'</f>
        <v>44.65</v>
      </c>
      <c r="O20" t="str">
        <f>[1]!'00733.TW-Beta'</f>
        <v>--</v>
      </c>
      <c r="P20" t="str">
        <f>[1]!'00733.TW-PERatio'</f>
        <v>--</v>
      </c>
      <c r="Q20" t="str">
        <f>[1]!'00733.TW-PBRatio'</f>
        <v>--</v>
      </c>
      <c r="R20" t="str">
        <f>[1]!'00733.TW-ROE'</f>
        <v>--</v>
      </c>
      <c r="S20" t="str">
        <f>[1]!'00733.TW-ReturnOnAssets'</f>
        <v>--</v>
      </c>
      <c r="T20" t="str">
        <f>[1]!'00733.TW-ProfitMargin'</f>
        <v>--</v>
      </c>
      <c r="U20" t="str">
        <f>[1]!'00733.TW-OperatingProfitRatio'</f>
        <v>--</v>
      </c>
      <c r="V20" t="str">
        <f>[1]!'00733.TW-NetProfitMargin'</f>
        <v>--</v>
      </c>
      <c r="W20" t="str">
        <f>[1]!'00733.TW-StockNetValue'</f>
        <v>--</v>
      </c>
      <c r="X20" t="str">
        <f>[1]!'00733.TW-Profit'</f>
        <v>--</v>
      </c>
      <c r="Y20" t="str">
        <f>[1]!'00733.TW-CurrentRatio'</f>
        <v>--</v>
      </c>
      <c r="Z20" t="str">
        <f>[1]!'00733.TW-QuickRatio'</f>
        <v>--</v>
      </c>
      <c r="AA20" t="str">
        <f>[1]!'00733.TW-LiabilityRatio'</f>
        <v>--</v>
      </c>
      <c r="AB20" t="str">
        <f>[1]!'00733.TW-TimesInterestEarne'</f>
        <v>--</v>
      </c>
      <c r="AC20" t="str">
        <f>[1]!'00733.TW-ReceivablesTurnoverRatio'</f>
        <v>--</v>
      </c>
      <c r="AD20" t="str">
        <f>[1]!'00733.TW-InventoryTurnoverRatio'</f>
        <v>--</v>
      </c>
      <c r="AE20" t="str">
        <f>[1]!'00733.TW-CashDividend'</f>
        <v>0.11</v>
      </c>
      <c r="AF20" t="str">
        <f>[1]!'00733.TW-StockDividend'</f>
        <v>--</v>
      </c>
      <c r="AG20">
        <f>[1]!'00733.TW-CashDividendYieldRate'</f>
        <v>2.4300000000000002</v>
      </c>
      <c r="AH20" t="str">
        <f>[1]!'00733.TW-ChipsField25'</f>
        <v>2023/04/21</v>
      </c>
      <c r="AI20" t="str">
        <f>[1]!'00733.TW-ChipsField26'</f>
        <v>2023/05/18</v>
      </c>
      <c r="AJ20" t="str">
        <f>[1]!'00733.TW-ChipsField27'</f>
        <v>--</v>
      </c>
      <c r="AK20" t="str">
        <f>[1]!'00733.TW-Beta'</f>
        <v>--</v>
      </c>
      <c r="AL20" t="str">
        <f>[1]!'00733.TW-Capital'</f>
        <v>--</v>
      </c>
      <c r="AM20" t="str">
        <f>[1]!'00733.TW-MarketValue'</f>
        <v>--</v>
      </c>
      <c r="AN20">
        <f>[1]!'00733.TW-ManagementPercent'</f>
        <v>2.13</v>
      </c>
    </row>
    <row r="21" spans="1:40" x14ac:dyDescent="0.3">
      <c r="A21" t="str">
        <f>[1]!'00751B.TW-ID'</f>
        <v>00751B</v>
      </c>
      <c r="B21" t="str">
        <f>[1]!'00751B.TW-Name'</f>
        <v>元大AAA至A公司債</v>
      </c>
      <c r="C21">
        <f>[1]!'00751B.TW-Bid'</f>
        <v>34.65</v>
      </c>
      <c r="D21">
        <f>[1]!'00751B.TW-Ask'</f>
        <v>34.659999999999997</v>
      </c>
      <c r="E21">
        <f>[1]!'00751B.TW-Price'</f>
        <v>34.659999999999997</v>
      </c>
      <c r="F21">
        <f>[1]!'00751B.TW-PriceChange'</f>
        <v>0.27</v>
      </c>
      <c r="G21">
        <f>[1]!'00751B.TW-PriceChangeRatio'</f>
        <v>0.79</v>
      </c>
      <c r="H21">
        <f>[1]!'00751B.TW-Volume'</f>
        <v>203</v>
      </c>
      <c r="I21">
        <f>[1]!'00751B.TW-BestBidSize'</f>
        <v>146</v>
      </c>
      <c r="J21">
        <f>[1]!'00751B.TW-BestAskSize'</f>
        <v>186</v>
      </c>
      <c r="K21">
        <f>[1]!'00751B.TW-TotalVolume'</f>
        <v>8353</v>
      </c>
      <c r="L21">
        <f>[1]!'00751B.TW-High'</f>
        <v>34.659999999999997</v>
      </c>
      <c r="M21">
        <f>[1]!'00751B.TW-Low'</f>
        <v>34.590000000000003</v>
      </c>
      <c r="N21">
        <f>[1]!'00751B.TW-Open'</f>
        <v>34.6</v>
      </c>
      <c r="O21" t="str">
        <f>[1]!'00751B.TW-Beta'</f>
        <v>--</v>
      </c>
      <c r="P21" t="str">
        <f>[1]!'00751B.TW-PERatio'</f>
        <v>--</v>
      </c>
      <c r="Q21" t="str">
        <f>[1]!'00751B.TW-PBRatio'</f>
        <v>--</v>
      </c>
      <c r="R21" t="str">
        <f>[1]!'00751B.TW-ROE'</f>
        <v>--</v>
      </c>
      <c r="S21" t="str">
        <f>[1]!'00751B.TW-ReturnOnAssets'</f>
        <v>--</v>
      </c>
      <c r="T21" t="str">
        <f>[1]!'00751B.TW-ProfitMargin'</f>
        <v>--</v>
      </c>
      <c r="U21" t="str">
        <f>[1]!'00751B.TW-OperatingProfitRatio'</f>
        <v>--</v>
      </c>
      <c r="V21" t="str">
        <f>[1]!'00751B.TW-NetProfitMargin'</f>
        <v>--</v>
      </c>
      <c r="W21" t="str">
        <f>[1]!'00751B.TW-StockNetValue'</f>
        <v>--</v>
      </c>
      <c r="X21" t="str">
        <f>[1]!'00751B.TW-Profit'</f>
        <v>--</v>
      </c>
      <c r="Y21" t="str">
        <f>[1]!'00751B.TW-CurrentRatio'</f>
        <v>--</v>
      </c>
      <c r="Z21" t="str">
        <f>[1]!'00751B.TW-QuickRatio'</f>
        <v>--</v>
      </c>
      <c r="AA21" t="str">
        <f>[1]!'00751B.TW-LiabilityRatio'</f>
        <v>--</v>
      </c>
      <c r="AB21" t="str">
        <f>[1]!'00751B.TW-TimesInterestEarne'</f>
        <v>--</v>
      </c>
      <c r="AC21" t="str">
        <f>[1]!'00751B.TW-ReceivablesTurnoverRatio'</f>
        <v>--</v>
      </c>
      <c r="AD21" t="str">
        <f>[1]!'00751B.TW-InventoryTurnoverRatio'</f>
        <v>--</v>
      </c>
      <c r="AE21" t="str">
        <f>[1]!'00751B.TW-CashDividend'</f>
        <v>0.44</v>
      </c>
      <c r="AF21" t="str">
        <f>[1]!'00751B.TW-StockDividend'</f>
        <v>--</v>
      </c>
      <c r="AG21">
        <f>[1]!'00751B.TW-CashDividendYieldRate'</f>
        <v>5.16</v>
      </c>
      <c r="AH21" t="str">
        <f>[1]!'00751B.TW-ChipsField25'</f>
        <v>2023/06/16</v>
      </c>
      <c r="AI21" t="str">
        <f>[1]!'00751B.TW-ChipsField26'</f>
        <v>2023/07/14</v>
      </c>
      <c r="AJ21" t="str">
        <f>[1]!'00751B.TW-ChipsField27'</f>
        <v>--</v>
      </c>
      <c r="AK21" t="str">
        <f>[1]!'00751B.TW-Beta'</f>
        <v>--</v>
      </c>
      <c r="AL21" t="str">
        <f>[1]!'00751B.TW-Capital'</f>
        <v>--</v>
      </c>
      <c r="AM21" t="str">
        <f>[1]!'00751B.TW-MarketValue'</f>
        <v>--</v>
      </c>
      <c r="AN21">
        <f>[1]!'00751B.TW-ManagementPercent'</f>
        <v>0.26</v>
      </c>
    </row>
    <row r="22" spans="1:40" x14ac:dyDescent="0.3">
      <c r="A22" t="str">
        <f>[1]!'00752.TW-ID'</f>
        <v>00752</v>
      </c>
      <c r="B22" t="str">
        <f>[1]!'00752.TW-Name'</f>
        <v>中信中國50</v>
      </c>
      <c r="C22">
        <f>[1]!'00752.TW-Bid'</f>
        <v>17.89</v>
      </c>
      <c r="D22">
        <f>[1]!'00752.TW-Ask'</f>
        <v>17.899999999999999</v>
      </c>
      <c r="E22">
        <f>[1]!'00752.TW-Price'</f>
        <v>17.89</v>
      </c>
      <c r="F22">
        <f>[1]!'00752.TW-PriceChange'</f>
        <v>0.18</v>
      </c>
      <c r="G22">
        <f>[1]!'00752.TW-PriceChangeRatio'</f>
        <v>1.02</v>
      </c>
      <c r="H22">
        <f>[1]!'00752.TW-Volume'</f>
        <v>153</v>
      </c>
      <c r="I22">
        <f>[1]!'00752.TW-BestBidSize'</f>
        <v>234</v>
      </c>
      <c r="J22">
        <f>[1]!'00752.TW-BestAskSize'</f>
        <v>77</v>
      </c>
      <c r="K22">
        <f>[1]!'00752.TW-TotalVolume'</f>
        <v>6599</v>
      </c>
      <c r="L22">
        <f>[1]!'00752.TW-High'</f>
        <v>17.93</v>
      </c>
      <c r="M22">
        <f>[1]!'00752.TW-Low'</f>
        <v>17.75</v>
      </c>
      <c r="N22">
        <f>[1]!'00752.TW-Open'</f>
        <v>17.75</v>
      </c>
      <c r="O22" t="str">
        <f>[1]!'00752.TW-Beta'</f>
        <v>--</v>
      </c>
      <c r="P22" t="str">
        <f>[1]!'00752.TW-PERatio'</f>
        <v>--</v>
      </c>
      <c r="Q22" t="str">
        <f>[1]!'00752.TW-PBRatio'</f>
        <v>--</v>
      </c>
      <c r="R22" t="str">
        <f>[1]!'00752.TW-ROE'</f>
        <v>--</v>
      </c>
      <c r="S22" t="str">
        <f>[1]!'00752.TW-ReturnOnAssets'</f>
        <v>--</v>
      </c>
      <c r="T22" t="str">
        <f>[1]!'00752.TW-ProfitMargin'</f>
        <v>--</v>
      </c>
      <c r="U22" t="str">
        <f>[1]!'00752.TW-OperatingProfitRatio'</f>
        <v>--</v>
      </c>
      <c r="V22" t="str">
        <f>[1]!'00752.TW-NetProfitMargin'</f>
        <v>--</v>
      </c>
      <c r="W22" t="str">
        <f>[1]!'00752.TW-StockNetValue'</f>
        <v>--</v>
      </c>
      <c r="X22" t="str">
        <f>[1]!'00752.TW-Profit'</f>
        <v>--</v>
      </c>
      <c r="Y22" t="str">
        <f>[1]!'00752.TW-CurrentRatio'</f>
        <v>--</v>
      </c>
      <c r="Z22" t="str">
        <f>[1]!'00752.TW-QuickRatio'</f>
        <v>--</v>
      </c>
      <c r="AA22" t="str">
        <f>[1]!'00752.TW-LiabilityRatio'</f>
        <v>--</v>
      </c>
      <c r="AB22" t="str">
        <f>[1]!'00752.TW-TimesInterestEarne'</f>
        <v>--</v>
      </c>
      <c r="AC22" t="str">
        <f>[1]!'00752.TW-ReceivablesTurnoverRatio'</f>
        <v>--</v>
      </c>
      <c r="AD22" t="str">
        <f>[1]!'00752.TW-InventoryTurnoverRatio'</f>
        <v>--</v>
      </c>
      <c r="AE22" t="str">
        <f>[1]!'00752.TW-CashDividend'</f>
        <v>--</v>
      </c>
      <c r="AF22" t="str">
        <f>[1]!'00752.TW-StockDividend'</f>
        <v>--</v>
      </c>
      <c r="AG22">
        <f>[1]!'00752.TW-CashDividendYieldRate'</f>
        <v>0</v>
      </c>
      <c r="AH22" t="str">
        <f>[1]!'00752.TW-ChipsField25'</f>
        <v>--</v>
      </c>
      <c r="AI22" t="str">
        <f>[1]!'00752.TW-ChipsField26'</f>
        <v>--</v>
      </c>
      <c r="AJ22" t="str">
        <f>[1]!'00752.TW-ChipsField27'</f>
        <v>--</v>
      </c>
      <c r="AK22" t="str">
        <f>[1]!'00752.TW-Beta'</f>
        <v>--</v>
      </c>
      <c r="AL22" t="str">
        <f>[1]!'00752.TW-Capital'</f>
        <v>--</v>
      </c>
      <c r="AM22" t="str">
        <f>[1]!'00752.TW-MarketValue'</f>
        <v>--</v>
      </c>
      <c r="AN22">
        <f>[1]!'00752.TW-ManagementPercent'</f>
        <v>1.1499999999999999</v>
      </c>
    </row>
    <row r="23" spans="1:40" x14ac:dyDescent="0.3">
      <c r="A23" t="str">
        <f>[1]!'00757.TW-ID'</f>
        <v>00757</v>
      </c>
      <c r="B23" t="str">
        <f>[1]!'00757.TW-Name'</f>
        <v>統一FANG+</v>
      </c>
      <c r="C23">
        <f>[1]!'00757.TW-Bid'</f>
        <v>55.55</v>
      </c>
      <c r="D23">
        <f>[1]!'00757.TW-Ask'</f>
        <v>55.6</v>
      </c>
      <c r="E23">
        <f>[1]!'00757.TW-Price'</f>
        <v>55.55</v>
      </c>
      <c r="F23">
        <f>[1]!'00757.TW-PriceChange'</f>
        <v>0.55000000000000004</v>
      </c>
      <c r="G23">
        <f>[1]!'00757.TW-PriceChangeRatio'</f>
        <v>1</v>
      </c>
      <c r="H23">
        <f>[1]!'00757.TW-Volume'</f>
        <v>30</v>
      </c>
      <c r="I23">
        <f>[1]!'00757.TW-BestBidSize'</f>
        <v>8</v>
      </c>
      <c r="J23">
        <f>[1]!'00757.TW-BestAskSize'</f>
        <v>162</v>
      </c>
      <c r="K23">
        <f>[1]!'00757.TW-TotalVolume'</f>
        <v>1175</v>
      </c>
      <c r="L23">
        <f>[1]!'00757.TW-High'</f>
        <v>55.6</v>
      </c>
      <c r="M23">
        <f>[1]!'00757.TW-Low'</f>
        <v>55.3</v>
      </c>
      <c r="N23">
        <f>[1]!'00757.TW-Open'</f>
        <v>55.3</v>
      </c>
      <c r="O23" t="str">
        <f>[1]!'00757.TW-Beta'</f>
        <v>--</v>
      </c>
      <c r="P23" t="str">
        <f>[1]!'00757.TW-PERatio'</f>
        <v>--</v>
      </c>
      <c r="Q23" t="str">
        <f>[1]!'00757.TW-PBRatio'</f>
        <v>--</v>
      </c>
      <c r="R23" t="str">
        <f>[1]!'00757.TW-ROE'</f>
        <v>--</v>
      </c>
      <c r="S23" t="str">
        <f>[1]!'00757.TW-ReturnOnAssets'</f>
        <v>--</v>
      </c>
      <c r="T23" t="str">
        <f>[1]!'00757.TW-ProfitMargin'</f>
        <v>--</v>
      </c>
      <c r="U23" t="str">
        <f>[1]!'00757.TW-OperatingProfitRatio'</f>
        <v>--</v>
      </c>
      <c r="V23" t="str">
        <f>[1]!'00757.TW-NetProfitMargin'</f>
        <v>--</v>
      </c>
      <c r="W23" t="str">
        <f>[1]!'00757.TW-StockNetValue'</f>
        <v>--</v>
      </c>
      <c r="X23" t="str">
        <f>[1]!'00757.TW-Profit'</f>
        <v>--</v>
      </c>
      <c r="Y23" t="str">
        <f>[1]!'00757.TW-CurrentRatio'</f>
        <v>--</v>
      </c>
      <c r="Z23" t="str">
        <f>[1]!'00757.TW-QuickRatio'</f>
        <v>--</v>
      </c>
      <c r="AA23" t="str">
        <f>[1]!'00757.TW-LiabilityRatio'</f>
        <v>--</v>
      </c>
      <c r="AB23" t="str">
        <f>[1]!'00757.TW-TimesInterestEarne'</f>
        <v>--</v>
      </c>
      <c r="AC23" t="str">
        <f>[1]!'00757.TW-ReceivablesTurnoverRatio'</f>
        <v>--</v>
      </c>
      <c r="AD23" t="str">
        <f>[1]!'00757.TW-InventoryTurnoverRatio'</f>
        <v>--</v>
      </c>
      <c r="AE23" t="str">
        <f>[1]!'00757.TW-CashDividend'</f>
        <v>--</v>
      </c>
      <c r="AF23" t="str">
        <f>[1]!'00757.TW-StockDividend'</f>
        <v>--</v>
      </c>
      <c r="AG23">
        <f>[1]!'00757.TW-CashDividendYieldRate'</f>
        <v>0</v>
      </c>
      <c r="AH23" t="str">
        <f>[1]!'00757.TW-ChipsField25'</f>
        <v>--</v>
      </c>
      <c r="AI23" t="str">
        <f>[1]!'00757.TW-ChipsField26'</f>
        <v>--</v>
      </c>
      <c r="AJ23" t="str">
        <f>[1]!'00757.TW-ChipsField27'</f>
        <v>--</v>
      </c>
      <c r="AK23" t="str">
        <f>[1]!'00757.TW-Beta'</f>
        <v>--</v>
      </c>
      <c r="AL23" t="str">
        <f>[1]!'00757.TW-Capital'</f>
        <v>--</v>
      </c>
      <c r="AM23" t="str">
        <f>[1]!'00757.TW-MarketValue'</f>
        <v>--</v>
      </c>
      <c r="AN23">
        <f>[1]!'00757.TW-ManagementPercent'</f>
        <v>1.1599999999999999</v>
      </c>
    </row>
    <row r="24" spans="1:40" x14ac:dyDescent="0.3">
      <c r="A24" t="str">
        <f>[1]!'00770.TW-ID'</f>
        <v>00770</v>
      </c>
      <c r="B24" t="str">
        <f>[1]!'00770.TW-Name'</f>
        <v>國泰北美科技</v>
      </c>
      <c r="C24">
        <f>[1]!'00770.TW-Bid'</f>
        <v>33.15</v>
      </c>
      <c r="D24">
        <f>[1]!'00770.TW-Ask'</f>
        <v>33.17</v>
      </c>
      <c r="E24">
        <f>[1]!'00770.TW-Price'</f>
        <v>33.159999999999997</v>
      </c>
      <c r="F24">
        <f>[1]!'00770.TW-PriceChange'</f>
        <v>0.13</v>
      </c>
      <c r="G24">
        <f>[1]!'00770.TW-PriceChangeRatio'</f>
        <v>0.39</v>
      </c>
      <c r="H24">
        <f>[1]!'00770.TW-Volume'</f>
        <v>2</v>
      </c>
      <c r="I24">
        <f>[1]!'00770.TW-BestBidSize'</f>
        <v>20</v>
      </c>
      <c r="J24">
        <f>[1]!'00770.TW-BestAskSize'</f>
        <v>4</v>
      </c>
      <c r="K24">
        <f>[1]!'00770.TW-TotalVolume'</f>
        <v>88</v>
      </c>
      <c r="L24">
        <f>[1]!'00770.TW-High'</f>
        <v>33.18</v>
      </c>
      <c r="M24">
        <f>[1]!'00770.TW-Low'</f>
        <v>33.1</v>
      </c>
      <c r="N24">
        <f>[1]!'00770.TW-Open'</f>
        <v>33.1</v>
      </c>
      <c r="O24" t="str">
        <f>[1]!'00770.TW-Beta'</f>
        <v>--</v>
      </c>
      <c r="P24" t="str">
        <f>[1]!'00770.TW-PERatio'</f>
        <v>--</v>
      </c>
      <c r="Q24" t="str">
        <f>[1]!'00770.TW-PBRatio'</f>
        <v>--</v>
      </c>
      <c r="R24" t="str">
        <f>[1]!'00770.TW-ROE'</f>
        <v>--</v>
      </c>
      <c r="S24" t="str">
        <f>[1]!'00770.TW-ReturnOnAssets'</f>
        <v>--</v>
      </c>
      <c r="T24" t="str">
        <f>[1]!'00770.TW-ProfitMargin'</f>
        <v>--</v>
      </c>
      <c r="U24" t="str">
        <f>[1]!'00770.TW-OperatingProfitRatio'</f>
        <v>--</v>
      </c>
      <c r="V24" t="str">
        <f>[1]!'00770.TW-NetProfitMargin'</f>
        <v>--</v>
      </c>
      <c r="W24" t="str">
        <f>[1]!'00770.TW-StockNetValue'</f>
        <v>--</v>
      </c>
      <c r="X24" t="str">
        <f>[1]!'00770.TW-Profit'</f>
        <v>--</v>
      </c>
      <c r="Y24" t="str">
        <f>[1]!'00770.TW-CurrentRatio'</f>
        <v>--</v>
      </c>
      <c r="Z24" t="str">
        <f>[1]!'00770.TW-QuickRatio'</f>
        <v>--</v>
      </c>
      <c r="AA24" t="str">
        <f>[1]!'00770.TW-LiabilityRatio'</f>
        <v>--</v>
      </c>
      <c r="AB24" t="str">
        <f>[1]!'00770.TW-TimesInterestEarne'</f>
        <v>--</v>
      </c>
      <c r="AC24" t="str">
        <f>[1]!'00770.TW-ReceivablesTurnoverRatio'</f>
        <v>--</v>
      </c>
      <c r="AD24" t="str">
        <f>[1]!'00770.TW-InventoryTurnoverRatio'</f>
        <v>--</v>
      </c>
      <c r="AE24" t="str">
        <f>[1]!'00770.TW-CashDividend'</f>
        <v>2.80</v>
      </c>
      <c r="AF24" t="str">
        <f>[1]!'00770.TW-StockDividend'</f>
        <v>--</v>
      </c>
      <c r="AG24">
        <f>[1]!'00770.TW-CashDividendYieldRate'</f>
        <v>8.44</v>
      </c>
      <c r="AH24" t="str">
        <f>[1]!'00770.TW-ChipsField25'</f>
        <v>2023/01/30</v>
      </c>
      <c r="AI24" t="str">
        <f>[1]!'00770.TW-ChipsField26'</f>
        <v>2023/03/02</v>
      </c>
      <c r="AJ24" t="str">
        <f>[1]!'00770.TW-ChipsField27'</f>
        <v>--</v>
      </c>
      <c r="AK24" t="str">
        <f>[1]!'00770.TW-Beta'</f>
        <v>--</v>
      </c>
      <c r="AL24" t="str">
        <f>[1]!'00770.TW-Capital'</f>
        <v>--</v>
      </c>
      <c r="AM24" t="str">
        <f>[1]!'00770.TW-MarketValue'</f>
        <v>--</v>
      </c>
      <c r="AN24">
        <f>[1]!'00770.TW-ManagementPercent'</f>
        <v>1.1499999999999999</v>
      </c>
    </row>
    <row r="25" spans="1:40" x14ac:dyDescent="0.3">
      <c r="A25" t="str">
        <f>[1]!'00772B.TW-ID'</f>
        <v>00772B</v>
      </c>
      <c r="B25" t="str">
        <f>[1]!'00772B.TW-Name'</f>
        <v>中信高評級公司債</v>
      </c>
      <c r="C25">
        <f>[1]!'00772B.TW-Bid'</f>
        <v>35.159999999999997</v>
      </c>
      <c r="D25">
        <f>[1]!'00772B.TW-Ask'</f>
        <v>35.17</v>
      </c>
      <c r="E25">
        <f>[1]!'00772B.TW-Price'</f>
        <v>35.159999999999997</v>
      </c>
      <c r="F25">
        <f>[1]!'00772B.TW-PriceChange'</f>
        <v>0.23</v>
      </c>
      <c r="G25">
        <f>[1]!'00772B.TW-PriceChangeRatio'</f>
        <v>0.66</v>
      </c>
      <c r="H25">
        <f>[1]!'00772B.TW-Volume'</f>
        <v>352</v>
      </c>
      <c r="I25">
        <f>[1]!'00772B.TW-BestBidSize'</f>
        <v>81</v>
      </c>
      <c r="J25">
        <f>[1]!'00772B.TW-BestAskSize'</f>
        <v>105</v>
      </c>
      <c r="K25">
        <f>[1]!'00772B.TW-TotalVolume'</f>
        <v>6939</v>
      </c>
      <c r="L25">
        <f>[1]!'00772B.TW-High'</f>
        <v>35.18</v>
      </c>
      <c r="M25">
        <f>[1]!'00772B.TW-Low'</f>
        <v>35.049999999999997</v>
      </c>
      <c r="N25">
        <f>[1]!'00772B.TW-Open'</f>
        <v>35.06</v>
      </c>
      <c r="O25" t="str">
        <f>[1]!'00772B.TW-Beta'</f>
        <v>--</v>
      </c>
      <c r="P25" t="str">
        <f>[1]!'00772B.TW-PERatio'</f>
        <v>--</v>
      </c>
      <c r="Q25" t="str">
        <f>[1]!'00772B.TW-PBRatio'</f>
        <v>--</v>
      </c>
      <c r="R25" t="str">
        <f>[1]!'00772B.TW-ROE'</f>
        <v>--</v>
      </c>
      <c r="S25" t="str">
        <f>[1]!'00772B.TW-ReturnOnAssets'</f>
        <v>--</v>
      </c>
      <c r="T25" t="str">
        <f>[1]!'00772B.TW-ProfitMargin'</f>
        <v>--</v>
      </c>
      <c r="U25" t="str">
        <f>[1]!'00772B.TW-OperatingProfitRatio'</f>
        <v>--</v>
      </c>
      <c r="V25" t="str">
        <f>[1]!'00772B.TW-NetProfitMargin'</f>
        <v>--</v>
      </c>
      <c r="W25" t="str">
        <f>[1]!'00772B.TW-StockNetValue'</f>
        <v>--</v>
      </c>
      <c r="X25" t="str">
        <f>[1]!'00772B.TW-Profit'</f>
        <v>--</v>
      </c>
      <c r="Y25" t="str">
        <f>[1]!'00772B.TW-CurrentRatio'</f>
        <v>--</v>
      </c>
      <c r="Z25" t="str">
        <f>[1]!'00772B.TW-QuickRatio'</f>
        <v>--</v>
      </c>
      <c r="AA25" t="str">
        <f>[1]!'00772B.TW-LiabilityRatio'</f>
        <v>--</v>
      </c>
      <c r="AB25" t="str">
        <f>[1]!'00772B.TW-TimesInterestEarne'</f>
        <v>--</v>
      </c>
      <c r="AC25" t="str">
        <f>[1]!'00772B.TW-ReceivablesTurnoverRatio'</f>
        <v>--</v>
      </c>
      <c r="AD25" t="str">
        <f>[1]!'00772B.TW-InventoryTurnoverRatio'</f>
        <v>--</v>
      </c>
      <c r="AE25" t="str">
        <f>[1]!'00772B.TW-CashDividend'</f>
        <v>0.12</v>
      </c>
      <c r="AF25" t="str">
        <f>[1]!'00772B.TW-StockDividend'</f>
        <v>--</v>
      </c>
      <c r="AG25">
        <f>[1]!'00772B.TW-CashDividendYieldRate'</f>
        <v>4.8099999999999996</v>
      </c>
      <c r="AH25" t="str">
        <f>[1]!'00772B.TW-ChipsField25'</f>
        <v>2023/06/16</v>
      </c>
      <c r="AI25" t="str">
        <f>[1]!'00772B.TW-ChipsField26'</f>
        <v>2023/07/14</v>
      </c>
      <c r="AJ25" t="str">
        <f>[1]!'00772B.TW-ChipsField27'</f>
        <v>--</v>
      </c>
      <c r="AK25" t="str">
        <f>[1]!'00772B.TW-Beta'</f>
        <v>--</v>
      </c>
      <c r="AL25" t="str">
        <f>[1]!'00772B.TW-Capital'</f>
        <v>--</v>
      </c>
      <c r="AM25" t="str">
        <f>[1]!'00772B.TW-MarketValue'</f>
        <v>--</v>
      </c>
      <c r="AN25">
        <f>[1]!'00772B.TW-ManagementPercent'</f>
        <v>0.28000000000000003</v>
      </c>
    </row>
    <row r="26" spans="1:40" x14ac:dyDescent="0.3">
      <c r="A26" t="str">
        <f>[1]!'00773B.TW-ID'</f>
        <v>00773B</v>
      </c>
      <c r="B26" t="str">
        <f>[1]!'00773B.TW-Name'</f>
        <v>中信優先金融債</v>
      </c>
      <c r="C26">
        <f>[1]!'00773B.TW-Bid'</f>
        <v>35.29</v>
      </c>
      <c r="D26">
        <f>[1]!'00773B.TW-Ask'</f>
        <v>35.299999999999997</v>
      </c>
      <c r="E26">
        <f>[1]!'00773B.TW-Price'</f>
        <v>35.29</v>
      </c>
      <c r="F26">
        <f>[1]!'00773B.TW-PriceChange'</f>
        <v>0.21</v>
      </c>
      <c r="G26">
        <f>[1]!'00773B.TW-PriceChangeRatio'</f>
        <v>0.6</v>
      </c>
      <c r="H26">
        <f>[1]!'00773B.TW-Volume'</f>
        <v>103</v>
      </c>
      <c r="I26">
        <f>[1]!'00773B.TW-BestBidSize'</f>
        <v>89</v>
      </c>
      <c r="J26">
        <f>[1]!'00773B.TW-BestAskSize'</f>
        <v>171</v>
      </c>
      <c r="K26">
        <f>[1]!'00773B.TW-TotalVolume'</f>
        <v>3730</v>
      </c>
      <c r="L26">
        <f>[1]!'00773B.TW-High'</f>
        <v>35.31</v>
      </c>
      <c r="M26">
        <f>[1]!'00773B.TW-Low'</f>
        <v>35.200000000000003</v>
      </c>
      <c r="N26">
        <f>[1]!'00773B.TW-Open'</f>
        <v>35.21</v>
      </c>
      <c r="O26" t="str">
        <f>[1]!'00773B.TW-Beta'</f>
        <v>--</v>
      </c>
      <c r="P26" t="str">
        <f>[1]!'00773B.TW-PERatio'</f>
        <v>--</v>
      </c>
      <c r="Q26" t="str">
        <f>[1]!'00773B.TW-PBRatio'</f>
        <v>--</v>
      </c>
      <c r="R26" t="str">
        <f>[1]!'00773B.TW-ROE'</f>
        <v>--</v>
      </c>
      <c r="S26" t="str">
        <f>[1]!'00773B.TW-ReturnOnAssets'</f>
        <v>--</v>
      </c>
      <c r="T26" t="str">
        <f>[1]!'00773B.TW-ProfitMargin'</f>
        <v>--</v>
      </c>
      <c r="U26" t="str">
        <f>[1]!'00773B.TW-OperatingProfitRatio'</f>
        <v>--</v>
      </c>
      <c r="V26" t="str">
        <f>[1]!'00773B.TW-NetProfitMargin'</f>
        <v>--</v>
      </c>
      <c r="W26" t="str">
        <f>[1]!'00773B.TW-StockNetValue'</f>
        <v>--</v>
      </c>
      <c r="X26" t="str">
        <f>[1]!'00773B.TW-Profit'</f>
        <v>--</v>
      </c>
      <c r="Y26" t="str">
        <f>[1]!'00773B.TW-CurrentRatio'</f>
        <v>--</v>
      </c>
      <c r="Z26" t="str">
        <f>[1]!'00773B.TW-QuickRatio'</f>
        <v>--</v>
      </c>
      <c r="AA26" t="str">
        <f>[1]!'00773B.TW-LiabilityRatio'</f>
        <v>--</v>
      </c>
      <c r="AB26" t="str">
        <f>[1]!'00773B.TW-TimesInterestEarne'</f>
        <v>--</v>
      </c>
      <c r="AC26" t="str">
        <f>[1]!'00773B.TW-ReceivablesTurnoverRatio'</f>
        <v>--</v>
      </c>
      <c r="AD26" t="str">
        <f>[1]!'00773B.TW-InventoryTurnoverRatio'</f>
        <v>--</v>
      </c>
      <c r="AE26" t="str">
        <f>[1]!'00773B.TW-CashDividend'</f>
        <v>0.13</v>
      </c>
      <c r="AF26" t="str">
        <f>[1]!'00773B.TW-StockDividend'</f>
        <v>--</v>
      </c>
      <c r="AG26">
        <f>[1]!'00773B.TW-CashDividendYieldRate'</f>
        <v>5.19</v>
      </c>
      <c r="AH26" t="str">
        <f>[1]!'00773B.TW-ChipsField25'</f>
        <v>2023/06/16</v>
      </c>
      <c r="AI26" t="str">
        <f>[1]!'00773B.TW-ChipsField26'</f>
        <v>2023/07/14</v>
      </c>
      <c r="AJ26" t="str">
        <f>[1]!'00773B.TW-ChipsField27'</f>
        <v>--</v>
      </c>
      <c r="AK26" t="str">
        <f>[1]!'00773B.TW-Beta'</f>
        <v>--</v>
      </c>
      <c r="AL26" t="str">
        <f>[1]!'00773B.TW-Capital'</f>
        <v>--</v>
      </c>
      <c r="AM26" t="str">
        <f>[1]!'00773B.TW-MarketValue'</f>
        <v>--</v>
      </c>
      <c r="AN26">
        <f>[1]!'00773B.TW-ManagementPercent'</f>
        <v>0.26</v>
      </c>
    </row>
    <row r="27" spans="1:40" x14ac:dyDescent="0.3">
      <c r="A27" t="str">
        <f>[1]!'00830.TW-ID'</f>
        <v>00830</v>
      </c>
      <c r="B27" t="str">
        <f>[1]!'00830.TW-Name'</f>
        <v>國泰費城半導體</v>
      </c>
      <c r="C27">
        <f>[1]!'00830.TW-Bid'</f>
        <v>31.11</v>
      </c>
      <c r="D27">
        <f>[1]!'00830.TW-Ask'</f>
        <v>31.12</v>
      </c>
      <c r="E27">
        <f>[1]!'00830.TW-Price'</f>
        <v>31.12</v>
      </c>
      <c r="F27">
        <f>[1]!'00830.TW-PriceChange'</f>
        <v>0.39</v>
      </c>
      <c r="G27">
        <f>[1]!'00830.TW-PriceChangeRatio'</f>
        <v>1.27</v>
      </c>
      <c r="H27">
        <f>[1]!'00830.TW-Volume'</f>
        <v>57</v>
      </c>
      <c r="I27">
        <f>[1]!'00830.TW-BestBidSize'</f>
        <v>44</v>
      </c>
      <c r="J27">
        <f>[1]!'00830.TW-BestAskSize'</f>
        <v>13</v>
      </c>
      <c r="K27">
        <f>[1]!'00830.TW-TotalVolume'</f>
        <v>2425</v>
      </c>
      <c r="L27">
        <f>[1]!'00830.TW-High'</f>
        <v>31.15</v>
      </c>
      <c r="M27">
        <f>[1]!'00830.TW-Low'</f>
        <v>31.08</v>
      </c>
      <c r="N27">
        <f>[1]!'00830.TW-Open'</f>
        <v>31.14</v>
      </c>
      <c r="O27" t="str">
        <f>[1]!'00830.TW-Beta'</f>
        <v>--</v>
      </c>
      <c r="P27" t="str">
        <f>[1]!'00830.TW-PERatio'</f>
        <v>--</v>
      </c>
      <c r="Q27" t="str">
        <f>[1]!'00830.TW-PBRatio'</f>
        <v>--</v>
      </c>
      <c r="R27" t="str">
        <f>[1]!'00830.TW-ROE'</f>
        <v>--</v>
      </c>
      <c r="S27" t="str">
        <f>[1]!'00830.TW-ReturnOnAssets'</f>
        <v>--</v>
      </c>
      <c r="T27" t="str">
        <f>[1]!'00830.TW-ProfitMargin'</f>
        <v>--</v>
      </c>
      <c r="U27" t="str">
        <f>[1]!'00830.TW-OperatingProfitRatio'</f>
        <v>--</v>
      </c>
      <c r="V27" t="str">
        <f>[1]!'00830.TW-NetProfitMargin'</f>
        <v>--</v>
      </c>
      <c r="W27" t="str">
        <f>[1]!'00830.TW-StockNetValue'</f>
        <v>--</v>
      </c>
      <c r="X27" t="str">
        <f>[1]!'00830.TW-Profit'</f>
        <v>--</v>
      </c>
      <c r="Y27" t="str">
        <f>[1]!'00830.TW-CurrentRatio'</f>
        <v>--</v>
      </c>
      <c r="Z27" t="str">
        <f>[1]!'00830.TW-QuickRatio'</f>
        <v>--</v>
      </c>
      <c r="AA27" t="str">
        <f>[1]!'00830.TW-LiabilityRatio'</f>
        <v>--</v>
      </c>
      <c r="AB27" t="str">
        <f>[1]!'00830.TW-TimesInterestEarne'</f>
        <v>--</v>
      </c>
      <c r="AC27" t="str">
        <f>[1]!'00830.TW-ReceivablesTurnoverRatio'</f>
        <v>--</v>
      </c>
      <c r="AD27" t="str">
        <f>[1]!'00830.TW-InventoryTurnoverRatio'</f>
        <v>--</v>
      </c>
      <c r="AE27" t="str">
        <f>[1]!'00830.TW-CashDividend'</f>
        <v>0.12</v>
      </c>
      <c r="AF27" t="str">
        <f>[1]!'00830.TW-StockDividend'</f>
        <v>--</v>
      </c>
      <c r="AG27">
        <f>[1]!'00830.TW-CashDividendYieldRate'</f>
        <v>0.39</v>
      </c>
      <c r="AH27" t="str">
        <f>[1]!'00830.TW-ChipsField25'</f>
        <v>2023/01/30</v>
      </c>
      <c r="AI27" t="str">
        <f>[1]!'00830.TW-ChipsField26'</f>
        <v>2023/03/02</v>
      </c>
      <c r="AJ27" t="str">
        <f>[1]!'00830.TW-ChipsField27'</f>
        <v>--</v>
      </c>
      <c r="AK27" t="str">
        <f>[1]!'00830.TW-Beta'</f>
        <v>--</v>
      </c>
      <c r="AL27" t="str">
        <f>[1]!'00830.TW-Capital'</f>
        <v>--</v>
      </c>
      <c r="AM27" t="str">
        <f>[1]!'00830.TW-MarketValue'</f>
        <v>--</v>
      </c>
      <c r="AN27">
        <f>[1]!'00830.TW-ManagementPercent'</f>
        <v>0.97</v>
      </c>
    </row>
    <row r="28" spans="1:40" x14ac:dyDescent="0.3">
      <c r="A28" t="str">
        <f>[1]!'00850.TW-ID'</f>
        <v>00850</v>
      </c>
      <c r="B28" t="str">
        <f>[1]!'00850.TW-Name'</f>
        <v>元大臺灣ESG永續</v>
      </c>
      <c r="C28">
        <f>[1]!'00850.TW-Bid'</f>
        <v>33.409999999999997</v>
      </c>
      <c r="D28">
        <f>[1]!'00850.TW-Ask'</f>
        <v>33.42</v>
      </c>
      <c r="E28">
        <f>[1]!'00850.TW-Price'</f>
        <v>33.409999999999997</v>
      </c>
      <c r="F28">
        <f>[1]!'00850.TW-PriceChange'</f>
        <v>0.32</v>
      </c>
      <c r="G28">
        <f>[1]!'00850.TW-PriceChangeRatio'</f>
        <v>0.97</v>
      </c>
      <c r="H28">
        <f>[1]!'00850.TW-Volume'</f>
        <v>67</v>
      </c>
      <c r="I28">
        <f>[1]!'00850.TW-BestBidSize'</f>
        <v>34</v>
      </c>
      <c r="J28">
        <f>[1]!'00850.TW-BestAskSize'</f>
        <v>3</v>
      </c>
      <c r="K28">
        <f>[1]!'00850.TW-TotalVolume'</f>
        <v>1647</v>
      </c>
      <c r="L28">
        <f>[1]!'00850.TW-High'</f>
        <v>33.409999999999997</v>
      </c>
      <c r="M28">
        <f>[1]!'00850.TW-Low'</f>
        <v>33.14</v>
      </c>
      <c r="N28">
        <f>[1]!'00850.TW-Open'</f>
        <v>33.14</v>
      </c>
      <c r="O28" t="str">
        <f>[1]!'00850.TW-Beta'</f>
        <v>--</v>
      </c>
      <c r="P28" t="str">
        <f>[1]!'00850.TW-PERatio'</f>
        <v>--</v>
      </c>
      <c r="Q28" t="str">
        <f>[1]!'00850.TW-PBRatio'</f>
        <v>--</v>
      </c>
      <c r="R28" t="str">
        <f>[1]!'00850.TW-ROE'</f>
        <v>--</v>
      </c>
      <c r="S28" t="str">
        <f>[1]!'00850.TW-ReturnOnAssets'</f>
        <v>--</v>
      </c>
      <c r="T28" t="str">
        <f>[1]!'00850.TW-ProfitMargin'</f>
        <v>--</v>
      </c>
      <c r="U28" t="str">
        <f>[1]!'00850.TW-OperatingProfitRatio'</f>
        <v>--</v>
      </c>
      <c r="V28" t="str">
        <f>[1]!'00850.TW-NetProfitMargin'</f>
        <v>--</v>
      </c>
      <c r="W28" t="str">
        <f>[1]!'00850.TW-StockNetValue'</f>
        <v>--</v>
      </c>
      <c r="X28" t="str">
        <f>[1]!'00850.TW-Profit'</f>
        <v>--</v>
      </c>
      <c r="Y28" t="str">
        <f>[1]!'00850.TW-CurrentRatio'</f>
        <v>--</v>
      </c>
      <c r="Z28" t="str">
        <f>[1]!'00850.TW-QuickRatio'</f>
        <v>--</v>
      </c>
      <c r="AA28" t="str">
        <f>[1]!'00850.TW-LiabilityRatio'</f>
        <v>--</v>
      </c>
      <c r="AB28" t="str">
        <f>[1]!'00850.TW-TimesInterestEarne'</f>
        <v>--</v>
      </c>
      <c r="AC28" t="str">
        <f>[1]!'00850.TW-ReceivablesTurnoverRatio'</f>
        <v>--</v>
      </c>
      <c r="AD28" t="str">
        <f>[1]!'00850.TW-InventoryTurnoverRatio'</f>
        <v>--</v>
      </c>
      <c r="AE28" t="str">
        <f>[1]!'00850.TW-CashDividend'</f>
        <v>1.48</v>
      </c>
      <c r="AF28" t="str">
        <f>[1]!'00850.TW-StockDividend'</f>
        <v>--</v>
      </c>
      <c r="AG28">
        <f>[1]!'00850.TW-CashDividendYieldRate'</f>
        <v>4.43</v>
      </c>
      <c r="AH28" t="str">
        <f>[1]!'00850.TW-ChipsField25'</f>
        <v>2022/11/16</v>
      </c>
      <c r="AI28" t="str">
        <f>[1]!'00850.TW-ChipsField26'</f>
        <v>2022/12/20</v>
      </c>
      <c r="AJ28" t="str">
        <f>[1]!'00850.TW-ChipsField27'</f>
        <v>--</v>
      </c>
      <c r="AK28" t="str">
        <f>[1]!'00850.TW-Beta'</f>
        <v>--</v>
      </c>
      <c r="AL28" t="str">
        <f>[1]!'00850.TW-Capital'</f>
        <v>--</v>
      </c>
      <c r="AM28" t="str">
        <f>[1]!'00850.TW-MarketValue'</f>
        <v>--</v>
      </c>
      <c r="AN28">
        <f>[1]!'00850.TW-ManagementPercent'</f>
        <v>0.42</v>
      </c>
    </row>
    <row r="29" spans="1:40" x14ac:dyDescent="0.3">
      <c r="A29" t="str">
        <f>[1]!'00878.TW-ID'</f>
        <v>00878</v>
      </c>
      <c r="B29" t="str">
        <f>[1]!'00878.TW-Name'</f>
        <v>國泰永續高股息</v>
      </c>
      <c r="C29">
        <f>[1]!'00878.TW-Bid'</f>
        <v>18.78</v>
      </c>
      <c r="D29">
        <f>[1]!'00878.TW-Ask'</f>
        <v>18.79</v>
      </c>
      <c r="E29">
        <f>[1]!'00878.TW-Price'</f>
        <v>18.78</v>
      </c>
      <c r="F29">
        <f>[1]!'00878.TW-PriceChange'</f>
        <v>0.13</v>
      </c>
      <c r="G29">
        <f>[1]!'00878.TW-PriceChangeRatio'</f>
        <v>0.7</v>
      </c>
      <c r="H29">
        <f>[1]!'00878.TW-Volume'</f>
        <v>1160</v>
      </c>
      <c r="I29">
        <f>[1]!'00878.TW-BestBidSize'</f>
        <v>425</v>
      </c>
      <c r="J29">
        <f>[1]!'00878.TW-BestAskSize'</f>
        <v>1642</v>
      </c>
      <c r="K29">
        <f>[1]!'00878.TW-TotalVolume'</f>
        <v>42608</v>
      </c>
      <c r="L29">
        <f>[1]!'00878.TW-High'</f>
        <v>18.79</v>
      </c>
      <c r="M29">
        <f>[1]!'00878.TW-Low'</f>
        <v>18.66</v>
      </c>
      <c r="N29">
        <f>[1]!'00878.TW-Open'</f>
        <v>18.66</v>
      </c>
      <c r="O29" t="str">
        <f>[1]!'00878.TW-Beta'</f>
        <v>--</v>
      </c>
      <c r="P29" t="str">
        <f>[1]!'00878.TW-PERatio'</f>
        <v>--</v>
      </c>
      <c r="Q29" t="str">
        <f>[1]!'00878.TW-PBRatio'</f>
        <v>--</v>
      </c>
      <c r="R29" t="str">
        <f>[1]!'00878.TW-ROE'</f>
        <v>--</v>
      </c>
      <c r="S29" t="str">
        <f>[1]!'00878.TW-ReturnOnAssets'</f>
        <v>--</v>
      </c>
      <c r="T29" t="str">
        <f>[1]!'00878.TW-ProfitMargin'</f>
        <v>--</v>
      </c>
      <c r="U29" t="str">
        <f>[1]!'00878.TW-OperatingProfitRatio'</f>
        <v>--</v>
      </c>
      <c r="V29" t="str">
        <f>[1]!'00878.TW-NetProfitMargin'</f>
        <v>--</v>
      </c>
      <c r="W29" t="str">
        <f>[1]!'00878.TW-StockNetValue'</f>
        <v>--</v>
      </c>
      <c r="X29" t="str">
        <f>[1]!'00878.TW-Profit'</f>
        <v>--</v>
      </c>
      <c r="Y29" t="str">
        <f>[1]!'00878.TW-CurrentRatio'</f>
        <v>--</v>
      </c>
      <c r="Z29" t="str">
        <f>[1]!'00878.TW-QuickRatio'</f>
        <v>--</v>
      </c>
      <c r="AA29" t="str">
        <f>[1]!'00878.TW-LiabilityRatio'</f>
        <v>--</v>
      </c>
      <c r="AB29" t="str">
        <f>[1]!'00878.TW-TimesInterestEarne'</f>
        <v>--</v>
      </c>
      <c r="AC29" t="str">
        <f>[1]!'00878.TW-ReceivablesTurnoverRatio'</f>
        <v>--</v>
      </c>
      <c r="AD29" t="str">
        <f>[1]!'00878.TW-InventoryTurnoverRatio'</f>
        <v>--</v>
      </c>
      <c r="AE29" t="str">
        <f>[1]!'00878.TW-CashDividend'</f>
        <v>0.27</v>
      </c>
      <c r="AF29" t="str">
        <f>[1]!'00878.TW-StockDividend'</f>
        <v>--</v>
      </c>
      <c r="AG29">
        <f>[1]!'00878.TW-CashDividendYieldRate'</f>
        <v>5.86</v>
      </c>
      <c r="AH29" t="str">
        <f>[1]!'00878.TW-ChipsField25'</f>
        <v>2023/05/17</v>
      </c>
      <c r="AI29" t="str">
        <f>[1]!'00878.TW-ChipsField26'</f>
        <v>2023/06/12</v>
      </c>
      <c r="AJ29" t="str">
        <f>[1]!'00878.TW-ChipsField27'</f>
        <v>--</v>
      </c>
      <c r="AK29" t="str">
        <f>[1]!'00878.TW-Beta'</f>
        <v>--</v>
      </c>
      <c r="AL29" t="str">
        <f>[1]!'00878.TW-Capital'</f>
        <v>--</v>
      </c>
      <c r="AM29" t="str">
        <f>[1]!'00878.TW-MarketValue'</f>
        <v>--</v>
      </c>
      <c r="AN29">
        <f>[1]!'00878.TW-ManagementPercent'</f>
        <v>0.64</v>
      </c>
    </row>
    <row r="30" spans="1:40" x14ac:dyDescent="0.3">
      <c r="A30" t="str">
        <f>[1]!'00881.TW-ID'</f>
        <v>00881</v>
      </c>
      <c r="B30" t="str">
        <f>[1]!'00881.TW-Name'</f>
        <v>國泰台灣5G+</v>
      </c>
      <c r="C30">
        <f>[1]!'00881.TW-Bid'</f>
        <v>16.38</v>
      </c>
      <c r="D30">
        <f>[1]!'00881.TW-Ask'</f>
        <v>16.39</v>
      </c>
      <c r="E30">
        <f>[1]!'00881.TW-Price'</f>
        <v>16.38</v>
      </c>
      <c r="F30">
        <f>[1]!'00881.TW-PriceChange'</f>
        <v>0.23</v>
      </c>
      <c r="G30">
        <f>[1]!'00881.TW-PriceChangeRatio'</f>
        <v>1.42</v>
      </c>
      <c r="H30">
        <f>[1]!'00881.TW-Volume'</f>
        <v>406</v>
      </c>
      <c r="I30">
        <f>[1]!'00881.TW-BestBidSize'</f>
        <v>116</v>
      </c>
      <c r="J30">
        <f>[1]!'00881.TW-BestAskSize'</f>
        <v>919</v>
      </c>
      <c r="K30">
        <f>[1]!'00881.TW-TotalVolume'</f>
        <v>21591</v>
      </c>
      <c r="L30">
        <f>[1]!'00881.TW-High'</f>
        <v>16.39</v>
      </c>
      <c r="M30">
        <f>[1]!'00881.TW-Low'</f>
        <v>16.149999999999999</v>
      </c>
      <c r="N30">
        <f>[1]!'00881.TW-Open'</f>
        <v>16.149999999999999</v>
      </c>
      <c r="O30" t="str">
        <f>[1]!'00881.TW-Beta'</f>
        <v>--</v>
      </c>
      <c r="P30" t="str">
        <f>[1]!'00881.TW-PERatio'</f>
        <v>--</v>
      </c>
      <c r="Q30" t="str">
        <f>[1]!'00881.TW-PBRatio'</f>
        <v>--</v>
      </c>
      <c r="R30" t="str">
        <f>[1]!'00881.TW-ROE'</f>
        <v>--</v>
      </c>
      <c r="S30" t="str">
        <f>[1]!'00881.TW-ReturnOnAssets'</f>
        <v>--</v>
      </c>
      <c r="T30" t="str">
        <f>[1]!'00881.TW-ProfitMargin'</f>
        <v>--</v>
      </c>
      <c r="U30" t="str">
        <f>[1]!'00881.TW-OperatingProfitRatio'</f>
        <v>--</v>
      </c>
      <c r="V30" t="str">
        <f>[1]!'00881.TW-NetProfitMargin'</f>
        <v>--</v>
      </c>
      <c r="W30" t="str">
        <f>[1]!'00881.TW-StockNetValue'</f>
        <v>--</v>
      </c>
      <c r="X30" t="str">
        <f>[1]!'00881.TW-Profit'</f>
        <v>--</v>
      </c>
      <c r="Y30" t="str">
        <f>[1]!'00881.TW-CurrentRatio'</f>
        <v>--</v>
      </c>
      <c r="Z30" t="str">
        <f>[1]!'00881.TW-QuickRatio'</f>
        <v>--</v>
      </c>
      <c r="AA30" t="str">
        <f>[1]!'00881.TW-LiabilityRatio'</f>
        <v>--</v>
      </c>
      <c r="AB30" t="str">
        <f>[1]!'00881.TW-TimesInterestEarne'</f>
        <v>--</v>
      </c>
      <c r="AC30" t="str">
        <f>[1]!'00881.TW-ReceivablesTurnoverRatio'</f>
        <v>--</v>
      </c>
      <c r="AD30" t="str">
        <f>[1]!'00881.TW-InventoryTurnoverRatio'</f>
        <v>--</v>
      </c>
      <c r="AE30" t="str">
        <f>[1]!'00881.TW-CashDividend'</f>
        <v>0.35</v>
      </c>
      <c r="AF30" t="str">
        <f>[1]!'00881.TW-StockDividend'</f>
        <v>--</v>
      </c>
      <c r="AG30">
        <f>[1]!'00881.TW-CashDividendYieldRate'</f>
        <v>3.72</v>
      </c>
      <c r="AH30" t="str">
        <f>[1]!'00881.TW-ChipsField25'</f>
        <v>2023/01/30</v>
      </c>
      <c r="AI30" t="str">
        <f>[1]!'00881.TW-ChipsField26'</f>
        <v>2023/03/02</v>
      </c>
      <c r="AJ30" t="str">
        <f>[1]!'00881.TW-ChipsField27'</f>
        <v>--</v>
      </c>
      <c r="AK30" t="str">
        <f>[1]!'00881.TW-Beta'</f>
        <v>--</v>
      </c>
      <c r="AL30" t="str">
        <f>[1]!'00881.TW-Capital'</f>
        <v>--</v>
      </c>
      <c r="AM30" t="str">
        <f>[1]!'00881.TW-MarketValue'</f>
        <v>--</v>
      </c>
      <c r="AN30">
        <f>[1]!'00881.TW-ManagementPercent'</f>
        <v>0.57999999999999996</v>
      </c>
    </row>
    <row r="31" spans="1:40" x14ac:dyDescent="0.3">
      <c r="A31" t="str">
        <f>[1]!'00882.TW-ID'</f>
        <v>00882</v>
      </c>
      <c r="B31" t="str">
        <f>[1]!'00882.TW-Name'</f>
        <v>中信中國高股息</v>
      </c>
      <c r="C31">
        <f>[1]!'00882.TW-Bid'</f>
        <v>11.63</v>
      </c>
      <c r="D31">
        <f>[1]!'00882.TW-Ask'</f>
        <v>11.64</v>
      </c>
      <c r="E31">
        <f>[1]!'00882.TW-Price'</f>
        <v>11.64</v>
      </c>
      <c r="F31">
        <f>[1]!'00882.TW-PriceChange'</f>
        <v>-0.01</v>
      </c>
      <c r="G31">
        <f>[1]!'00882.TW-PriceChangeRatio'</f>
        <v>-0.09</v>
      </c>
      <c r="H31">
        <f>[1]!'00882.TW-Volume'</f>
        <v>414</v>
      </c>
      <c r="I31">
        <f>[1]!'00882.TW-BestBidSize'</f>
        <v>445</v>
      </c>
      <c r="J31">
        <f>[1]!'00882.TW-BestAskSize'</f>
        <v>168</v>
      </c>
      <c r="K31">
        <f>[1]!'00882.TW-TotalVolume'</f>
        <v>25603</v>
      </c>
      <c r="L31">
        <f>[1]!'00882.TW-High'</f>
        <v>11.72</v>
      </c>
      <c r="M31">
        <f>[1]!'00882.TW-Low'</f>
        <v>11.6</v>
      </c>
      <c r="N31">
        <f>[1]!'00882.TW-Open'</f>
        <v>11.68</v>
      </c>
      <c r="O31" t="str">
        <f>[1]!'00882.TW-Beta'</f>
        <v>--</v>
      </c>
      <c r="P31" t="str">
        <f>[1]!'00882.TW-PERatio'</f>
        <v>--</v>
      </c>
      <c r="Q31" t="str">
        <f>[1]!'00882.TW-PBRatio'</f>
        <v>--</v>
      </c>
      <c r="R31" t="str">
        <f>[1]!'00882.TW-ROE'</f>
        <v>--</v>
      </c>
      <c r="S31" t="str">
        <f>[1]!'00882.TW-ReturnOnAssets'</f>
        <v>--</v>
      </c>
      <c r="T31" t="str">
        <f>[1]!'00882.TW-ProfitMargin'</f>
        <v>--</v>
      </c>
      <c r="U31" t="str">
        <f>[1]!'00882.TW-OperatingProfitRatio'</f>
        <v>--</v>
      </c>
      <c r="V31" t="str">
        <f>[1]!'00882.TW-NetProfitMargin'</f>
        <v>--</v>
      </c>
      <c r="W31" t="str">
        <f>[1]!'00882.TW-StockNetValue'</f>
        <v>--</v>
      </c>
      <c r="X31" t="str">
        <f>[1]!'00882.TW-Profit'</f>
        <v>--</v>
      </c>
      <c r="Y31" t="str">
        <f>[1]!'00882.TW-CurrentRatio'</f>
        <v>--</v>
      </c>
      <c r="Z31" t="str">
        <f>[1]!'00882.TW-QuickRatio'</f>
        <v>--</v>
      </c>
      <c r="AA31" t="str">
        <f>[1]!'00882.TW-LiabilityRatio'</f>
        <v>--</v>
      </c>
      <c r="AB31" t="str">
        <f>[1]!'00882.TW-TimesInterestEarne'</f>
        <v>--</v>
      </c>
      <c r="AC31" t="str">
        <f>[1]!'00882.TW-ReceivablesTurnoverRatio'</f>
        <v>--</v>
      </c>
      <c r="AD31" t="str">
        <f>[1]!'00882.TW-InventoryTurnoverRatio'</f>
        <v>--</v>
      </c>
      <c r="AE31" t="str">
        <f>[1]!'00882.TW-CashDividend'</f>
        <v>0.30</v>
      </c>
      <c r="AF31" t="str">
        <f>[1]!'00882.TW-StockDividend'</f>
        <v>--</v>
      </c>
      <c r="AG31">
        <f>[1]!'00882.TW-CashDividendYieldRate'</f>
        <v>9.8800000000000008</v>
      </c>
      <c r="AH31" t="str">
        <f>[1]!'00882.TW-ChipsField25'</f>
        <v>2023/01/17</v>
      </c>
      <c r="AI31" t="str">
        <f>[1]!'00882.TW-ChipsField26'</f>
        <v>2023/02/20</v>
      </c>
      <c r="AJ31" t="str">
        <f>[1]!'00882.TW-ChipsField27'</f>
        <v>--</v>
      </c>
      <c r="AK31" t="str">
        <f>[1]!'00882.TW-Beta'</f>
        <v>--</v>
      </c>
      <c r="AL31" t="str">
        <f>[1]!'00882.TW-Capital'</f>
        <v>--</v>
      </c>
      <c r="AM31" t="str">
        <f>[1]!'00882.TW-MarketValue'</f>
        <v>--</v>
      </c>
      <c r="AN31">
        <f>[1]!'00882.TW-ManagementPercent'</f>
        <v>1.38</v>
      </c>
    </row>
    <row r="32" spans="1:40" x14ac:dyDescent="0.3">
      <c r="A32" t="str">
        <f>[1]!'00885.TW-ID'</f>
        <v>00885</v>
      </c>
      <c r="B32" t="str">
        <f>[1]!'00885.TW-Name'</f>
        <v>富邦越南</v>
      </c>
      <c r="C32">
        <f>[1]!'00885.TW-Bid'</f>
        <v>11.73</v>
      </c>
      <c r="D32">
        <f>[1]!'00885.TW-Ask'</f>
        <v>11.74</v>
      </c>
      <c r="E32">
        <f>[1]!'00885.TW-Price'</f>
        <v>11.74</v>
      </c>
      <c r="F32">
        <f>[1]!'00885.TW-PriceChange'</f>
        <v>0.14000000000000001</v>
      </c>
      <c r="G32">
        <f>[1]!'00885.TW-PriceChangeRatio'</f>
        <v>1.21</v>
      </c>
      <c r="H32">
        <f>[1]!'00885.TW-Volume'</f>
        <v>425</v>
      </c>
      <c r="I32">
        <f>[1]!'00885.TW-BestBidSize'</f>
        <v>593</v>
      </c>
      <c r="J32">
        <f>[1]!'00885.TW-BestAskSize'</f>
        <v>145</v>
      </c>
      <c r="K32">
        <f>[1]!'00885.TW-TotalVolume'</f>
        <v>21911</v>
      </c>
      <c r="L32">
        <f>[1]!'00885.TW-High'</f>
        <v>11.76</v>
      </c>
      <c r="M32">
        <f>[1]!'00885.TW-Low'</f>
        <v>11.71</v>
      </c>
      <c r="N32">
        <f>[1]!'00885.TW-Open'</f>
        <v>11.74</v>
      </c>
      <c r="O32" t="str">
        <f>[1]!'00885.TW-Beta'</f>
        <v>--</v>
      </c>
      <c r="P32" t="str">
        <f>[1]!'00885.TW-PERatio'</f>
        <v>--</v>
      </c>
      <c r="Q32" t="str">
        <f>[1]!'00885.TW-PBRatio'</f>
        <v>--</v>
      </c>
      <c r="R32" t="str">
        <f>[1]!'00885.TW-ROE'</f>
        <v>--</v>
      </c>
      <c r="S32" t="str">
        <f>[1]!'00885.TW-ReturnOnAssets'</f>
        <v>--</v>
      </c>
      <c r="T32" t="str">
        <f>[1]!'00885.TW-ProfitMargin'</f>
        <v>--</v>
      </c>
      <c r="U32" t="str">
        <f>[1]!'00885.TW-OperatingProfitRatio'</f>
        <v>--</v>
      </c>
      <c r="V32" t="str">
        <f>[1]!'00885.TW-NetProfitMargin'</f>
        <v>--</v>
      </c>
      <c r="W32" t="str">
        <f>[1]!'00885.TW-StockNetValue'</f>
        <v>--</v>
      </c>
      <c r="X32" t="str">
        <f>[1]!'00885.TW-Profit'</f>
        <v>--</v>
      </c>
      <c r="Y32" t="str">
        <f>[1]!'00885.TW-CurrentRatio'</f>
        <v>--</v>
      </c>
      <c r="Z32" t="str">
        <f>[1]!'00885.TW-QuickRatio'</f>
        <v>--</v>
      </c>
      <c r="AA32" t="str">
        <f>[1]!'00885.TW-LiabilityRatio'</f>
        <v>--</v>
      </c>
      <c r="AB32" t="str">
        <f>[1]!'00885.TW-TimesInterestEarne'</f>
        <v>--</v>
      </c>
      <c r="AC32" t="str">
        <f>[1]!'00885.TW-ReceivablesTurnoverRatio'</f>
        <v>--</v>
      </c>
      <c r="AD32" t="str">
        <f>[1]!'00885.TW-InventoryTurnoverRatio'</f>
        <v>--</v>
      </c>
      <c r="AE32" t="str">
        <f>[1]!'00885.TW-CashDividend'</f>
        <v>--</v>
      </c>
      <c r="AF32" t="str">
        <f>[1]!'00885.TW-StockDividend'</f>
        <v>--</v>
      </c>
      <c r="AG32">
        <f>[1]!'00885.TW-CashDividendYieldRate'</f>
        <v>0</v>
      </c>
      <c r="AH32" t="str">
        <f>[1]!'00885.TW-ChipsField25'</f>
        <v>--</v>
      </c>
      <c r="AI32" t="str">
        <f>[1]!'00885.TW-ChipsField26'</f>
        <v>--</v>
      </c>
      <c r="AJ32" t="str">
        <f>[1]!'00885.TW-ChipsField27'</f>
        <v>--</v>
      </c>
      <c r="AK32" t="str">
        <f>[1]!'00885.TW-Beta'</f>
        <v>--</v>
      </c>
      <c r="AL32" t="str">
        <f>[1]!'00885.TW-Capital'</f>
        <v>--</v>
      </c>
      <c r="AM32" t="str">
        <f>[1]!'00885.TW-MarketValue'</f>
        <v>--</v>
      </c>
      <c r="AN32">
        <f>[1]!'00885.TW-ManagementPercent'</f>
        <v>1.28</v>
      </c>
    </row>
    <row r="33" spans="1:40" x14ac:dyDescent="0.3">
      <c r="A33" t="str">
        <f>[1]!'00888.TW-ID'</f>
        <v>00888</v>
      </c>
      <c r="B33" t="str">
        <f>[1]!'00888.TW-Name'</f>
        <v>永豐台灣ESG</v>
      </c>
      <c r="C33">
        <f>[1]!'00888.TW-Bid'</f>
        <v>14.08</v>
      </c>
      <c r="D33">
        <f>[1]!'00888.TW-Ask'</f>
        <v>14.09</v>
      </c>
      <c r="E33">
        <f>[1]!'00888.TW-Price'</f>
        <v>14.09</v>
      </c>
      <c r="F33">
        <f>[1]!'00888.TW-PriceChange'</f>
        <v>0.16</v>
      </c>
      <c r="G33">
        <f>[1]!'00888.TW-PriceChangeRatio'</f>
        <v>1.1499999999999999</v>
      </c>
      <c r="H33">
        <f>[1]!'00888.TW-Volume'</f>
        <v>63</v>
      </c>
      <c r="I33">
        <f>[1]!'00888.TW-BestBidSize'</f>
        <v>71</v>
      </c>
      <c r="J33">
        <f>[1]!'00888.TW-BestAskSize'</f>
        <v>87</v>
      </c>
      <c r="K33">
        <f>[1]!'00888.TW-TotalVolume'</f>
        <v>5773</v>
      </c>
      <c r="L33">
        <f>[1]!'00888.TW-High'</f>
        <v>14.09</v>
      </c>
      <c r="M33">
        <f>[1]!'00888.TW-Low'</f>
        <v>13.97</v>
      </c>
      <c r="N33">
        <f>[1]!'00888.TW-Open'</f>
        <v>13.97</v>
      </c>
      <c r="O33" t="str">
        <f>[1]!'00888.TW-Beta'</f>
        <v>--</v>
      </c>
      <c r="P33" t="str">
        <f>[1]!'00888.TW-PERatio'</f>
        <v>--</v>
      </c>
      <c r="Q33" t="str">
        <f>[1]!'00888.TW-PBRatio'</f>
        <v>--</v>
      </c>
      <c r="R33" t="str">
        <f>[1]!'00888.TW-ROE'</f>
        <v>--</v>
      </c>
      <c r="S33" t="str">
        <f>[1]!'00888.TW-ReturnOnAssets'</f>
        <v>--</v>
      </c>
      <c r="T33" t="str">
        <f>[1]!'00888.TW-ProfitMargin'</f>
        <v>--</v>
      </c>
      <c r="U33" t="str">
        <f>[1]!'00888.TW-OperatingProfitRatio'</f>
        <v>--</v>
      </c>
      <c r="V33" t="str">
        <f>[1]!'00888.TW-NetProfitMargin'</f>
        <v>--</v>
      </c>
      <c r="W33" t="str">
        <f>[1]!'00888.TW-StockNetValue'</f>
        <v>--</v>
      </c>
      <c r="X33" t="str">
        <f>[1]!'00888.TW-Profit'</f>
        <v>--</v>
      </c>
      <c r="Y33" t="str">
        <f>[1]!'00888.TW-CurrentRatio'</f>
        <v>--</v>
      </c>
      <c r="Z33" t="str">
        <f>[1]!'00888.TW-QuickRatio'</f>
        <v>--</v>
      </c>
      <c r="AA33" t="str">
        <f>[1]!'00888.TW-LiabilityRatio'</f>
        <v>--</v>
      </c>
      <c r="AB33" t="str">
        <f>[1]!'00888.TW-TimesInterestEarne'</f>
        <v>--</v>
      </c>
      <c r="AC33" t="str">
        <f>[1]!'00888.TW-ReceivablesTurnoverRatio'</f>
        <v>--</v>
      </c>
      <c r="AD33" t="str">
        <f>[1]!'00888.TW-InventoryTurnoverRatio'</f>
        <v>--</v>
      </c>
      <c r="AE33" t="str">
        <f>[1]!'00888.TW-CashDividend'</f>
        <v>0.21</v>
      </c>
      <c r="AF33" t="str">
        <f>[1]!'00888.TW-StockDividend'</f>
        <v>--</v>
      </c>
      <c r="AG33">
        <f>[1]!'00888.TW-CashDividendYieldRate'</f>
        <v>5.61</v>
      </c>
      <c r="AH33" t="str">
        <f>[1]!'00888.TW-ChipsField25'</f>
        <v>2023/04/21</v>
      </c>
      <c r="AI33" t="str">
        <f>[1]!'00888.TW-ChipsField26'</f>
        <v>2023/05/22</v>
      </c>
      <c r="AJ33" t="str">
        <f>[1]!'00888.TW-ChipsField27'</f>
        <v>--</v>
      </c>
      <c r="AK33" t="str">
        <f>[1]!'00888.TW-Beta'</f>
        <v>--</v>
      </c>
      <c r="AL33" t="str">
        <f>[1]!'00888.TW-Capital'</f>
        <v>--</v>
      </c>
      <c r="AM33" t="str">
        <f>[1]!'00888.TW-MarketValue'</f>
        <v>--</v>
      </c>
      <c r="AN33">
        <f>[1]!'00888.TW-ManagementPercent'</f>
        <v>0.63</v>
      </c>
    </row>
    <row r="34" spans="1:40" x14ac:dyDescent="0.3">
      <c r="A34" t="str">
        <f>[1]!'00892.TW-ID'</f>
        <v>00892</v>
      </c>
      <c r="B34" t="str">
        <f>[1]!'00892.TW-Name'</f>
        <v>富邦台灣半導體</v>
      </c>
      <c r="C34">
        <f>[1]!'00892.TW-Bid'</f>
        <v>12.61</v>
      </c>
      <c r="D34">
        <f>[1]!'00892.TW-Ask'</f>
        <v>12.62</v>
      </c>
      <c r="E34">
        <f>[1]!'00892.TW-Price'</f>
        <v>12.61</v>
      </c>
      <c r="F34">
        <f>[1]!'00892.TW-PriceChange'</f>
        <v>0.2</v>
      </c>
      <c r="G34">
        <f>[1]!'00892.TW-PriceChangeRatio'</f>
        <v>1.61</v>
      </c>
      <c r="H34">
        <f>[1]!'00892.TW-Volume'</f>
        <v>78</v>
      </c>
      <c r="I34">
        <f>[1]!'00892.TW-BestBidSize'</f>
        <v>57</v>
      </c>
      <c r="J34">
        <f>[1]!'00892.TW-BestAskSize'</f>
        <v>129</v>
      </c>
      <c r="K34">
        <f>[1]!'00892.TW-TotalVolume'</f>
        <v>6114</v>
      </c>
      <c r="L34">
        <f>[1]!'00892.TW-High'</f>
        <v>12.63</v>
      </c>
      <c r="M34">
        <f>[1]!'00892.TW-Low'</f>
        <v>12.46</v>
      </c>
      <c r="N34">
        <f>[1]!'00892.TW-Open'</f>
        <v>12.46</v>
      </c>
      <c r="O34" t="str">
        <f>[1]!'00892.TW-Beta'</f>
        <v>--</v>
      </c>
      <c r="P34" t="str">
        <f>[1]!'00892.TW-PERatio'</f>
        <v>--</v>
      </c>
      <c r="Q34" t="str">
        <f>[1]!'00892.TW-PBRatio'</f>
        <v>--</v>
      </c>
      <c r="R34" t="str">
        <f>[1]!'00892.TW-ROE'</f>
        <v>--</v>
      </c>
      <c r="S34" t="str">
        <f>[1]!'00892.TW-ReturnOnAssets'</f>
        <v>--</v>
      </c>
      <c r="T34" t="str">
        <f>[1]!'00892.TW-ProfitMargin'</f>
        <v>--</v>
      </c>
      <c r="U34" t="str">
        <f>[1]!'00892.TW-OperatingProfitRatio'</f>
        <v>--</v>
      </c>
      <c r="V34" t="str">
        <f>[1]!'00892.TW-NetProfitMargin'</f>
        <v>--</v>
      </c>
      <c r="W34" t="str">
        <f>[1]!'00892.TW-StockNetValue'</f>
        <v>--</v>
      </c>
      <c r="X34" t="str">
        <f>[1]!'00892.TW-Profit'</f>
        <v>--</v>
      </c>
      <c r="Y34" t="str">
        <f>[1]!'00892.TW-CurrentRatio'</f>
        <v>--</v>
      </c>
      <c r="Z34" t="str">
        <f>[1]!'00892.TW-QuickRatio'</f>
        <v>--</v>
      </c>
      <c r="AA34" t="str">
        <f>[1]!'00892.TW-LiabilityRatio'</f>
        <v>--</v>
      </c>
      <c r="AB34" t="str">
        <f>[1]!'00892.TW-TimesInterestEarne'</f>
        <v>--</v>
      </c>
      <c r="AC34" t="str">
        <f>[1]!'00892.TW-ReceivablesTurnoverRatio'</f>
        <v>--</v>
      </c>
      <c r="AD34" t="str">
        <f>[1]!'00892.TW-InventoryTurnoverRatio'</f>
        <v>--</v>
      </c>
      <c r="AE34" t="str">
        <f>[1]!'00892.TW-CashDividend'</f>
        <v>0.35</v>
      </c>
      <c r="AF34" t="str">
        <f>[1]!'00892.TW-StockDividend'</f>
        <v>--</v>
      </c>
      <c r="AG34">
        <f>[1]!'00892.TW-CashDividendYieldRate'</f>
        <v>4.5199999999999996</v>
      </c>
      <c r="AH34" t="str">
        <f>[1]!'00892.TW-ChipsField25'</f>
        <v>2022/11/16</v>
      </c>
      <c r="AI34" t="str">
        <f>[1]!'00892.TW-ChipsField26'</f>
        <v>2022/12/19</v>
      </c>
      <c r="AJ34" t="str">
        <f>[1]!'00892.TW-ChipsField27'</f>
        <v>--</v>
      </c>
      <c r="AK34" t="str">
        <f>[1]!'00892.TW-Beta'</f>
        <v>--</v>
      </c>
      <c r="AL34" t="str">
        <f>[1]!'00892.TW-Capital'</f>
        <v>--</v>
      </c>
      <c r="AM34" t="str">
        <f>[1]!'00892.TW-MarketValue'</f>
        <v>--</v>
      </c>
      <c r="AN34">
        <f>[1]!'00892.TW-ManagementPercent'</f>
        <v>0.79</v>
      </c>
    </row>
    <row r="35" spans="1:40" x14ac:dyDescent="0.3">
      <c r="A35" t="str">
        <f>[1]!'00894.TW-ID'</f>
        <v>00894</v>
      </c>
      <c r="B35" t="str">
        <f>[1]!'00894.TW-Name'</f>
        <v>中信小資高價30</v>
      </c>
      <c r="C35">
        <f>[1]!'00894.TW-Bid'</f>
        <v>14.37</v>
      </c>
      <c r="D35">
        <f>[1]!'00894.TW-Ask'</f>
        <v>14.38</v>
      </c>
      <c r="E35">
        <f>[1]!'00894.TW-Price'</f>
        <v>14.38</v>
      </c>
      <c r="F35">
        <f>[1]!'00894.TW-PriceChange'</f>
        <v>0.14000000000000001</v>
      </c>
      <c r="G35">
        <f>[1]!'00894.TW-PriceChangeRatio'</f>
        <v>0.98</v>
      </c>
      <c r="H35">
        <f>[1]!'00894.TW-Volume'</f>
        <v>40</v>
      </c>
      <c r="I35">
        <f>[1]!'00894.TW-BestBidSize'</f>
        <v>52</v>
      </c>
      <c r="J35">
        <f>[1]!'00894.TW-BestAskSize'</f>
        <v>31</v>
      </c>
      <c r="K35">
        <f>[1]!'00894.TW-TotalVolume'</f>
        <v>2075</v>
      </c>
      <c r="L35">
        <f>[1]!'00894.TW-High'</f>
        <v>14.39</v>
      </c>
      <c r="M35">
        <f>[1]!'00894.TW-Low'</f>
        <v>14.24</v>
      </c>
      <c r="N35">
        <f>[1]!'00894.TW-Open'</f>
        <v>14.24</v>
      </c>
      <c r="O35" t="str">
        <f>[1]!'00894.TW-Beta'</f>
        <v>--</v>
      </c>
      <c r="P35" t="str">
        <f>[1]!'00894.TW-PERatio'</f>
        <v>--</v>
      </c>
      <c r="Q35" t="str">
        <f>[1]!'00894.TW-PBRatio'</f>
        <v>--</v>
      </c>
      <c r="R35" t="str">
        <f>[1]!'00894.TW-ROE'</f>
        <v>--</v>
      </c>
      <c r="S35" t="str">
        <f>[1]!'00894.TW-ReturnOnAssets'</f>
        <v>--</v>
      </c>
      <c r="T35" t="str">
        <f>[1]!'00894.TW-ProfitMargin'</f>
        <v>--</v>
      </c>
      <c r="U35" t="str">
        <f>[1]!'00894.TW-OperatingProfitRatio'</f>
        <v>--</v>
      </c>
      <c r="V35" t="str">
        <f>[1]!'00894.TW-NetProfitMargin'</f>
        <v>--</v>
      </c>
      <c r="W35" t="str">
        <f>[1]!'00894.TW-StockNetValue'</f>
        <v>--</v>
      </c>
      <c r="X35" t="str">
        <f>[1]!'00894.TW-Profit'</f>
        <v>--</v>
      </c>
      <c r="Y35" t="str">
        <f>[1]!'00894.TW-CurrentRatio'</f>
        <v>--</v>
      </c>
      <c r="Z35" t="str">
        <f>[1]!'00894.TW-QuickRatio'</f>
        <v>--</v>
      </c>
      <c r="AA35" t="str">
        <f>[1]!'00894.TW-LiabilityRatio'</f>
        <v>--</v>
      </c>
      <c r="AB35" t="str">
        <f>[1]!'00894.TW-TimesInterestEarne'</f>
        <v>--</v>
      </c>
      <c r="AC35" t="str">
        <f>[1]!'00894.TW-ReceivablesTurnoverRatio'</f>
        <v>--</v>
      </c>
      <c r="AD35" t="str">
        <f>[1]!'00894.TW-InventoryTurnoverRatio'</f>
        <v>--</v>
      </c>
      <c r="AE35" t="str">
        <f>[1]!'00894.TW-CashDividend'</f>
        <v>0.10</v>
      </c>
      <c r="AF35" t="str">
        <f>[1]!'00894.TW-StockDividend'</f>
        <v>--</v>
      </c>
      <c r="AG35">
        <f>[1]!'00894.TW-CashDividendYieldRate'</f>
        <v>3.41</v>
      </c>
      <c r="AH35" t="str">
        <f>[1]!'00894.TW-ChipsField25'</f>
        <v>2023/05/17</v>
      </c>
      <c r="AI35" t="str">
        <f>[1]!'00894.TW-ChipsField26'</f>
        <v>2023/06/12</v>
      </c>
      <c r="AJ35" t="str">
        <f>[1]!'00894.TW-ChipsField27'</f>
        <v>--</v>
      </c>
      <c r="AK35" t="str">
        <f>[1]!'00894.TW-Beta'</f>
        <v>--</v>
      </c>
      <c r="AL35" t="str">
        <f>[1]!'00894.TW-Capital'</f>
        <v>--</v>
      </c>
      <c r="AM35" t="str">
        <f>[1]!'00894.TW-MarketValue'</f>
        <v>--</v>
      </c>
      <c r="AN35">
        <f>[1]!'00894.TW-ManagementPercent'</f>
        <v>0.66</v>
      </c>
    </row>
    <row r="36" spans="1:40" x14ac:dyDescent="0.3">
      <c r="A36" t="str">
        <f>[1]!'00900.TW-ID'</f>
        <v>00900</v>
      </c>
      <c r="B36" t="str">
        <f>[1]!'00900.TW-Name'</f>
        <v>富邦特選高股息30</v>
      </c>
      <c r="C36">
        <f>[1]!'00900.TW-Bid'</f>
        <v>12.07</v>
      </c>
      <c r="D36">
        <f>[1]!'00900.TW-Ask'</f>
        <v>12.08</v>
      </c>
      <c r="E36">
        <f>[1]!'00900.TW-Price'</f>
        <v>12.07</v>
      </c>
      <c r="F36">
        <f>[1]!'00900.TW-PriceChange'</f>
        <v>0.05</v>
      </c>
      <c r="G36">
        <f>[1]!'00900.TW-PriceChangeRatio'</f>
        <v>0.42</v>
      </c>
      <c r="H36">
        <f>[1]!'00900.TW-Volume'</f>
        <v>213</v>
      </c>
      <c r="I36">
        <f>[1]!'00900.TW-BestBidSize'</f>
        <v>445</v>
      </c>
      <c r="J36">
        <f>[1]!'00900.TW-BestAskSize'</f>
        <v>609</v>
      </c>
      <c r="K36">
        <f>[1]!'00900.TW-TotalVolume'</f>
        <v>10532</v>
      </c>
      <c r="L36">
        <f>[1]!'00900.TW-High'</f>
        <v>12.1</v>
      </c>
      <c r="M36">
        <f>[1]!'00900.TW-Low'</f>
        <v>12.04</v>
      </c>
      <c r="N36">
        <f>[1]!'00900.TW-Open'</f>
        <v>12.04</v>
      </c>
      <c r="O36" t="str">
        <f>[1]!'00900.TW-Beta'</f>
        <v>--</v>
      </c>
      <c r="P36" t="str">
        <f>[1]!'00900.TW-PERatio'</f>
        <v>--</v>
      </c>
      <c r="Q36" t="str">
        <f>[1]!'00900.TW-PBRatio'</f>
        <v>--</v>
      </c>
      <c r="R36" t="str">
        <f>[1]!'00900.TW-ROE'</f>
        <v>--</v>
      </c>
      <c r="S36" t="str">
        <f>[1]!'00900.TW-ReturnOnAssets'</f>
        <v>--</v>
      </c>
      <c r="T36" t="str">
        <f>[1]!'00900.TW-ProfitMargin'</f>
        <v>--</v>
      </c>
      <c r="U36" t="str">
        <f>[1]!'00900.TW-OperatingProfitRatio'</f>
        <v>--</v>
      </c>
      <c r="V36" t="str">
        <f>[1]!'00900.TW-NetProfitMargin'</f>
        <v>--</v>
      </c>
      <c r="W36" t="str">
        <f>[1]!'00900.TW-StockNetValue'</f>
        <v>--</v>
      </c>
      <c r="X36" t="str">
        <f>[1]!'00900.TW-Profit'</f>
        <v>--</v>
      </c>
      <c r="Y36" t="str">
        <f>[1]!'00900.TW-CurrentRatio'</f>
        <v>--</v>
      </c>
      <c r="Z36" t="str">
        <f>[1]!'00900.TW-QuickRatio'</f>
        <v>--</v>
      </c>
      <c r="AA36" t="str">
        <f>[1]!'00900.TW-LiabilityRatio'</f>
        <v>--</v>
      </c>
      <c r="AB36" t="str">
        <f>[1]!'00900.TW-TimesInterestEarne'</f>
        <v>--</v>
      </c>
      <c r="AC36" t="str">
        <f>[1]!'00900.TW-ReceivablesTurnoverRatio'</f>
        <v>--</v>
      </c>
      <c r="AD36" t="str">
        <f>[1]!'00900.TW-InventoryTurnoverRatio'</f>
        <v>--</v>
      </c>
      <c r="AE36" t="str">
        <f>[1]!'00900.TW-CashDividend'</f>
        <v>0.02</v>
      </c>
      <c r="AF36" t="str">
        <f>[1]!'00900.TW-StockDividend'</f>
        <v>--</v>
      </c>
      <c r="AG36">
        <f>[1]!'00900.TW-CashDividendYieldRate'</f>
        <v>12.34</v>
      </c>
      <c r="AH36" t="str">
        <f>[1]!'00900.TW-ChipsField25'</f>
        <v>2023/05/17</v>
      </c>
      <c r="AI36" t="str">
        <f>[1]!'00900.TW-ChipsField26'</f>
        <v>2023/06/12</v>
      </c>
      <c r="AJ36" t="str">
        <f>[1]!'00900.TW-ChipsField27'</f>
        <v>--</v>
      </c>
      <c r="AK36" t="str">
        <f>[1]!'00900.TW-Beta'</f>
        <v>--</v>
      </c>
      <c r="AL36" t="str">
        <f>[1]!'00900.TW-Capital'</f>
        <v>--</v>
      </c>
      <c r="AM36" t="str">
        <f>[1]!'00900.TW-MarketValue'</f>
        <v>--</v>
      </c>
      <c r="AN36">
        <f>[1]!'00900.TW-ManagementPercent'</f>
        <v>1.37</v>
      </c>
    </row>
    <row r="37" spans="1:40" x14ac:dyDescent="0.3">
      <c r="A37" t="str">
        <f>[1]!'00907.TW-ID'</f>
        <v>00907</v>
      </c>
      <c r="B37" t="str">
        <f>[1]!'00907.TW-Name'</f>
        <v>永豐優息存股</v>
      </c>
      <c r="C37">
        <f>[1]!'00907.TW-Bid'</f>
        <v>15.03</v>
      </c>
      <c r="D37">
        <f>[1]!'00907.TW-Ask'</f>
        <v>15.04</v>
      </c>
      <c r="E37">
        <f>[1]!'00907.TW-Price'</f>
        <v>15.03</v>
      </c>
      <c r="F37">
        <f>[1]!'00907.TW-PriceChange'</f>
        <v>7.0000000000000007E-2</v>
      </c>
      <c r="G37">
        <f>[1]!'00907.TW-PriceChangeRatio'</f>
        <v>0.47</v>
      </c>
      <c r="H37">
        <f>[1]!'00907.TW-Volume'</f>
        <v>44</v>
      </c>
      <c r="I37">
        <f>[1]!'00907.TW-BestBidSize'</f>
        <v>14</v>
      </c>
      <c r="J37">
        <f>[1]!'00907.TW-BestAskSize'</f>
        <v>70</v>
      </c>
      <c r="K37">
        <f>[1]!'00907.TW-TotalVolume'</f>
        <v>2917</v>
      </c>
      <c r="L37">
        <f>[1]!'00907.TW-High'</f>
        <v>15.03</v>
      </c>
      <c r="M37">
        <f>[1]!'00907.TW-Low'</f>
        <v>14.93</v>
      </c>
      <c r="N37">
        <f>[1]!'00907.TW-Open'</f>
        <v>14.93</v>
      </c>
      <c r="O37" t="str">
        <f>[1]!'00907.TW-Beta'</f>
        <v>--</v>
      </c>
      <c r="P37" t="str">
        <f>[1]!'00907.TW-PERatio'</f>
        <v>--</v>
      </c>
      <c r="Q37" t="str">
        <f>[1]!'00907.TW-PBRatio'</f>
        <v>--</v>
      </c>
      <c r="R37" t="str">
        <f>[1]!'00907.TW-ROE'</f>
        <v>--</v>
      </c>
      <c r="S37" t="str">
        <f>[1]!'00907.TW-ReturnOnAssets'</f>
        <v>--</v>
      </c>
      <c r="T37" t="str">
        <f>[1]!'00907.TW-ProfitMargin'</f>
        <v>--</v>
      </c>
      <c r="U37" t="str">
        <f>[1]!'00907.TW-OperatingProfitRatio'</f>
        <v>--</v>
      </c>
      <c r="V37" t="str">
        <f>[1]!'00907.TW-NetProfitMargin'</f>
        <v>--</v>
      </c>
      <c r="W37" t="str">
        <f>[1]!'00907.TW-StockNetValue'</f>
        <v>--</v>
      </c>
      <c r="X37" t="str">
        <f>[1]!'00907.TW-Profit'</f>
        <v>--</v>
      </c>
      <c r="Y37" t="str">
        <f>[1]!'00907.TW-CurrentRatio'</f>
        <v>--</v>
      </c>
      <c r="Z37" t="str">
        <f>[1]!'00907.TW-QuickRatio'</f>
        <v>--</v>
      </c>
      <c r="AA37" t="str">
        <f>[1]!'00907.TW-LiabilityRatio'</f>
        <v>--</v>
      </c>
      <c r="AB37" t="str">
        <f>[1]!'00907.TW-TimesInterestEarne'</f>
        <v>--</v>
      </c>
      <c r="AC37" t="str">
        <f>[1]!'00907.TW-ReceivablesTurnoverRatio'</f>
        <v>--</v>
      </c>
      <c r="AD37" t="str">
        <f>[1]!'00907.TW-InventoryTurnoverRatio'</f>
        <v>--</v>
      </c>
      <c r="AE37" t="str">
        <f>[1]!'00907.TW-CashDividend'</f>
        <v>0.07</v>
      </c>
      <c r="AF37" t="str">
        <f>[1]!'00907.TW-StockDividend'</f>
        <v>--</v>
      </c>
      <c r="AG37">
        <f>[1]!'00907.TW-CashDividendYieldRate'</f>
        <v>4.26</v>
      </c>
      <c r="AH37" t="str">
        <f>[1]!'00907.TW-ChipsField25'</f>
        <v>2023/06/16</v>
      </c>
      <c r="AI37" t="str">
        <f>[1]!'00907.TW-ChipsField26'</f>
        <v>2023/07/14</v>
      </c>
      <c r="AJ37" t="str">
        <f>[1]!'00907.TW-ChipsField27'</f>
        <v>--</v>
      </c>
      <c r="AK37" t="str">
        <f>[1]!'00907.TW-Beta'</f>
        <v>--</v>
      </c>
      <c r="AL37" t="str">
        <f>[1]!'00907.TW-Capital'</f>
        <v>--</v>
      </c>
      <c r="AM37" t="str">
        <f>[1]!'00907.TW-MarketValue'</f>
        <v>--</v>
      </c>
      <c r="AN37" t="str">
        <f>[1]!'00907.TW-ManagementPercent'</f>
        <v>--</v>
      </c>
    </row>
    <row r="38" spans="1:40" x14ac:dyDescent="0.3">
      <c r="A38" t="str">
        <f>[1]!'00771.TW-ID'</f>
        <v>00771</v>
      </c>
      <c r="B38" t="str">
        <f>[1]!'00771.TW-Name'</f>
        <v>元大US高息特別股</v>
      </c>
      <c r="C38">
        <f>[1]!'00771.TW-Bid'</f>
        <v>15.92</v>
      </c>
      <c r="D38">
        <f>[1]!'00771.TW-Ask'</f>
        <v>15.95</v>
      </c>
      <c r="E38">
        <f>[1]!'00771.TW-Price'</f>
        <v>15.93</v>
      </c>
      <c r="F38">
        <f>[1]!'00771.TW-PriceChange'</f>
        <v>0.01</v>
      </c>
      <c r="G38">
        <f>[1]!'00771.TW-PriceChangeRatio'</f>
        <v>0.06</v>
      </c>
      <c r="H38">
        <f>[1]!'00771.TW-Volume'</f>
        <v>2</v>
      </c>
      <c r="I38">
        <f>[1]!'00771.TW-BestBidSize'</f>
        <v>5</v>
      </c>
      <c r="J38">
        <f>[1]!'00771.TW-BestAskSize'</f>
        <v>2</v>
      </c>
      <c r="K38">
        <f>[1]!'00771.TW-TotalVolume'</f>
        <v>23</v>
      </c>
      <c r="L38">
        <f>[1]!'00771.TW-High'</f>
        <v>15.95</v>
      </c>
      <c r="M38">
        <f>[1]!'00771.TW-Low'</f>
        <v>15.92</v>
      </c>
      <c r="N38">
        <f>[1]!'00771.TW-Open'</f>
        <v>15.92</v>
      </c>
      <c r="O38" t="str">
        <f>[1]!'00771.TW-Beta'</f>
        <v>--</v>
      </c>
      <c r="P38" t="str">
        <f>[1]!'00771.TW-PERatio'</f>
        <v>--</v>
      </c>
      <c r="Q38" t="str">
        <f>[1]!'00771.TW-PBRatio'</f>
        <v>--</v>
      </c>
      <c r="R38" t="str">
        <f>[1]!'00771.TW-ROE'</f>
        <v>--</v>
      </c>
      <c r="S38" t="str">
        <f>[1]!'00771.TW-ReturnOnAssets'</f>
        <v>--</v>
      </c>
      <c r="T38" t="str">
        <f>[1]!'00771.TW-ProfitMargin'</f>
        <v>--</v>
      </c>
      <c r="U38" t="str">
        <f>[1]!'00771.TW-OperatingProfitRatio'</f>
        <v>--</v>
      </c>
      <c r="V38" t="str">
        <f>[1]!'00771.TW-NetProfitMargin'</f>
        <v>--</v>
      </c>
      <c r="W38" t="str">
        <f>[1]!'00771.TW-StockNetValue'</f>
        <v>--</v>
      </c>
      <c r="X38" t="str">
        <f>[1]!'00771.TW-Profit'</f>
        <v>--</v>
      </c>
      <c r="Y38" t="str">
        <f>[1]!'00771.TW-CurrentRatio'</f>
        <v>--</v>
      </c>
      <c r="Z38" t="str">
        <f>[1]!'00771.TW-QuickRatio'</f>
        <v>--</v>
      </c>
      <c r="AA38" t="str">
        <f>[1]!'00771.TW-LiabilityRatio'</f>
        <v>--</v>
      </c>
      <c r="AB38" t="str">
        <f>[1]!'00771.TW-TimesInterestEarne'</f>
        <v>--</v>
      </c>
      <c r="AC38" t="str">
        <f>[1]!'00771.TW-ReceivablesTurnoverRatio'</f>
        <v>--</v>
      </c>
      <c r="AD38" t="str">
        <f>[1]!'00771.TW-InventoryTurnoverRatio'</f>
        <v>--</v>
      </c>
      <c r="AE38" t="str">
        <f>[1]!'00771.TW-CashDividend'</f>
        <v>0.18</v>
      </c>
      <c r="AF38" t="str">
        <f>[1]!'00771.TW-StockDividend'</f>
        <v>--</v>
      </c>
      <c r="AG38">
        <f>[1]!'00771.TW-CashDividendYieldRate'</f>
        <v>4.46</v>
      </c>
      <c r="AH38" t="str">
        <f>[1]!'00771.TW-ChipsField25'</f>
        <v>2023/05/17</v>
      </c>
      <c r="AI38" t="str">
        <f>[1]!'00771.TW-ChipsField26'</f>
        <v>2023/06/15</v>
      </c>
      <c r="AJ38" t="str">
        <f>[1]!'00771.TW-ChipsField27'</f>
        <v>--</v>
      </c>
      <c r="AK38" t="str">
        <f>[1]!'00771.TW-Beta'</f>
        <v>--</v>
      </c>
      <c r="AL38" t="str">
        <f>[1]!'00771.TW-Capital'</f>
        <v>--</v>
      </c>
      <c r="AM38" t="str">
        <f>[1]!'00771.TW-MarketValue'</f>
        <v>--</v>
      </c>
      <c r="AN38">
        <f>[1]!'00771.TW-ManagementPercent'</f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user</cp:lastModifiedBy>
  <dcterms:created xsi:type="dcterms:W3CDTF">2023-06-07T09:34:16Z</dcterms:created>
  <dcterms:modified xsi:type="dcterms:W3CDTF">2023-06-18T07:44:27Z</dcterms:modified>
</cp:coreProperties>
</file>