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F80C4339-5F85-466C-B683-87DD5FE21745}" xr6:coauthVersionLast="47" xr6:coauthVersionMax="47" xr10:uidLastSave="{00000000-0000-0000-0000-000000000000}"/>
  <bookViews>
    <workbookView xWindow="-108" yWindow="-108" windowWidth="23256" windowHeight="12456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7" i="1" l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A2" i="1"/>
</calcChain>
</file>

<file path=xl/sharedStrings.xml><?xml version="1.0" encoding="utf-8"?>
<sst xmlns="http://schemas.openxmlformats.org/spreadsheetml/2006/main" count="43" uniqueCount="41">
  <si>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</si>
  <si>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</si>
  <si>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</si>
  <si>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</si>
  <si>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</si>
  <si>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</si>
  <si>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</si>
  <si>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</si>
  <si>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</si>
  <si>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</si>
  <si>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</si>
  <si>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</si>
  <si>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</si>
  <si>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</si>
  <si>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</si>
  <si>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</si>
  <si>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</si>
  <si>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</si>
  <si>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</si>
  <si>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</si>
  <si>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</si>
  <si>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</si>
  <si>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</si>
  <si>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</si>
  <si>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</si>
  <si>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</si>
  <si>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</si>
  <si>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</si>
  <si>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</si>
  <si>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</si>
  <si>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</si>
  <si>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</si>
  <si>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</si>
  <si>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</si>
  <si>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</si>
  <si>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</si>
  <si>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</si>
  <si>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</si>
  <si>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</si>
  <si>
    <t>元大台灣50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</si>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</sst>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Beta" advise="1">
        <values>
          <value t="str">
            <val>--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etProfitMargin" advise="1">
        <values>
          <value t="str">
            <val>--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7"/>
  <sheetViews>
    <sheetView tabSelected="1" topLeftCell="A19" workbookViewId="0">
      <selection activeCell="B33" sqref="B33"/>
    </sheetView>
  </sheetViews>
  <sheetFormatPr defaultRowHeight="16.2" x14ac:dyDescent="0.3"/>
  <cols>
    <col min="2" max="2" width="22.21875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">
        <v>39</v>
      </c>
      <c r="C2">
        <v>131.30000000000001</v>
      </c>
      <c r="D2">
        <v>131.75</v>
      </c>
      <c r="E2">
        <v>131.55000000000001</v>
      </c>
      <c r="F2" t="s">
        <v>40</v>
      </c>
      <c r="G2" t="s">
        <v>40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[1]!'00850.TW-ID'</f>
        <v>00850</v>
      </c>
      <c r="B27" t="str">
        <f>[1]!'00850.TW-Name'</f>
        <v>元大臺灣ESG永續</v>
      </c>
      <c r="C27">
        <f>[1]!'00850.TW-Bid'</f>
        <v>33.409999999999997</v>
      </c>
      <c r="D27">
        <f>[1]!'00850.TW-Ask'</f>
        <v>33.42</v>
      </c>
      <c r="E27">
        <f>[1]!'00850.TW-Price'</f>
        <v>33.409999999999997</v>
      </c>
      <c r="F27">
        <f>[1]!'00850.TW-PriceChange'</f>
        <v>0.32</v>
      </c>
      <c r="G27">
        <f>[1]!'00850.TW-PriceChangeRatio'</f>
        <v>0.97</v>
      </c>
      <c r="H27">
        <f>[1]!'00850.TW-Volume'</f>
        <v>67</v>
      </c>
      <c r="I27">
        <f>[1]!'00850.TW-BestBidSize'</f>
        <v>34</v>
      </c>
      <c r="J27">
        <f>[1]!'00850.TW-BestAskSize'</f>
        <v>3</v>
      </c>
      <c r="K27">
        <f>[1]!'00850.TW-TotalVolume'</f>
        <v>1647</v>
      </c>
      <c r="L27">
        <f>[1]!'00850.TW-High'</f>
        <v>33.409999999999997</v>
      </c>
      <c r="M27">
        <f>[1]!'00850.TW-Low'</f>
        <v>33.14</v>
      </c>
      <c r="N27">
        <f>[1]!'00850.TW-Open'</f>
        <v>33.14</v>
      </c>
      <c r="O27" t="str">
        <f>[1]!'00850.TW-Beta'</f>
        <v>--</v>
      </c>
      <c r="P27" t="str">
        <f>[1]!'00850.TW-PERatio'</f>
        <v>--</v>
      </c>
      <c r="Q27" t="str">
        <f>[1]!'00850.TW-PBRatio'</f>
        <v>--</v>
      </c>
      <c r="R27" t="str">
        <f>[1]!'00850.TW-ROE'</f>
        <v>--</v>
      </c>
      <c r="S27" t="str">
        <f>[1]!'00850.TW-ReturnOnAssets'</f>
        <v>--</v>
      </c>
      <c r="T27" t="str">
        <f>[1]!'00850.TW-ProfitMargin'</f>
        <v>--</v>
      </c>
      <c r="U27" t="str">
        <f>[1]!'00850.TW-OperatingProfitRatio'</f>
        <v>--</v>
      </c>
      <c r="V27" t="str">
        <f>[1]!'00850.TW-NetProfitMargin'</f>
        <v>--</v>
      </c>
      <c r="W27" t="str">
        <f>[1]!'00850.TW-StockNetValue'</f>
        <v>--</v>
      </c>
      <c r="X27" t="str">
        <f>[1]!'00850.TW-Profit'</f>
        <v>--</v>
      </c>
      <c r="Y27" t="str">
        <f>[1]!'00850.TW-CurrentRatio'</f>
        <v>--</v>
      </c>
      <c r="Z27" t="str">
        <f>[1]!'00850.TW-QuickRatio'</f>
        <v>--</v>
      </c>
      <c r="AA27" t="str">
        <f>[1]!'00850.TW-LiabilityRatio'</f>
        <v>--</v>
      </c>
      <c r="AB27" t="str">
        <f>[1]!'00850.TW-TimesInterestEarne'</f>
        <v>--</v>
      </c>
      <c r="AC27" t="str">
        <f>[1]!'00850.TW-ReceivablesTurnoverRatio'</f>
        <v>--</v>
      </c>
      <c r="AD27" t="str">
        <f>[1]!'00850.TW-InventoryTurnoverRatio'</f>
        <v>--</v>
      </c>
      <c r="AE27" t="str">
        <f>[1]!'00850.TW-CashDividend'</f>
        <v>1.48</v>
      </c>
      <c r="AF27" t="str">
        <f>[1]!'00850.TW-StockDividend'</f>
        <v>--</v>
      </c>
      <c r="AG27">
        <f>[1]!'00850.TW-CashDividendYieldRate'</f>
        <v>4.43</v>
      </c>
      <c r="AH27" t="str">
        <f>[1]!'00850.TW-ChipsField25'</f>
        <v>2022/11/16</v>
      </c>
      <c r="AI27" t="str">
        <f>[1]!'00850.TW-ChipsField26'</f>
        <v>2022/12/20</v>
      </c>
      <c r="AJ27" t="str">
        <f>[1]!'00850.TW-ChipsField27'</f>
        <v>--</v>
      </c>
      <c r="AK27" t="str">
        <f>[1]!'00850.TW-Beta'</f>
        <v>--</v>
      </c>
      <c r="AL27" t="str">
        <f>[1]!'00850.TW-Capital'</f>
        <v>--</v>
      </c>
      <c r="AM27" t="str">
        <f>[1]!'00850.TW-MarketValue'</f>
        <v>--</v>
      </c>
      <c r="AN27">
        <f>[1]!'00850.TW-ManagementPercent'</f>
        <v>0.42</v>
      </c>
    </row>
    <row r="28" spans="1:40" x14ac:dyDescent="0.3">
      <c r="A28" t="str">
        <f>[1]!'00878.TW-ID'</f>
        <v>00878</v>
      </c>
      <c r="B28" t="str">
        <f>[1]!'00878.TW-Name'</f>
        <v>國泰永續高股息</v>
      </c>
      <c r="C28">
        <f>[1]!'00878.TW-Bid'</f>
        <v>18.78</v>
      </c>
      <c r="D28">
        <f>[1]!'00878.TW-Ask'</f>
        <v>18.79</v>
      </c>
      <c r="E28">
        <f>[1]!'00878.TW-Price'</f>
        <v>18.78</v>
      </c>
      <c r="F28">
        <f>[1]!'00878.TW-PriceChange'</f>
        <v>0.13</v>
      </c>
      <c r="G28">
        <f>[1]!'00878.TW-PriceChangeRatio'</f>
        <v>0.7</v>
      </c>
      <c r="H28">
        <f>[1]!'00878.TW-Volume'</f>
        <v>1160</v>
      </c>
      <c r="I28">
        <f>[1]!'00878.TW-BestBidSize'</f>
        <v>425</v>
      </c>
      <c r="J28">
        <f>[1]!'00878.TW-BestAskSize'</f>
        <v>1642</v>
      </c>
      <c r="K28">
        <f>[1]!'00878.TW-TotalVolume'</f>
        <v>42608</v>
      </c>
      <c r="L28">
        <f>[1]!'00878.TW-High'</f>
        <v>18.79</v>
      </c>
      <c r="M28">
        <f>[1]!'00878.TW-Low'</f>
        <v>18.66</v>
      </c>
      <c r="N28">
        <f>[1]!'00878.TW-Open'</f>
        <v>18.66</v>
      </c>
      <c r="O28" t="str">
        <f>[1]!'00878.TW-Beta'</f>
        <v>--</v>
      </c>
      <c r="P28" t="str">
        <f>[1]!'00878.TW-PERatio'</f>
        <v>--</v>
      </c>
      <c r="Q28" t="str">
        <f>[1]!'00878.TW-PBRatio'</f>
        <v>--</v>
      </c>
      <c r="R28" t="str">
        <f>[1]!'00878.TW-ROE'</f>
        <v>--</v>
      </c>
      <c r="S28" t="str">
        <f>[1]!'00878.TW-ReturnOnAssets'</f>
        <v>--</v>
      </c>
      <c r="T28" t="str">
        <f>[1]!'00878.TW-ProfitMargin'</f>
        <v>--</v>
      </c>
      <c r="U28" t="str">
        <f>[1]!'00878.TW-OperatingProfitRatio'</f>
        <v>--</v>
      </c>
      <c r="V28" t="str">
        <f>[1]!'00878.TW-NetProfitMargin'</f>
        <v>--</v>
      </c>
      <c r="W28" t="str">
        <f>[1]!'00878.TW-StockNetValue'</f>
        <v>--</v>
      </c>
      <c r="X28" t="str">
        <f>[1]!'00878.TW-Profit'</f>
        <v>--</v>
      </c>
      <c r="Y28" t="str">
        <f>[1]!'00878.TW-CurrentRatio'</f>
        <v>--</v>
      </c>
      <c r="Z28" t="str">
        <f>[1]!'00878.TW-QuickRatio'</f>
        <v>--</v>
      </c>
      <c r="AA28" t="str">
        <f>[1]!'00878.TW-LiabilityRatio'</f>
        <v>--</v>
      </c>
      <c r="AB28" t="str">
        <f>[1]!'00878.TW-TimesInterestEarne'</f>
        <v>--</v>
      </c>
      <c r="AC28" t="str">
        <f>[1]!'00878.TW-ReceivablesTurnoverRatio'</f>
        <v>--</v>
      </c>
      <c r="AD28" t="str">
        <f>[1]!'00878.TW-InventoryTurnoverRatio'</f>
        <v>--</v>
      </c>
      <c r="AE28" t="str">
        <f>[1]!'00878.TW-CashDividend'</f>
        <v>0.27</v>
      </c>
      <c r="AF28" t="str">
        <f>[1]!'00878.TW-StockDividend'</f>
        <v>--</v>
      </c>
      <c r="AG28">
        <f>[1]!'00878.TW-CashDividendYieldRate'</f>
        <v>5.86</v>
      </c>
      <c r="AH28" t="str">
        <f>[1]!'00878.TW-ChipsField25'</f>
        <v>2023/05/17</v>
      </c>
      <c r="AI28" t="str">
        <f>[1]!'00878.TW-ChipsField26'</f>
        <v>2023/06/12</v>
      </c>
      <c r="AJ28" t="str">
        <f>[1]!'00878.TW-ChipsField27'</f>
        <v>--</v>
      </c>
      <c r="AK28" t="str">
        <f>[1]!'00878.TW-Beta'</f>
        <v>--</v>
      </c>
      <c r="AL28" t="str">
        <f>[1]!'00878.TW-Capital'</f>
        <v>--</v>
      </c>
      <c r="AM28" t="str">
        <f>[1]!'00878.TW-MarketValue'</f>
        <v>--</v>
      </c>
      <c r="AN28">
        <f>[1]!'00878.TW-ManagementPercent'</f>
        <v>0.64</v>
      </c>
    </row>
    <row r="29" spans="1:40" x14ac:dyDescent="0.3">
      <c r="A29" t="str">
        <f>[1]!'00881.TW-ID'</f>
        <v>00881</v>
      </c>
      <c r="B29" t="str">
        <f>[1]!'00881.TW-Name'</f>
        <v>國泰台灣5G+</v>
      </c>
      <c r="C29">
        <f>[1]!'00881.TW-Bid'</f>
        <v>16.38</v>
      </c>
      <c r="D29">
        <f>[1]!'00881.TW-Ask'</f>
        <v>16.39</v>
      </c>
      <c r="E29">
        <f>[1]!'00881.TW-Price'</f>
        <v>16.38</v>
      </c>
      <c r="F29">
        <f>[1]!'00881.TW-PriceChange'</f>
        <v>0.23</v>
      </c>
      <c r="G29">
        <f>[1]!'00881.TW-PriceChangeRatio'</f>
        <v>1.42</v>
      </c>
      <c r="H29">
        <f>[1]!'00881.TW-Volume'</f>
        <v>406</v>
      </c>
      <c r="I29">
        <f>[1]!'00881.TW-BestBidSize'</f>
        <v>116</v>
      </c>
      <c r="J29">
        <f>[1]!'00881.TW-BestAskSize'</f>
        <v>919</v>
      </c>
      <c r="K29">
        <f>[1]!'00881.TW-TotalVolume'</f>
        <v>21591</v>
      </c>
      <c r="L29">
        <f>[1]!'00881.TW-High'</f>
        <v>16.39</v>
      </c>
      <c r="M29">
        <f>[1]!'00881.TW-Low'</f>
        <v>16.149999999999999</v>
      </c>
      <c r="N29">
        <f>[1]!'00881.TW-Open'</f>
        <v>16.149999999999999</v>
      </c>
      <c r="O29" t="str">
        <f>[1]!'00881.TW-Beta'</f>
        <v>--</v>
      </c>
      <c r="P29" t="str">
        <f>[1]!'00881.TW-PERatio'</f>
        <v>--</v>
      </c>
      <c r="Q29" t="str">
        <f>[1]!'00881.TW-PBRatio'</f>
        <v>--</v>
      </c>
      <c r="R29" t="str">
        <f>[1]!'00881.TW-ROE'</f>
        <v>--</v>
      </c>
      <c r="S29" t="str">
        <f>[1]!'00881.TW-ReturnOnAssets'</f>
        <v>--</v>
      </c>
      <c r="T29" t="str">
        <f>[1]!'00881.TW-ProfitMargin'</f>
        <v>--</v>
      </c>
      <c r="U29" t="str">
        <f>[1]!'00881.TW-OperatingProfitRatio'</f>
        <v>--</v>
      </c>
      <c r="V29" t="str">
        <f>[1]!'00881.TW-NetProfitMargin'</f>
        <v>--</v>
      </c>
      <c r="W29" t="str">
        <f>[1]!'00881.TW-StockNetValue'</f>
        <v>--</v>
      </c>
      <c r="X29" t="str">
        <f>[1]!'00881.TW-Profit'</f>
        <v>--</v>
      </c>
      <c r="Y29" t="str">
        <f>[1]!'00881.TW-CurrentRatio'</f>
        <v>--</v>
      </c>
      <c r="Z29" t="str">
        <f>[1]!'00881.TW-QuickRatio'</f>
        <v>--</v>
      </c>
      <c r="AA29" t="str">
        <f>[1]!'00881.TW-LiabilityRatio'</f>
        <v>--</v>
      </c>
      <c r="AB29" t="str">
        <f>[1]!'00881.TW-TimesInterestEarne'</f>
        <v>--</v>
      </c>
      <c r="AC29" t="str">
        <f>[1]!'00881.TW-ReceivablesTurnoverRatio'</f>
        <v>--</v>
      </c>
      <c r="AD29" t="str">
        <f>[1]!'00881.TW-InventoryTurnoverRatio'</f>
        <v>--</v>
      </c>
      <c r="AE29" t="str">
        <f>[1]!'00881.TW-CashDividend'</f>
        <v>0.35</v>
      </c>
      <c r="AF29" t="str">
        <f>[1]!'00881.TW-StockDividend'</f>
        <v>--</v>
      </c>
      <c r="AG29">
        <f>[1]!'00881.TW-CashDividendYieldRate'</f>
        <v>3.72</v>
      </c>
      <c r="AH29" t="str">
        <f>[1]!'00881.TW-ChipsField25'</f>
        <v>2023/01/30</v>
      </c>
      <c r="AI29" t="str">
        <f>[1]!'00881.TW-ChipsField26'</f>
        <v>2023/03/02</v>
      </c>
      <c r="AJ29" t="str">
        <f>[1]!'00881.TW-ChipsField27'</f>
        <v>--</v>
      </c>
      <c r="AK29" t="str">
        <f>[1]!'00881.TW-Beta'</f>
        <v>--</v>
      </c>
      <c r="AL29" t="str">
        <f>[1]!'00881.TW-Capital'</f>
        <v>--</v>
      </c>
      <c r="AM29" t="str">
        <f>[1]!'00881.TW-MarketValue'</f>
        <v>--</v>
      </c>
      <c r="AN29">
        <f>[1]!'00881.TW-ManagementPercent'</f>
        <v>0.57999999999999996</v>
      </c>
    </row>
    <row r="30" spans="1:40" x14ac:dyDescent="0.3">
      <c r="A30" t="str">
        <f>[1]!'00882.TW-ID'</f>
        <v>00882</v>
      </c>
      <c r="B30" t="str">
        <f>[1]!'00882.TW-Name'</f>
        <v>中信中國高股息</v>
      </c>
      <c r="C30">
        <f>[1]!'00882.TW-Bid'</f>
        <v>11.63</v>
      </c>
      <c r="D30">
        <f>[1]!'00882.TW-Ask'</f>
        <v>11.64</v>
      </c>
      <c r="E30">
        <f>[1]!'00882.TW-Price'</f>
        <v>11.64</v>
      </c>
      <c r="F30">
        <f>[1]!'00882.TW-PriceChange'</f>
        <v>-0.01</v>
      </c>
      <c r="G30">
        <f>[1]!'00882.TW-PriceChangeRatio'</f>
        <v>-0.09</v>
      </c>
      <c r="H30">
        <f>[1]!'00882.TW-Volume'</f>
        <v>414</v>
      </c>
      <c r="I30">
        <f>[1]!'00882.TW-BestBidSize'</f>
        <v>445</v>
      </c>
      <c r="J30">
        <f>[1]!'00882.TW-BestAskSize'</f>
        <v>168</v>
      </c>
      <c r="K30">
        <f>[1]!'00882.TW-TotalVolume'</f>
        <v>25603</v>
      </c>
      <c r="L30">
        <f>[1]!'00882.TW-High'</f>
        <v>11.72</v>
      </c>
      <c r="M30">
        <f>[1]!'00882.TW-Low'</f>
        <v>11.6</v>
      </c>
      <c r="N30">
        <f>[1]!'00882.TW-Open'</f>
        <v>11.68</v>
      </c>
      <c r="O30" t="str">
        <f>[1]!'00882.TW-Beta'</f>
        <v>--</v>
      </c>
      <c r="P30" t="str">
        <f>[1]!'00882.TW-PERatio'</f>
        <v>--</v>
      </c>
      <c r="Q30" t="str">
        <f>[1]!'00882.TW-PBRatio'</f>
        <v>--</v>
      </c>
      <c r="R30" t="str">
        <f>[1]!'00882.TW-ROE'</f>
        <v>--</v>
      </c>
      <c r="S30" t="str">
        <f>[1]!'00882.TW-ReturnOnAssets'</f>
        <v>--</v>
      </c>
      <c r="T30" t="str">
        <f>[1]!'00882.TW-ProfitMargin'</f>
        <v>--</v>
      </c>
      <c r="U30" t="str">
        <f>[1]!'00882.TW-OperatingProfitRatio'</f>
        <v>--</v>
      </c>
      <c r="V30" t="str">
        <f>[1]!'00882.TW-NetProfitMargin'</f>
        <v>--</v>
      </c>
      <c r="W30" t="str">
        <f>[1]!'00882.TW-StockNetValue'</f>
        <v>--</v>
      </c>
      <c r="X30" t="str">
        <f>[1]!'00882.TW-Profit'</f>
        <v>--</v>
      </c>
      <c r="Y30" t="str">
        <f>[1]!'00882.TW-CurrentRatio'</f>
        <v>--</v>
      </c>
      <c r="Z30" t="str">
        <f>[1]!'00882.TW-QuickRatio'</f>
        <v>--</v>
      </c>
      <c r="AA30" t="str">
        <f>[1]!'00882.TW-LiabilityRatio'</f>
        <v>--</v>
      </c>
      <c r="AB30" t="str">
        <f>[1]!'00882.TW-TimesInterestEarne'</f>
        <v>--</v>
      </c>
      <c r="AC30" t="str">
        <f>[1]!'00882.TW-ReceivablesTurnoverRatio'</f>
        <v>--</v>
      </c>
      <c r="AD30" t="str">
        <f>[1]!'00882.TW-InventoryTurnoverRatio'</f>
        <v>--</v>
      </c>
      <c r="AE30" t="str">
        <f>[1]!'00882.TW-CashDividend'</f>
        <v>0.30</v>
      </c>
      <c r="AF30" t="str">
        <f>[1]!'00882.TW-StockDividend'</f>
        <v>--</v>
      </c>
      <c r="AG30">
        <f>[1]!'00882.TW-CashDividendYieldRate'</f>
        <v>9.8800000000000008</v>
      </c>
      <c r="AH30" t="str">
        <f>[1]!'00882.TW-ChipsField25'</f>
        <v>2023/01/17</v>
      </c>
      <c r="AI30" t="str">
        <f>[1]!'00882.TW-ChipsField26'</f>
        <v>2023/02/20</v>
      </c>
      <c r="AJ30" t="str">
        <f>[1]!'00882.TW-ChipsField27'</f>
        <v>--</v>
      </c>
      <c r="AK30" t="str">
        <f>[1]!'00882.TW-Beta'</f>
        <v>--</v>
      </c>
      <c r="AL30" t="str">
        <f>[1]!'00882.TW-Capital'</f>
        <v>--</v>
      </c>
      <c r="AM30" t="str">
        <f>[1]!'00882.TW-MarketValue'</f>
        <v>--</v>
      </c>
      <c r="AN30">
        <f>[1]!'00882.TW-ManagementPercent'</f>
        <v>1.38</v>
      </c>
    </row>
    <row r="31" spans="1:40" x14ac:dyDescent="0.3">
      <c r="A31" t="str">
        <f>[1]!'00885.TW-ID'</f>
        <v>00885</v>
      </c>
      <c r="B31" t="str">
        <f>[1]!'00885.TW-Name'</f>
        <v>富邦越南</v>
      </c>
      <c r="C31">
        <f>[1]!'00885.TW-Bid'</f>
        <v>11.73</v>
      </c>
      <c r="D31">
        <f>[1]!'00885.TW-Ask'</f>
        <v>11.74</v>
      </c>
      <c r="E31">
        <f>[1]!'00885.TW-Price'</f>
        <v>11.74</v>
      </c>
      <c r="F31">
        <f>[1]!'00885.TW-PriceChange'</f>
        <v>0.14000000000000001</v>
      </c>
      <c r="G31">
        <f>[1]!'00885.TW-PriceChangeRatio'</f>
        <v>1.21</v>
      </c>
      <c r="H31">
        <f>[1]!'00885.TW-Volume'</f>
        <v>425</v>
      </c>
      <c r="I31">
        <f>[1]!'00885.TW-BestBidSize'</f>
        <v>593</v>
      </c>
      <c r="J31">
        <f>[1]!'00885.TW-BestAskSize'</f>
        <v>145</v>
      </c>
      <c r="K31">
        <f>[1]!'00885.TW-TotalVolume'</f>
        <v>21911</v>
      </c>
      <c r="L31">
        <f>[1]!'00885.TW-High'</f>
        <v>11.76</v>
      </c>
      <c r="M31">
        <f>[1]!'00885.TW-Low'</f>
        <v>11.71</v>
      </c>
      <c r="N31">
        <f>[1]!'00885.TW-Open'</f>
        <v>11.74</v>
      </c>
      <c r="O31" t="str">
        <f>[1]!'00885.TW-Beta'</f>
        <v>--</v>
      </c>
      <c r="P31" t="str">
        <f>[1]!'00885.TW-PERatio'</f>
        <v>--</v>
      </c>
      <c r="Q31" t="str">
        <f>[1]!'00885.TW-PBRatio'</f>
        <v>--</v>
      </c>
      <c r="R31" t="str">
        <f>[1]!'00885.TW-ROE'</f>
        <v>--</v>
      </c>
      <c r="S31" t="str">
        <f>[1]!'00885.TW-ReturnOnAssets'</f>
        <v>--</v>
      </c>
      <c r="T31" t="str">
        <f>[1]!'00885.TW-ProfitMargin'</f>
        <v>--</v>
      </c>
      <c r="U31" t="str">
        <f>[1]!'00885.TW-OperatingProfitRatio'</f>
        <v>--</v>
      </c>
      <c r="V31" t="str">
        <f>[1]!'00885.TW-NetProfitMargin'</f>
        <v>--</v>
      </c>
      <c r="W31" t="str">
        <f>[1]!'00885.TW-StockNetValue'</f>
        <v>--</v>
      </c>
      <c r="X31" t="str">
        <f>[1]!'00885.TW-Profit'</f>
        <v>--</v>
      </c>
      <c r="Y31" t="str">
        <f>[1]!'00885.TW-CurrentRatio'</f>
        <v>--</v>
      </c>
      <c r="Z31" t="str">
        <f>[1]!'00885.TW-QuickRatio'</f>
        <v>--</v>
      </c>
      <c r="AA31" t="str">
        <f>[1]!'00885.TW-LiabilityRatio'</f>
        <v>--</v>
      </c>
      <c r="AB31" t="str">
        <f>[1]!'00885.TW-TimesInterestEarne'</f>
        <v>--</v>
      </c>
      <c r="AC31" t="str">
        <f>[1]!'00885.TW-ReceivablesTurnoverRatio'</f>
        <v>--</v>
      </c>
      <c r="AD31" t="str">
        <f>[1]!'00885.TW-InventoryTurnoverRatio'</f>
        <v>--</v>
      </c>
      <c r="AE31" t="str">
        <f>[1]!'00885.TW-CashDividend'</f>
        <v>--</v>
      </c>
      <c r="AF31" t="str">
        <f>[1]!'00885.TW-StockDividend'</f>
        <v>--</v>
      </c>
      <c r="AG31">
        <f>[1]!'00885.TW-CashDividendYieldRate'</f>
        <v>0</v>
      </c>
      <c r="AH31" t="str">
        <f>[1]!'00885.TW-ChipsField25'</f>
        <v>--</v>
      </c>
      <c r="AI31" t="str">
        <f>[1]!'00885.TW-ChipsField26'</f>
        <v>--</v>
      </c>
      <c r="AJ31" t="str">
        <f>[1]!'00885.TW-ChipsField27'</f>
        <v>--</v>
      </c>
      <c r="AK31" t="str">
        <f>[1]!'00885.TW-Beta'</f>
        <v>--</v>
      </c>
      <c r="AL31" t="str">
        <f>[1]!'00885.TW-Capital'</f>
        <v>--</v>
      </c>
      <c r="AM31" t="str">
        <f>[1]!'00885.TW-MarketValue'</f>
        <v>--</v>
      </c>
      <c r="AN31">
        <f>[1]!'00885.TW-ManagementPercent'</f>
        <v>1.28</v>
      </c>
    </row>
    <row r="32" spans="1:40" x14ac:dyDescent="0.3">
      <c r="A32" t="str">
        <f>[1]!'00888.TW-ID'</f>
        <v>00888</v>
      </c>
      <c r="B32" t="str">
        <f>[1]!'00888.TW-Name'</f>
        <v>永豐台灣ESG</v>
      </c>
      <c r="C32">
        <f>[1]!'00888.TW-Bid'</f>
        <v>14.08</v>
      </c>
      <c r="D32">
        <f>[1]!'00888.TW-Ask'</f>
        <v>14.09</v>
      </c>
      <c r="E32">
        <f>[1]!'00888.TW-Price'</f>
        <v>14.09</v>
      </c>
      <c r="F32">
        <f>[1]!'00888.TW-PriceChange'</f>
        <v>0.16</v>
      </c>
      <c r="G32">
        <f>[1]!'00888.TW-PriceChangeRatio'</f>
        <v>1.1499999999999999</v>
      </c>
      <c r="H32">
        <f>[1]!'00888.TW-Volume'</f>
        <v>63</v>
      </c>
      <c r="I32">
        <f>[1]!'00888.TW-BestBidSize'</f>
        <v>71</v>
      </c>
      <c r="J32">
        <f>[1]!'00888.TW-BestAskSize'</f>
        <v>87</v>
      </c>
      <c r="K32">
        <f>[1]!'00888.TW-TotalVolume'</f>
        <v>5773</v>
      </c>
      <c r="L32">
        <f>[1]!'00888.TW-High'</f>
        <v>14.09</v>
      </c>
      <c r="M32">
        <f>[1]!'00888.TW-Low'</f>
        <v>13.97</v>
      </c>
      <c r="N32">
        <f>[1]!'00888.TW-Open'</f>
        <v>13.97</v>
      </c>
      <c r="O32" t="str">
        <f>[1]!'00888.TW-Beta'</f>
        <v>--</v>
      </c>
      <c r="P32" t="str">
        <f>[1]!'00888.TW-PERatio'</f>
        <v>--</v>
      </c>
      <c r="Q32" t="str">
        <f>[1]!'00888.TW-PBRatio'</f>
        <v>--</v>
      </c>
      <c r="R32" t="str">
        <f>[1]!'00888.TW-ROE'</f>
        <v>--</v>
      </c>
      <c r="S32" t="str">
        <f>[1]!'00888.TW-ReturnOnAssets'</f>
        <v>--</v>
      </c>
      <c r="T32" t="str">
        <f>[1]!'00888.TW-ProfitMargin'</f>
        <v>--</v>
      </c>
      <c r="U32" t="str">
        <f>[1]!'00888.TW-OperatingProfitRatio'</f>
        <v>--</v>
      </c>
      <c r="V32" t="str">
        <f>[1]!'00888.TW-NetProfitMargin'</f>
        <v>--</v>
      </c>
      <c r="W32" t="str">
        <f>[1]!'00888.TW-StockNetValue'</f>
        <v>--</v>
      </c>
      <c r="X32" t="str">
        <f>[1]!'00888.TW-Profit'</f>
        <v>--</v>
      </c>
      <c r="Y32" t="str">
        <f>[1]!'00888.TW-CurrentRatio'</f>
        <v>--</v>
      </c>
      <c r="Z32" t="str">
        <f>[1]!'00888.TW-QuickRatio'</f>
        <v>--</v>
      </c>
      <c r="AA32" t="str">
        <f>[1]!'00888.TW-LiabilityRatio'</f>
        <v>--</v>
      </c>
      <c r="AB32" t="str">
        <f>[1]!'00888.TW-TimesInterestEarne'</f>
        <v>--</v>
      </c>
      <c r="AC32" t="str">
        <f>[1]!'00888.TW-ReceivablesTurnoverRatio'</f>
        <v>--</v>
      </c>
      <c r="AD32" t="str">
        <f>[1]!'00888.TW-InventoryTurnoverRatio'</f>
        <v>--</v>
      </c>
      <c r="AE32" t="str">
        <f>[1]!'00888.TW-CashDividend'</f>
        <v>0.21</v>
      </c>
      <c r="AF32" t="str">
        <f>[1]!'00888.TW-StockDividend'</f>
        <v>--</v>
      </c>
      <c r="AG32">
        <f>[1]!'00888.TW-CashDividendYieldRate'</f>
        <v>5.61</v>
      </c>
      <c r="AH32" t="str">
        <f>[1]!'00888.TW-ChipsField25'</f>
        <v>2023/04/21</v>
      </c>
      <c r="AI32" t="str">
        <f>[1]!'00888.TW-ChipsField26'</f>
        <v>2023/05/22</v>
      </c>
      <c r="AJ32" t="str">
        <f>[1]!'00888.TW-ChipsField27'</f>
        <v>--</v>
      </c>
      <c r="AK32" t="str">
        <f>[1]!'00888.TW-Beta'</f>
        <v>--</v>
      </c>
      <c r="AL32" t="str">
        <f>[1]!'00888.TW-Capital'</f>
        <v>--</v>
      </c>
      <c r="AM32" t="str">
        <f>[1]!'00888.TW-MarketValue'</f>
        <v>--</v>
      </c>
      <c r="AN32">
        <f>[1]!'00888.TW-ManagementPercent'</f>
        <v>0.63</v>
      </c>
    </row>
    <row r="33" spans="1:40" x14ac:dyDescent="0.3">
      <c r="A33" t="str">
        <f>[1]!'00892.TW-ID'</f>
        <v>00892</v>
      </c>
      <c r="B33" t="str">
        <f>[1]!'00892.TW-Name'</f>
        <v>富邦台灣半導體</v>
      </c>
      <c r="C33">
        <f>[1]!'00892.TW-Bid'</f>
        <v>12.61</v>
      </c>
      <c r="D33">
        <f>[1]!'00892.TW-Ask'</f>
        <v>12.62</v>
      </c>
      <c r="E33">
        <f>[1]!'00892.TW-Price'</f>
        <v>12.61</v>
      </c>
      <c r="F33">
        <f>[1]!'00892.TW-PriceChange'</f>
        <v>0.2</v>
      </c>
      <c r="G33">
        <f>[1]!'00892.TW-PriceChangeRatio'</f>
        <v>1.61</v>
      </c>
      <c r="H33">
        <f>[1]!'00892.TW-Volume'</f>
        <v>78</v>
      </c>
      <c r="I33">
        <f>[1]!'00892.TW-BestBidSize'</f>
        <v>57</v>
      </c>
      <c r="J33">
        <f>[1]!'00892.TW-BestAskSize'</f>
        <v>129</v>
      </c>
      <c r="K33">
        <f>[1]!'00892.TW-TotalVolume'</f>
        <v>6114</v>
      </c>
      <c r="L33">
        <f>[1]!'00892.TW-High'</f>
        <v>12.63</v>
      </c>
      <c r="M33">
        <f>[1]!'00892.TW-Low'</f>
        <v>12.46</v>
      </c>
      <c r="N33">
        <f>[1]!'00892.TW-Open'</f>
        <v>12.46</v>
      </c>
      <c r="O33" t="str">
        <f>[1]!'00892.TW-Beta'</f>
        <v>--</v>
      </c>
      <c r="P33" t="str">
        <f>[1]!'00892.TW-PERatio'</f>
        <v>--</v>
      </c>
      <c r="Q33" t="str">
        <f>[1]!'00892.TW-PBRatio'</f>
        <v>--</v>
      </c>
      <c r="R33" t="str">
        <f>[1]!'00892.TW-ROE'</f>
        <v>--</v>
      </c>
      <c r="S33" t="str">
        <f>[1]!'00892.TW-ReturnOnAssets'</f>
        <v>--</v>
      </c>
      <c r="T33" t="str">
        <f>[1]!'00892.TW-ProfitMargin'</f>
        <v>--</v>
      </c>
      <c r="U33" t="str">
        <f>[1]!'00892.TW-OperatingProfitRatio'</f>
        <v>--</v>
      </c>
      <c r="V33" t="str">
        <f>[1]!'00892.TW-NetProfitMargin'</f>
        <v>--</v>
      </c>
      <c r="W33" t="str">
        <f>[1]!'00892.TW-StockNetValue'</f>
        <v>--</v>
      </c>
      <c r="X33" t="str">
        <f>[1]!'00892.TW-Profit'</f>
        <v>--</v>
      </c>
      <c r="Y33" t="str">
        <f>[1]!'00892.TW-CurrentRatio'</f>
        <v>--</v>
      </c>
      <c r="Z33" t="str">
        <f>[1]!'00892.TW-QuickRatio'</f>
        <v>--</v>
      </c>
      <c r="AA33" t="str">
        <f>[1]!'00892.TW-LiabilityRatio'</f>
        <v>--</v>
      </c>
      <c r="AB33" t="str">
        <f>[1]!'00892.TW-TimesInterestEarne'</f>
        <v>--</v>
      </c>
      <c r="AC33" t="str">
        <f>[1]!'00892.TW-ReceivablesTurnoverRatio'</f>
        <v>--</v>
      </c>
      <c r="AD33" t="str">
        <f>[1]!'00892.TW-InventoryTurnoverRatio'</f>
        <v>--</v>
      </c>
      <c r="AE33" t="str">
        <f>[1]!'00892.TW-CashDividend'</f>
        <v>0.35</v>
      </c>
      <c r="AF33" t="str">
        <f>[1]!'00892.TW-StockDividend'</f>
        <v>--</v>
      </c>
      <c r="AG33">
        <f>[1]!'00892.TW-CashDividendYieldRate'</f>
        <v>4.5199999999999996</v>
      </c>
      <c r="AH33" t="str">
        <f>[1]!'00892.TW-ChipsField25'</f>
        <v>2022/11/16</v>
      </c>
      <c r="AI33" t="str">
        <f>[1]!'00892.TW-ChipsField26'</f>
        <v>2022/12/19</v>
      </c>
      <c r="AJ33" t="str">
        <f>[1]!'00892.TW-ChipsField27'</f>
        <v>--</v>
      </c>
      <c r="AK33" t="str">
        <f>[1]!'00892.TW-Beta'</f>
        <v>--</v>
      </c>
      <c r="AL33" t="str">
        <f>[1]!'00892.TW-Capital'</f>
        <v>--</v>
      </c>
      <c r="AM33" t="str">
        <f>[1]!'00892.TW-MarketValue'</f>
        <v>--</v>
      </c>
      <c r="AN33">
        <f>[1]!'00892.TW-ManagementPercent'</f>
        <v>0.79</v>
      </c>
    </row>
    <row r="34" spans="1:40" x14ac:dyDescent="0.3">
      <c r="A34" t="str">
        <f>[1]!'00894.TW-ID'</f>
        <v>00894</v>
      </c>
      <c r="B34" t="str">
        <f>[1]!'00894.TW-Name'</f>
        <v>中信小資高價30</v>
      </c>
      <c r="C34">
        <f>[1]!'00894.TW-Bid'</f>
        <v>14.37</v>
      </c>
      <c r="D34">
        <f>[1]!'00894.TW-Ask'</f>
        <v>14.38</v>
      </c>
      <c r="E34">
        <f>[1]!'00894.TW-Price'</f>
        <v>14.38</v>
      </c>
      <c r="F34">
        <f>[1]!'00894.TW-PriceChange'</f>
        <v>0.14000000000000001</v>
      </c>
      <c r="G34">
        <f>[1]!'00894.TW-PriceChangeRatio'</f>
        <v>0.98</v>
      </c>
      <c r="H34">
        <f>[1]!'00894.TW-Volume'</f>
        <v>40</v>
      </c>
      <c r="I34">
        <f>[1]!'00894.TW-BestBidSize'</f>
        <v>52</v>
      </c>
      <c r="J34">
        <f>[1]!'00894.TW-BestAskSize'</f>
        <v>31</v>
      </c>
      <c r="K34">
        <f>[1]!'00894.TW-TotalVolume'</f>
        <v>2075</v>
      </c>
      <c r="L34">
        <f>[1]!'00894.TW-High'</f>
        <v>14.39</v>
      </c>
      <c r="M34">
        <f>[1]!'00894.TW-Low'</f>
        <v>14.24</v>
      </c>
      <c r="N34">
        <f>[1]!'00894.TW-Open'</f>
        <v>14.24</v>
      </c>
      <c r="O34" t="str">
        <f>[1]!'00894.TW-Beta'</f>
        <v>--</v>
      </c>
      <c r="P34" t="str">
        <f>[1]!'00894.TW-PERatio'</f>
        <v>--</v>
      </c>
      <c r="Q34" t="str">
        <f>[1]!'00894.TW-PBRatio'</f>
        <v>--</v>
      </c>
      <c r="R34" t="str">
        <f>[1]!'00894.TW-ROE'</f>
        <v>--</v>
      </c>
      <c r="S34" t="str">
        <f>[1]!'00894.TW-ReturnOnAssets'</f>
        <v>--</v>
      </c>
      <c r="T34" t="str">
        <f>[1]!'00894.TW-ProfitMargin'</f>
        <v>--</v>
      </c>
      <c r="U34" t="str">
        <f>[1]!'00894.TW-OperatingProfitRatio'</f>
        <v>--</v>
      </c>
      <c r="V34" t="str">
        <f>[1]!'00894.TW-NetProfitMargin'</f>
        <v>--</v>
      </c>
      <c r="W34" t="str">
        <f>[1]!'00894.TW-StockNetValue'</f>
        <v>--</v>
      </c>
      <c r="X34" t="str">
        <f>[1]!'00894.TW-Profit'</f>
        <v>--</v>
      </c>
      <c r="Y34" t="str">
        <f>[1]!'00894.TW-CurrentRatio'</f>
        <v>--</v>
      </c>
      <c r="Z34" t="str">
        <f>[1]!'00894.TW-QuickRatio'</f>
        <v>--</v>
      </c>
      <c r="AA34" t="str">
        <f>[1]!'00894.TW-LiabilityRatio'</f>
        <v>--</v>
      </c>
      <c r="AB34" t="str">
        <f>[1]!'00894.TW-TimesInterestEarne'</f>
        <v>--</v>
      </c>
      <c r="AC34" t="str">
        <f>[1]!'00894.TW-ReceivablesTurnoverRatio'</f>
        <v>--</v>
      </c>
      <c r="AD34" t="str">
        <f>[1]!'00894.TW-InventoryTurnoverRatio'</f>
        <v>--</v>
      </c>
      <c r="AE34" t="str">
        <f>[1]!'00894.TW-CashDividend'</f>
        <v>0.10</v>
      </c>
      <c r="AF34" t="str">
        <f>[1]!'00894.TW-StockDividend'</f>
        <v>--</v>
      </c>
      <c r="AG34">
        <f>[1]!'00894.TW-CashDividendYieldRate'</f>
        <v>3.41</v>
      </c>
      <c r="AH34" t="str">
        <f>[1]!'00894.TW-ChipsField25'</f>
        <v>2023/05/17</v>
      </c>
      <c r="AI34" t="str">
        <f>[1]!'00894.TW-ChipsField26'</f>
        <v>2023/06/12</v>
      </c>
      <c r="AJ34" t="str">
        <f>[1]!'00894.TW-ChipsField27'</f>
        <v>--</v>
      </c>
      <c r="AK34" t="str">
        <f>[1]!'00894.TW-Beta'</f>
        <v>--</v>
      </c>
      <c r="AL34" t="str">
        <f>[1]!'00894.TW-Capital'</f>
        <v>--</v>
      </c>
      <c r="AM34" t="str">
        <f>[1]!'00894.TW-MarketValue'</f>
        <v>--</v>
      </c>
      <c r="AN34">
        <f>[1]!'00894.TW-ManagementPercent'</f>
        <v>0.66</v>
      </c>
    </row>
    <row r="35" spans="1:40" x14ac:dyDescent="0.3">
      <c r="A35" t="str">
        <f>[1]!'00900.TW-ID'</f>
        <v>00900</v>
      </c>
      <c r="B35" t="str">
        <f>[1]!'00900.TW-Name'</f>
        <v>富邦特選高股息30</v>
      </c>
      <c r="C35">
        <f>[1]!'00900.TW-Bid'</f>
        <v>12.07</v>
      </c>
      <c r="D35">
        <f>[1]!'00900.TW-Ask'</f>
        <v>12.08</v>
      </c>
      <c r="E35">
        <f>[1]!'00900.TW-Price'</f>
        <v>12.07</v>
      </c>
      <c r="F35">
        <f>[1]!'00900.TW-PriceChange'</f>
        <v>0.05</v>
      </c>
      <c r="G35">
        <f>[1]!'00900.TW-PriceChangeRatio'</f>
        <v>0.42</v>
      </c>
      <c r="H35">
        <f>[1]!'00900.TW-Volume'</f>
        <v>213</v>
      </c>
      <c r="I35">
        <f>[1]!'00900.TW-BestBidSize'</f>
        <v>445</v>
      </c>
      <c r="J35">
        <f>[1]!'00900.TW-BestAskSize'</f>
        <v>609</v>
      </c>
      <c r="K35">
        <f>[1]!'00900.TW-TotalVolume'</f>
        <v>10532</v>
      </c>
      <c r="L35">
        <f>[1]!'00900.TW-High'</f>
        <v>12.1</v>
      </c>
      <c r="M35">
        <f>[1]!'00900.TW-Low'</f>
        <v>12.04</v>
      </c>
      <c r="N35">
        <f>[1]!'00900.TW-Open'</f>
        <v>12.04</v>
      </c>
      <c r="O35" t="str">
        <f>[1]!'00900.TW-Beta'</f>
        <v>--</v>
      </c>
      <c r="P35" t="str">
        <f>[1]!'00900.TW-PERatio'</f>
        <v>--</v>
      </c>
      <c r="Q35" t="str">
        <f>[1]!'00900.TW-PBRatio'</f>
        <v>--</v>
      </c>
      <c r="R35" t="str">
        <f>[1]!'00900.TW-ROE'</f>
        <v>--</v>
      </c>
      <c r="S35" t="str">
        <f>[1]!'00900.TW-ReturnOnAssets'</f>
        <v>--</v>
      </c>
      <c r="T35" t="str">
        <f>[1]!'00900.TW-ProfitMargin'</f>
        <v>--</v>
      </c>
      <c r="U35" t="str">
        <f>[1]!'00900.TW-OperatingProfitRatio'</f>
        <v>--</v>
      </c>
      <c r="V35" t="str">
        <f>[1]!'00900.TW-NetProfitMargin'</f>
        <v>--</v>
      </c>
      <c r="W35" t="str">
        <f>[1]!'00900.TW-StockNetValue'</f>
        <v>--</v>
      </c>
      <c r="X35" t="str">
        <f>[1]!'00900.TW-Profit'</f>
        <v>--</v>
      </c>
      <c r="Y35" t="str">
        <f>[1]!'00900.TW-CurrentRatio'</f>
        <v>--</v>
      </c>
      <c r="Z35" t="str">
        <f>[1]!'00900.TW-QuickRatio'</f>
        <v>--</v>
      </c>
      <c r="AA35" t="str">
        <f>[1]!'00900.TW-LiabilityRatio'</f>
        <v>--</v>
      </c>
      <c r="AB35" t="str">
        <f>[1]!'00900.TW-TimesInterestEarne'</f>
        <v>--</v>
      </c>
      <c r="AC35" t="str">
        <f>[1]!'00900.TW-ReceivablesTurnoverRatio'</f>
        <v>--</v>
      </c>
      <c r="AD35" t="str">
        <f>[1]!'00900.TW-InventoryTurnoverRatio'</f>
        <v>--</v>
      </c>
      <c r="AE35" t="str">
        <f>[1]!'00900.TW-CashDividend'</f>
        <v>0.02</v>
      </c>
      <c r="AF35" t="str">
        <f>[1]!'00900.TW-StockDividend'</f>
        <v>--</v>
      </c>
      <c r="AG35">
        <f>[1]!'00900.TW-CashDividendYieldRate'</f>
        <v>12.34</v>
      </c>
      <c r="AH35" t="str">
        <f>[1]!'00900.TW-ChipsField25'</f>
        <v>2023/05/17</v>
      </c>
      <c r="AI35" t="str">
        <f>[1]!'00900.TW-ChipsField26'</f>
        <v>2023/06/12</v>
      </c>
      <c r="AJ35" t="str">
        <f>[1]!'00900.TW-ChipsField27'</f>
        <v>--</v>
      </c>
      <c r="AK35" t="str">
        <f>[1]!'00900.TW-Beta'</f>
        <v>--</v>
      </c>
      <c r="AL35" t="str">
        <f>[1]!'00900.TW-Capital'</f>
        <v>--</v>
      </c>
      <c r="AM35" t="str">
        <f>[1]!'00900.TW-MarketValue'</f>
        <v>--</v>
      </c>
      <c r="AN35">
        <f>[1]!'00900.TW-ManagementPercent'</f>
        <v>1.37</v>
      </c>
    </row>
    <row r="36" spans="1:40" x14ac:dyDescent="0.3">
      <c r="A36" t="str">
        <f>[1]!'00907.TW-ID'</f>
        <v>00907</v>
      </c>
      <c r="B36" t="str">
        <f>[1]!'00907.TW-Name'</f>
        <v>永豐優息存股</v>
      </c>
      <c r="C36">
        <f>[1]!'00907.TW-Bid'</f>
        <v>15.03</v>
      </c>
      <c r="D36">
        <f>[1]!'00907.TW-Ask'</f>
        <v>15.04</v>
      </c>
      <c r="E36">
        <f>[1]!'00907.TW-Price'</f>
        <v>15.03</v>
      </c>
      <c r="F36">
        <f>[1]!'00907.TW-PriceChange'</f>
        <v>7.0000000000000007E-2</v>
      </c>
      <c r="G36">
        <f>[1]!'00907.TW-PriceChangeRatio'</f>
        <v>0.47</v>
      </c>
      <c r="H36">
        <f>[1]!'00907.TW-Volume'</f>
        <v>44</v>
      </c>
      <c r="I36">
        <f>[1]!'00907.TW-BestBidSize'</f>
        <v>14</v>
      </c>
      <c r="J36">
        <f>[1]!'00907.TW-BestAskSize'</f>
        <v>70</v>
      </c>
      <c r="K36">
        <f>[1]!'00907.TW-TotalVolume'</f>
        <v>2917</v>
      </c>
      <c r="L36">
        <f>[1]!'00907.TW-High'</f>
        <v>15.03</v>
      </c>
      <c r="M36">
        <f>[1]!'00907.TW-Low'</f>
        <v>14.93</v>
      </c>
      <c r="N36">
        <f>[1]!'00907.TW-Open'</f>
        <v>14.93</v>
      </c>
      <c r="O36" t="str">
        <f>[1]!'00907.TW-Beta'</f>
        <v>--</v>
      </c>
      <c r="P36" t="str">
        <f>[1]!'00907.TW-PERatio'</f>
        <v>--</v>
      </c>
      <c r="Q36" t="str">
        <f>[1]!'00907.TW-PBRatio'</f>
        <v>--</v>
      </c>
      <c r="R36" t="str">
        <f>[1]!'00907.TW-ROE'</f>
        <v>--</v>
      </c>
      <c r="S36" t="str">
        <f>[1]!'00907.TW-ReturnOnAssets'</f>
        <v>--</v>
      </c>
      <c r="T36" t="str">
        <f>[1]!'00907.TW-ProfitMargin'</f>
        <v>--</v>
      </c>
      <c r="U36" t="str">
        <f>[1]!'00907.TW-OperatingProfitRatio'</f>
        <v>--</v>
      </c>
      <c r="V36" t="str">
        <f>[1]!'00907.TW-NetProfitMargin'</f>
        <v>--</v>
      </c>
      <c r="W36" t="str">
        <f>[1]!'00907.TW-StockNetValue'</f>
        <v>--</v>
      </c>
      <c r="X36" t="str">
        <f>[1]!'00907.TW-Profit'</f>
        <v>--</v>
      </c>
      <c r="Y36" t="str">
        <f>[1]!'00907.TW-CurrentRatio'</f>
        <v>--</v>
      </c>
      <c r="Z36" t="str">
        <f>[1]!'00907.TW-QuickRatio'</f>
        <v>--</v>
      </c>
      <c r="AA36" t="str">
        <f>[1]!'00907.TW-LiabilityRatio'</f>
        <v>--</v>
      </c>
      <c r="AB36" t="str">
        <f>[1]!'00907.TW-TimesInterestEarne'</f>
        <v>--</v>
      </c>
      <c r="AC36" t="str">
        <f>[1]!'00907.TW-ReceivablesTurnoverRatio'</f>
        <v>--</v>
      </c>
      <c r="AD36" t="str">
        <f>[1]!'00907.TW-InventoryTurnoverRatio'</f>
        <v>--</v>
      </c>
      <c r="AE36" t="str">
        <f>[1]!'00907.TW-CashDividend'</f>
        <v>0.07</v>
      </c>
      <c r="AF36" t="str">
        <f>[1]!'00907.TW-StockDividend'</f>
        <v>--</v>
      </c>
      <c r="AG36">
        <f>[1]!'00907.TW-CashDividendYieldRate'</f>
        <v>4.26</v>
      </c>
      <c r="AH36" t="str">
        <f>[1]!'00907.TW-ChipsField25'</f>
        <v>2023/06/16</v>
      </c>
      <c r="AI36" t="str">
        <f>[1]!'00907.TW-ChipsField26'</f>
        <v>2023/07/14</v>
      </c>
      <c r="AJ36" t="str">
        <f>[1]!'00907.TW-ChipsField27'</f>
        <v>--</v>
      </c>
      <c r="AK36" t="str">
        <f>[1]!'00907.TW-Beta'</f>
        <v>--</v>
      </c>
      <c r="AL36" t="str">
        <f>[1]!'00907.TW-Capital'</f>
        <v>--</v>
      </c>
      <c r="AM36" t="str">
        <f>[1]!'00907.TW-MarketValue'</f>
        <v>--</v>
      </c>
      <c r="AN36" t="str">
        <f>[1]!'00907.TW-ManagementPercent'</f>
        <v>--</v>
      </c>
    </row>
    <row r="37" spans="1:40" x14ac:dyDescent="0.3">
      <c r="A37" t="str">
        <f>[1]!'00771.TW-ID'</f>
        <v>00771</v>
      </c>
      <c r="B37" t="str">
        <f>[1]!'00771.TW-Name'</f>
        <v>元大US高息特別股</v>
      </c>
      <c r="C37">
        <f>[1]!'00771.TW-Bid'</f>
        <v>15.92</v>
      </c>
      <c r="D37">
        <f>[1]!'00771.TW-Ask'</f>
        <v>15.95</v>
      </c>
      <c r="E37">
        <f>[1]!'00771.TW-Price'</f>
        <v>15.93</v>
      </c>
      <c r="F37">
        <f>[1]!'00771.TW-PriceChange'</f>
        <v>0.01</v>
      </c>
      <c r="G37">
        <f>[1]!'00771.TW-PriceChangeRatio'</f>
        <v>0.06</v>
      </c>
      <c r="H37">
        <f>[1]!'00771.TW-Volume'</f>
        <v>2</v>
      </c>
      <c r="I37">
        <f>[1]!'00771.TW-BestBidSize'</f>
        <v>5</v>
      </c>
      <c r="J37">
        <f>[1]!'00771.TW-BestAskSize'</f>
        <v>2</v>
      </c>
      <c r="K37">
        <f>[1]!'00771.TW-TotalVolume'</f>
        <v>23</v>
      </c>
      <c r="L37">
        <f>[1]!'00771.TW-High'</f>
        <v>15.95</v>
      </c>
      <c r="M37">
        <f>[1]!'00771.TW-Low'</f>
        <v>15.92</v>
      </c>
      <c r="N37">
        <f>[1]!'00771.TW-Open'</f>
        <v>15.92</v>
      </c>
      <c r="O37" t="str">
        <f>[1]!'00771.TW-Beta'</f>
        <v>--</v>
      </c>
      <c r="P37" t="str">
        <f>[1]!'00771.TW-PERatio'</f>
        <v>--</v>
      </c>
      <c r="Q37" t="str">
        <f>[1]!'00771.TW-PBRatio'</f>
        <v>--</v>
      </c>
      <c r="R37" t="str">
        <f>[1]!'00771.TW-ROE'</f>
        <v>--</v>
      </c>
      <c r="S37" t="str">
        <f>[1]!'00771.TW-ReturnOnAssets'</f>
        <v>--</v>
      </c>
      <c r="T37" t="str">
        <f>[1]!'00771.TW-ProfitMargin'</f>
        <v>--</v>
      </c>
      <c r="U37" t="str">
        <f>[1]!'00771.TW-OperatingProfitRatio'</f>
        <v>--</v>
      </c>
      <c r="V37" t="str">
        <f>[1]!'00771.TW-NetProfitMargin'</f>
        <v>--</v>
      </c>
      <c r="W37" t="str">
        <f>[1]!'00771.TW-StockNetValue'</f>
        <v>--</v>
      </c>
      <c r="X37" t="str">
        <f>[1]!'00771.TW-Profit'</f>
        <v>--</v>
      </c>
      <c r="Y37" t="str">
        <f>[1]!'00771.TW-CurrentRatio'</f>
        <v>--</v>
      </c>
      <c r="Z37" t="str">
        <f>[1]!'00771.TW-QuickRatio'</f>
        <v>--</v>
      </c>
      <c r="AA37" t="str">
        <f>[1]!'00771.TW-LiabilityRatio'</f>
        <v>--</v>
      </c>
      <c r="AB37" t="str">
        <f>[1]!'00771.TW-TimesInterestEarne'</f>
        <v>--</v>
      </c>
      <c r="AC37" t="str">
        <f>[1]!'00771.TW-ReceivablesTurnoverRatio'</f>
        <v>--</v>
      </c>
      <c r="AD37" t="str">
        <f>[1]!'00771.TW-InventoryTurnoverRatio'</f>
        <v>--</v>
      </c>
      <c r="AE37" t="str">
        <f>[1]!'00771.TW-CashDividend'</f>
        <v>0.18</v>
      </c>
      <c r="AF37" t="str">
        <f>[1]!'00771.TW-StockDividend'</f>
        <v>--</v>
      </c>
      <c r="AG37">
        <f>[1]!'00771.TW-CashDividendYieldRate'</f>
        <v>4.46</v>
      </c>
      <c r="AH37" t="str">
        <f>[1]!'00771.TW-ChipsField25'</f>
        <v>2023/05/17</v>
      </c>
      <c r="AI37" t="str">
        <f>[1]!'00771.TW-ChipsField26'</f>
        <v>2023/06/15</v>
      </c>
      <c r="AJ37" t="str">
        <f>[1]!'00771.TW-ChipsField27'</f>
        <v>--</v>
      </c>
      <c r="AK37" t="str">
        <f>[1]!'00771.TW-Beta'</f>
        <v>--</v>
      </c>
      <c r="AL37" t="str">
        <f>[1]!'00771.TW-Capital'</f>
        <v>--</v>
      </c>
      <c r="AM37" t="str">
        <f>[1]!'00771.TW-MarketValue'</f>
        <v>--</v>
      </c>
      <c r="AN37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2023-06-18T14:37:42Z</dcterms:modified>
</cp:coreProperties>
</file>