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zi\Downloads\"/>
    </mc:Choice>
  </mc:AlternateContent>
  <xr:revisionPtr revIDLastSave="0" documentId="13_ncr:1_{0D6CFC99-D1F8-4F0A-90F1-CEF4B2276D5C}" xr6:coauthVersionLast="47" xr6:coauthVersionMax="47" xr10:uidLastSave="{00000000-0000-0000-0000-000000000000}"/>
  <bookViews>
    <workbookView xWindow="12690" yWindow="0" windowWidth="13020" windowHeight="20985" xr2:uid="{D8E322B6-18D6-473C-BD8B-407B676596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D6" i="1"/>
  <c r="D8" i="1"/>
  <c r="D10" i="1" l="1"/>
  <c r="D9" i="1"/>
  <c r="D7" i="1"/>
  <c r="D5" i="1"/>
  <c r="A25" i="1"/>
  <c r="A26" i="1" s="1"/>
  <c r="B24" i="1"/>
  <c r="E24" i="1" s="1"/>
  <c r="E15" i="1"/>
  <c r="D14" i="1"/>
  <c r="E14" i="1" s="1"/>
  <c r="D15" i="1"/>
  <c r="D16" i="1"/>
  <c r="E16" i="1" s="1"/>
  <c r="D17" i="1"/>
  <c r="E17" i="1" s="1"/>
  <c r="D13" i="1"/>
  <c r="E13" i="1" s="1"/>
  <c r="C10" i="1"/>
  <c r="C9" i="1"/>
  <c r="C8" i="1"/>
  <c r="C7" i="1"/>
  <c r="C6" i="1"/>
  <c r="C5" i="1"/>
  <c r="L19" i="1"/>
  <c r="L18" i="1"/>
  <c r="L17" i="1"/>
  <c r="L16" i="1"/>
  <c r="L15" i="1"/>
  <c r="L14" i="1"/>
  <c r="O14" i="1"/>
  <c r="P14" i="1" s="1"/>
  <c r="Q14" i="1" s="1"/>
  <c r="N15" i="1"/>
  <c r="O15" i="1" s="1"/>
  <c r="A27" i="1" l="1"/>
  <c r="B26" i="1"/>
  <c r="B25" i="1"/>
  <c r="D24" i="1"/>
  <c r="P15" i="1"/>
  <c r="Q15" i="1" s="1"/>
  <c r="R15" i="1"/>
  <c r="N16" i="1"/>
  <c r="R14" i="1"/>
  <c r="R9" i="1"/>
  <c r="R5" i="1"/>
  <c r="Q6" i="1"/>
  <c r="R6" i="1" s="1"/>
  <c r="Q7" i="1"/>
  <c r="R7" i="1" s="1"/>
  <c r="Z6" i="1" s="1"/>
  <c r="Q8" i="1"/>
  <c r="R8" i="1" s="1"/>
  <c r="Q9" i="1"/>
  <c r="Q5" i="1"/>
  <c r="L8" i="1"/>
  <c r="E25" i="1" l="1"/>
  <c r="D25" i="1"/>
  <c r="E26" i="1"/>
  <c r="D26" i="1"/>
  <c r="B27" i="1"/>
  <c r="A28" i="1"/>
  <c r="O16" i="1"/>
  <c r="N17" i="1"/>
  <c r="A29" i="1" l="1"/>
  <c r="B28" i="1"/>
  <c r="E27" i="1"/>
  <c r="D27" i="1"/>
  <c r="N18" i="1"/>
  <c r="O17" i="1"/>
  <c r="P16" i="1"/>
  <c r="Q16" i="1" s="1"/>
  <c r="R16" i="1"/>
  <c r="D28" i="1" l="1"/>
  <c r="E28" i="1"/>
  <c r="A30" i="1"/>
  <c r="B29" i="1"/>
  <c r="P17" i="1"/>
  <c r="Q17" i="1" s="1"/>
  <c r="R17" i="1"/>
  <c r="N19" i="1"/>
  <c r="O18" i="1"/>
  <c r="A31" i="1" l="1"/>
  <c r="B30" i="1"/>
  <c r="D29" i="1"/>
  <c r="E29" i="1"/>
  <c r="P18" i="1"/>
  <c r="Q18" i="1" s="1"/>
  <c r="R18" i="1"/>
  <c r="N20" i="1"/>
  <c r="O19" i="1"/>
  <c r="D30" i="1" l="1"/>
  <c r="E30" i="1"/>
  <c r="A32" i="1"/>
  <c r="B31" i="1"/>
  <c r="R19" i="1"/>
  <c r="P19" i="1"/>
  <c r="Q19" i="1" s="1"/>
  <c r="N21" i="1"/>
  <c r="O20" i="1"/>
  <c r="D31" i="1" l="1"/>
  <c r="E31" i="1"/>
  <c r="B32" i="1"/>
  <c r="A33" i="1"/>
  <c r="N22" i="1"/>
  <c r="O21" i="1"/>
  <c r="P20" i="1"/>
  <c r="Q20" i="1" s="1"/>
  <c r="R20" i="1"/>
  <c r="A34" i="1" l="1"/>
  <c r="B33" i="1"/>
  <c r="E32" i="1"/>
  <c r="D32" i="1"/>
  <c r="P21" i="1"/>
  <c r="Q21" i="1" s="1"/>
  <c r="R21" i="1"/>
  <c r="N23" i="1"/>
  <c r="O22" i="1"/>
  <c r="D33" i="1" l="1"/>
  <c r="E33" i="1"/>
  <c r="B34" i="1"/>
  <c r="A35" i="1"/>
  <c r="P22" i="1"/>
  <c r="Q22" i="1" s="1"/>
  <c r="R22" i="1"/>
  <c r="N24" i="1"/>
  <c r="O23" i="1"/>
  <c r="A36" i="1" l="1"/>
  <c r="B35" i="1"/>
  <c r="D34" i="1"/>
  <c r="E34" i="1"/>
  <c r="N25" i="1"/>
  <c r="O24" i="1"/>
  <c r="P23" i="1"/>
  <c r="Q23" i="1" s="1"/>
  <c r="R23" i="1"/>
  <c r="E35" i="1" l="1"/>
  <c r="D35" i="1"/>
  <c r="B36" i="1"/>
  <c r="A37" i="1"/>
  <c r="P24" i="1"/>
  <c r="Q24" i="1" s="1"/>
  <c r="R24" i="1"/>
  <c r="N26" i="1"/>
  <c r="O25" i="1"/>
  <c r="A38" i="1" l="1"/>
  <c r="B37" i="1"/>
  <c r="E36" i="1"/>
  <c r="D36" i="1"/>
  <c r="N27" i="1"/>
  <c r="O26" i="1"/>
  <c r="P25" i="1"/>
  <c r="Q25" i="1" s="1"/>
  <c r="R25" i="1"/>
  <c r="D37" i="1" l="1"/>
  <c r="E37" i="1"/>
  <c r="A39" i="1"/>
  <c r="B38" i="1"/>
  <c r="P26" i="1"/>
  <c r="Q26" i="1" s="1"/>
  <c r="R26" i="1"/>
  <c r="N28" i="1"/>
  <c r="O27" i="1"/>
  <c r="E38" i="1" l="1"/>
  <c r="D38" i="1"/>
  <c r="B39" i="1"/>
  <c r="A40" i="1"/>
  <c r="P27" i="1"/>
  <c r="Q27" i="1" s="1"/>
  <c r="R27" i="1"/>
  <c r="O28" i="1"/>
  <c r="N29" i="1"/>
  <c r="B40" i="1" l="1"/>
  <c r="A41" i="1"/>
  <c r="E39" i="1"/>
  <c r="D39" i="1"/>
  <c r="P28" i="1"/>
  <c r="Q28" i="1" s="1"/>
  <c r="R28" i="1"/>
  <c r="O29" i="1"/>
  <c r="N30" i="1"/>
  <c r="B41" i="1" l="1"/>
  <c r="A42" i="1"/>
  <c r="E40" i="1"/>
  <c r="D40" i="1"/>
  <c r="N31" i="1"/>
  <c r="O30" i="1"/>
  <c r="P29" i="1"/>
  <c r="Q29" i="1" s="1"/>
  <c r="R29" i="1"/>
  <c r="A43" i="1" l="1"/>
  <c r="B42" i="1"/>
  <c r="E41" i="1"/>
  <c r="D41" i="1"/>
  <c r="P30" i="1"/>
  <c r="Q30" i="1" s="1"/>
  <c r="R30" i="1"/>
  <c r="N32" i="1"/>
  <c r="O31" i="1"/>
  <c r="E42" i="1" l="1"/>
  <c r="D42" i="1"/>
  <c r="A44" i="1"/>
  <c r="B43" i="1"/>
  <c r="P31" i="1"/>
  <c r="Q31" i="1" s="1"/>
  <c r="R31" i="1"/>
  <c r="N33" i="1"/>
  <c r="O32" i="1"/>
  <c r="E43" i="1" l="1"/>
  <c r="D43" i="1"/>
  <c r="A45" i="1"/>
  <c r="B44" i="1"/>
  <c r="P32" i="1"/>
  <c r="Q32" i="1" s="1"/>
  <c r="R32" i="1"/>
  <c r="O33" i="1"/>
  <c r="N34" i="1"/>
  <c r="E44" i="1" l="1"/>
  <c r="D44" i="1"/>
  <c r="A46" i="1"/>
  <c r="B45" i="1"/>
  <c r="O34" i="1"/>
  <c r="N35" i="1"/>
  <c r="R33" i="1"/>
  <c r="P33" i="1"/>
  <c r="Q33" i="1" s="1"/>
  <c r="E45" i="1" l="1"/>
  <c r="D45" i="1"/>
  <c r="B46" i="1"/>
  <c r="A47" i="1"/>
  <c r="O35" i="1"/>
  <c r="N36" i="1"/>
  <c r="P34" i="1"/>
  <c r="Q34" i="1" s="1"/>
  <c r="R34" i="1"/>
  <c r="A48" i="1" l="1"/>
  <c r="B48" i="1" s="1"/>
  <c r="B47" i="1"/>
  <c r="D46" i="1"/>
  <c r="E46" i="1"/>
  <c r="O36" i="1"/>
  <c r="N37" i="1"/>
  <c r="P35" i="1"/>
  <c r="Q35" i="1" s="1"/>
  <c r="R35" i="1"/>
  <c r="D47" i="1" l="1"/>
  <c r="E47" i="1"/>
  <c r="E48" i="1"/>
  <c r="D48" i="1"/>
  <c r="N38" i="1"/>
  <c r="O38" i="1" s="1"/>
  <c r="O37" i="1"/>
  <c r="P36" i="1"/>
  <c r="Q36" i="1" s="1"/>
  <c r="R36" i="1"/>
  <c r="P37" i="1" l="1"/>
  <c r="Q37" i="1" s="1"/>
  <c r="R37" i="1"/>
  <c r="P38" i="1"/>
  <c r="Q38" i="1" s="1"/>
  <c r="R38" i="1"/>
</calcChain>
</file>

<file path=xl/sharedStrings.xml><?xml version="1.0" encoding="utf-8"?>
<sst xmlns="http://schemas.openxmlformats.org/spreadsheetml/2006/main" count="85" uniqueCount="47">
  <si>
    <t>Band Pass Filter</t>
  </si>
  <si>
    <t>Component</t>
  </si>
  <si>
    <t>Value</t>
  </si>
  <si>
    <t>Measured Value</t>
  </si>
  <si>
    <t>Rf</t>
  </si>
  <si>
    <t>Cf</t>
  </si>
  <si>
    <t>Ri</t>
  </si>
  <si>
    <t>Ci</t>
  </si>
  <si>
    <t>R2</t>
  </si>
  <si>
    <t>0.01 uF</t>
  </si>
  <si>
    <t>3.3 Mohm</t>
  </si>
  <si>
    <t>150kohm</t>
  </si>
  <si>
    <t>1 uF</t>
  </si>
  <si>
    <t>4.7 kohm</t>
  </si>
  <si>
    <t>Frequency</t>
  </si>
  <si>
    <t>Vin (vpp)</t>
  </si>
  <si>
    <t>Vout (Vpp)</t>
  </si>
  <si>
    <t>Gain</t>
  </si>
  <si>
    <t>Gain (db)</t>
  </si>
  <si>
    <t>Time Div</t>
  </si>
  <si>
    <t>Sec/Div</t>
  </si>
  <si>
    <t>Phase</t>
  </si>
  <si>
    <t>250us</t>
  </si>
  <si>
    <t>1ms</t>
  </si>
  <si>
    <t>500ms</t>
  </si>
  <si>
    <t>Stage 2</t>
  </si>
  <si>
    <t>CMRR</t>
  </si>
  <si>
    <t>gain after stage 2</t>
  </si>
  <si>
    <t>250ms</t>
  </si>
  <si>
    <t>5ms</t>
  </si>
  <si>
    <t>500us</t>
  </si>
  <si>
    <t>Expected Gain</t>
  </si>
  <si>
    <t>Gain (-)</t>
  </si>
  <si>
    <t>Gain (+)</t>
  </si>
  <si>
    <t>Common Mode Gain</t>
  </si>
  <si>
    <t>Theoretical Data</t>
  </si>
  <si>
    <t>Frequency (w)</t>
  </si>
  <si>
    <t>Gain (dB)</t>
  </si>
  <si>
    <t>Rg</t>
  </si>
  <si>
    <t>Common Mode Voltage</t>
  </si>
  <si>
    <t>70mV</t>
  </si>
  <si>
    <t>3 Stage</t>
  </si>
  <si>
    <t>A</t>
  </si>
  <si>
    <t>C</t>
  </si>
  <si>
    <t>E</t>
  </si>
  <si>
    <t>x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</si>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</sst>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.000000_);_(* \(#,##0.0000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 applyAlignment="1">
      <alignment wrapText="1"/>
    </xf>
    <xf numFmtId="0" fontId="1" fillId="2" borderId="4" xfId="0" applyFont="1" applyFill="1" applyBorder="1"/>
    <xf numFmtId="0" fontId="0" fillId="0" borderId="4" xfId="0" applyBorder="1"/>
    <xf numFmtId="0" fontId="1" fillId="2" borderId="1" xfId="0" applyFont="1" applyFill="1" applyBorder="1"/>
    <xf numFmtId="0" fontId="1" fillId="2" borderId="12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5.0925925925925923E-2"/>
          <c:w val="0.8288488626421697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Experimental Gain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Sheet1!$N$5:$N$9</c:f>
              <c:numCache>
                <c:formatCode>General</c:formatCode>
                <c:ptCount val="5"/>
                <c:pt idx="0">
                  <c:v>0.1</c:v>
                </c:pt>
                <c:pt idx="1">
                  <c:v>10</c:v>
                </c:pt>
                <c:pt idx="2">
                  <c:v>30</c:v>
                </c:pt>
                <c:pt idx="3">
                  <c:v>100</c:v>
                </c:pt>
                <c:pt idx="4">
                  <c:v>300</c:v>
                </c:pt>
              </c:numCache>
            </c:numRef>
          </c:xVal>
          <c:yVal>
            <c:numRef>
              <c:f>Sheet1!$R$5:$R$9</c:f>
              <c:numCache>
                <c:formatCode>General</c:formatCode>
                <c:ptCount val="5"/>
                <c:pt idx="0">
                  <c:v>57.616271845615827</c:v>
                </c:pt>
                <c:pt idx="1">
                  <c:v>58.588378514285857</c:v>
                </c:pt>
                <c:pt idx="2">
                  <c:v>58.329078970998502</c:v>
                </c:pt>
                <c:pt idx="3">
                  <c:v>55.56302500767287</c:v>
                </c:pt>
                <c:pt idx="4">
                  <c:v>48.943160626844389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D-4965-BE0A-BBB3266C85BE}"/>
            </c:ext>
          </c:extLst>
        </c:ser>
        <c:ser>
          <c:idx val="1"/>
          <c:order val="1"/>
          <c:tx>
            <c:v>Theoretical Gain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Sheet1!$N$14:$N$38</c:f>
              <c:numCache>
                <c:formatCode>General</c:formatCode>
                <c:ptCount val="25"/>
                <c:pt idx="0">
                  <c:v>0.1</c:v>
                </c:pt>
                <c:pt idx="1">
                  <c:v>0.13999999999999999</c:v>
                </c:pt>
                <c:pt idx="2">
                  <c:v>0.19599999999999998</c:v>
                </c:pt>
                <c:pt idx="3">
                  <c:v>0.27439999999999998</c:v>
                </c:pt>
                <c:pt idx="4">
                  <c:v>0.38415999999999995</c:v>
                </c:pt>
                <c:pt idx="5">
                  <c:v>0.53782399999999986</c:v>
                </c:pt>
                <c:pt idx="6">
                  <c:v>0.75295359999999978</c:v>
                </c:pt>
                <c:pt idx="7">
                  <c:v>1.0541350399999996</c:v>
                </c:pt>
                <c:pt idx="8">
                  <c:v>1.4757890559999993</c:v>
                </c:pt>
                <c:pt idx="9">
                  <c:v>2.066104678399999</c:v>
                </c:pt>
                <c:pt idx="10">
                  <c:v>2.8925465497599983</c:v>
                </c:pt>
                <c:pt idx="11">
                  <c:v>4.0495651696639969</c:v>
                </c:pt>
                <c:pt idx="12">
                  <c:v>5.6693912375295952</c:v>
                </c:pt>
                <c:pt idx="13">
                  <c:v>7.9371477325414324</c:v>
                </c:pt>
                <c:pt idx="14">
                  <c:v>11.112006825558005</c:v>
                </c:pt>
                <c:pt idx="15">
                  <c:v>15.556809555781205</c:v>
                </c:pt>
                <c:pt idx="16">
                  <c:v>21.779533378093685</c:v>
                </c:pt>
                <c:pt idx="17">
                  <c:v>30.491346729331156</c:v>
                </c:pt>
                <c:pt idx="18">
                  <c:v>42.687885421063612</c:v>
                </c:pt>
                <c:pt idx="19">
                  <c:v>59.763039589489054</c:v>
                </c:pt>
                <c:pt idx="20">
                  <c:v>83.66825542528467</c:v>
                </c:pt>
                <c:pt idx="21">
                  <c:v>117.13555759539852</c:v>
                </c:pt>
                <c:pt idx="22">
                  <c:v>163.98978063355793</c:v>
                </c:pt>
                <c:pt idx="23">
                  <c:v>229.58569288698109</c:v>
                </c:pt>
                <c:pt idx="24">
                  <c:v>321.41997004177352</c:v>
                </c:pt>
              </c:numCache>
            </c:numRef>
          </c:xVal>
          <c:yVal>
            <c:numRef>
              <c:f>Sheet1!$Q$14:$Q$38</c:f>
              <c:numCache>
                <c:formatCode>General</c:formatCode>
                <c:ptCount val="25"/>
                <c:pt idx="0">
                  <c:v>57.666866894026853</c:v>
                </c:pt>
                <c:pt idx="1">
                  <c:v>58.042551283006233</c:v>
                </c:pt>
                <c:pt idx="2">
                  <c:v>58.247518661263868</c:v>
                </c:pt>
                <c:pt idx="3">
                  <c:v>58.355933400808439</c:v>
                </c:pt>
                <c:pt idx="4">
                  <c:v>58.412288227087984</c:v>
                </c:pt>
                <c:pt idx="5">
                  <c:v>58.441286791385522</c:v>
                </c:pt>
                <c:pt idx="6">
                  <c:v>58.456081962039654</c:v>
                </c:pt>
                <c:pt idx="7">
                  <c:v>58.463502829306861</c:v>
                </c:pt>
                <c:pt idx="8">
                  <c:v>58.467005221785243</c:v>
                </c:pt>
                <c:pt idx="9">
                  <c:v>58.468227304487932</c:v>
                </c:pt>
                <c:pt idx="10">
                  <c:v>58.467741759497898</c:v>
                </c:pt>
                <c:pt idx="11">
                  <c:v>58.465320990490923</c:v>
                </c:pt>
                <c:pt idx="12">
                  <c:v>58.459831590456204</c:v>
                </c:pt>
                <c:pt idx="13">
                  <c:v>58.448711539393265</c:v>
                </c:pt>
                <c:pt idx="14">
                  <c:v>58.426805260858671</c:v>
                </c:pt>
                <c:pt idx="15">
                  <c:v>58.384089750212112</c:v>
                </c:pt>
                <c:pt idx="16">
                  <c:v>58.301520070222359</c:v>
                </c:pt>
                <c:pt idx="17">
                  <c:v>58.144084208728898</c:v>
                </c:pt>
                <c:pt idx="18">
                  <c:v>57.851159818031292</c:v>
                </c:pt>
                <c:pt idx="19">
                  <c:v>57.328784008224062</c:v>
                </c:pt>
                <c:pt idx="20">
                  <c:v>56.457940680868091</c:v>
                </c:pt>
                <c:pt idx="21">
                  <c:v>55.135850884283201</c:v>
                </c:pt>
                <c:pt idx="22">
                  <c:v>53.335698663338192</c:v>
                </c:pt>
                <c:pt idx="23">
                  <c:v>51.126540921974843</c:v>
                </c:pt>
                <c:pt idx="24">
                  <c:v>48.629931534990476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7D-4965-BE0A-BBB3266C8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674959"/>
        <c:axId val="1535898543"/>
      </c:scatterChart>
      <c:valAx>
        <c:axId val="1761674959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898543"/>
        <c:crosses val="autoZero"/>
        <c:crossBetween val="midCat"/>
      </c:valAx>
      <c:valAx>
        <c:axId val="1535898543"/>
        <c:scaling>
          <c:orientation val="minMax"/>
          <c:min val="4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674959"/>
        <c:crossesAt val="0.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466601049868771"/>
          <c:y val="4.2244823563721209E-2"/>
          <c:w val="0.2703339895013123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13670166229222"/>
          <c:y val="5.0925925925925923E-2"/>
          <c:w val="0.8242377515310586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Experimental Phase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Sheet1!$N$5:$N$9</c:f>
              <c:numCache>
                <c:formatCode>General</c:formatCode>
                <c:ptCount val="5"/>
                <c:pt idx="0">
                  <c:v>0.1</c:v>
                </c:pt>
                <c:pt idx="1">
                  <c:v>10</c:v>
                </c:pt>
                <c:pt idx="2">
                  <c:v>30</c:v>
                </c:pt>
                <c:pt idx="3">
                  <c:v>100</c:v>
                </c:pt>
                <c:pt idx="4">
                  <c:v>300</c:v>
                </c:pt>
              </c:numCache>
            </c:numRef>
          </c:xVal>
          <c:yVal>
            <c:numRef>
              <c:f>Sheet1!$U$5:$U$9</c:f>
              <c:numCache>
                <c:formatCode>General</c:formatCode>
                <c:ptCount val="5"/>
                <c:pt idx="0">
                  <c:v>27</c:v>
                </c:pt>
                <c:pt idx="1">
                  <c:v>0</c:v>
                </c:pt>
                <c:pt idx="2">
                  <c:v>-10.8</c:v>
                </c:pt>
                <c:pt idx="3">
                  <c:v>-36</c:v>
                </c:pt>
                <c:pt idx="4">
                  <c:v>-67.5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5-430C-9084-561FEC625E08}"/>
            </c:ext>
          </c:extLst>
        </c:ser>
        <c:ser>
          <c:idx val="1"/>
          <c:order val="1"/>
          <c:tx>
            <c:v>Theoretical Phase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Sheet1!$N$14:$N$38</c:f>
              <c:numCache>
                <c:formatCode>General</c:formatCode>
                <c:ptCount val="25"/>
                <c:pt idx="0">
                  <c:v>0.1</c:v>
                </c:pt>
                <c:pt idx="1">
                  <c:v>0.13999999999999999</c:v>
                </c:pt>
                <c:pt idx="2">
                  <c:v>0.19599999999999998</c:v>
                </c:pt>
                <c:pt idx="3">
                  <c:v>0.27439999999999998</c:v>
                </c:pt>
                <c:pt idx="4">
                  <c:v>0.38415999999999995</c:v>
                </c:pt>
                <c:pt idx="5">
                  <c:v>0.53782399999999986</c:v>
                </c:pt>
                <c:pt idx="6">
                  <c:v>0.75295359999999978</c:v>
                </c:pt>
                <c:pt idx="7">
                  <c:v>1.0541350399999996</c:v>
                </c:pt>
                <c:pt idx="8">
                  <c:v>1.4757890559999993</c:v>
                </c:pt>
                <c:pt idx="9">
                  <c:v>2.066104678399999</c:v>
                </c:pt>
                <c:pt idx="10">
                  <c:v>2.8925465497599983</c:v>
                </c:pt>
                <c:pt idx="11">
                  <c:v>4.0495651696639969</c:v>
                </c:pt>
                <c:pt idx="12">
                  <c:v>5.6693912375295952</c:v>
                </c:pt>
                <c:pt idx="13">
                  <c:v>7.9371477325414324</c:v>
                </c:pt>
                <c:pt idx="14">
                  <c:v>11.112006825558005</c:v>
                </c:pt>
                <c:pt idx="15">
                  <c:v>15.556809555781205</c:v>
                </c:pt>
                <c:pt idx="16">
                  <c:v>21.779533378093685</c:v>
                </c:pt>
                <c:pt idx="17">
                  <c:v>30.491346729331156</c:v>
                </c:pt>
                <c:pt idx="18">
                  <c:v>42.687885421063612</c:v>
                </c:pt>
                <c:pt idx="19">
                  <c:v>59.763039589489054</c:v>
                </c:pt>
                <c:pt idx="20">
                  <c:v>83.66825542528467</c:v>
                </c:pt>
                <c:pt idx="21">
                  <c:v>117.13555759539852</c:v>
                </c:pt>
                <c:pt idx="22">
                  <c:v>163.98978063355793</c:v>
                </c:pt>
                <c:pt idx="23">
                  <c:v>229.58569288698109</c:v>
                </c:pt>
                <c:pt idx="24">
                  <c:v>321.41997004177352</c:v>
                </c:pt>
              </c:numCache>
            </c:numRef>
          </c:xVal>
          <c:yVal>
            <c:numRef>
              <c:f>Sheet1!$R$14:$R$38</c:f>
              <c:numCache>
                <c:formatCode>General</c:formatCode>
                <c:ptCount val="25"/>
                <c:pt idx="0">
                  <c:v>24.237305728379692</c:v>
                </c:pt>
                <c:pt idx="1">
                  <c:v>17.794617163155671</c:v>
                </c:pt>
                <c:pt idx="2">
                  <c:v>12.86583623706022</c:v>
                </c:pt>
                <c:pt idx="3">
                  <c:v>9.1990806542386458</c:v>
                </c:pt>
                <c:pt idx="4">
                  <c:v>6.5037346109115468</c:v>
                </c:pt>
                <c:pt idx="5">
                  <c:v>4.5217592123678223</c:v>
                </c:pt>
                <c:pt idx="6">
                  <c:v>3.0455047352621492</c:v>
                </c:pt>
                <c:pt idx="7">
                  <c:v>1.9132570496858614</c:v>
                </c:pt>
                <c:pt idx="8">
                  <c:v>0.99820058605109596</c:v>
                </c:pt>
                <c:pt idx="9">
                  <c:v>0.19672967612587566</c:v>
                </c:pt>
                <c:pt idx="10">
                  <c:v>-0.5823257383134619</c:v>
                </c:pt>
                <c:pt idx="11">
                  <c:v>-1.4276489601219353</c:v>
                </c:pt>
                <c:pt idx="12">
                  <c:v>-2.4351834796628338</c:v>
                </c:pt>
                <c:pt idx="13">
                  <c:v>-3.7183666326115246</c:v>
                </c:pt>
                <c:pt idx="14">
                  <c:v>-5.4192288591740656</c:v>
                </c:pt>
                <c:pt idx="15">
                  <c:v>-7.7196636738062061</c:v>
                </c:pt>
                <c:pt idx="16">
                  <c:v>-10.84919401452564</c:v>
                </c:pt>
                <c:pt idx="17">
                  <c:v>-15.078379407249527</c:v>
                </c:pt>
                <c:pt idx="18">
                  <c:v>-20.67332300053625</c:v>
                </c:pt>
                <c:pt idx="19">
                  <c:v>-27.773581283473916</c:v>
                </c:pt>
                <c:pt idx="20">
                  <c:v>-36.184680137054819</c:v>
                </c:pt>
                <c:pt idx="21">
                  <c:v>-45.212669769055431</c:v>
                </c:pt>
                <c:pt idx="22">
                  <c:v>-53.799346777022883</c:v>
                </c:pt>
                <c:pt idx="23">
                  <c:v>-60.970395359393379</c:v>
                </c:pt>
                <c:pt idx="24">
                  <c:v>-66.17681038648179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65-430C-9084-561FEC625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42367"/>
        <c:axId val="119142847"/>
      </c:scatterChart>
      <c:valAx>
        <c:axId val="119142367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42847"/>
        <c:crossesAt val="-80"/>
        <c:crossBetween val="midCat"/>
      </c:valAx>
      <c:valAx>
        <c:axId val="1191428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42367"/>
        <c:crossesAt val="0.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215223097112855"/>
          <c:y val="2.8355934674832339E-2"/>
          <c:w val="0.2839588801399824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320040</xdr:colOff>
      <xdr:row>11</xdr:row>
      <xdr:rowOff>40005</xdr:rowOff>
    </xdr:from>
    <xdr:to>
      <xdr:col>26</xdr:col>
      <xdr:colOff>411480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008EA-4573-DA2D-2C20-14AA3D907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325755</xdr:colOff>
      <xdr:row>26</xdr:row>
      <xdr:rowOff>47625</xdr:rowOff>
    </xdr:from>
    <xdr:to>
      <xdr:col>26</xdr:col>
      <xdr:colOff>417195</xdr:colOff>
      <xdr:row>41</xdr:row>
      <xdr:rowOff>43815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28782F-D8F1-EFC5-1E81-865BD5E06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41B69-73AC-4211-997D-64536A8DBFCA}">
  <dimension ref="A1:Z48"/>
  <sheetViews>
    <sheetView tabSelected="1" workbookViewId="0">
      <selection activeCell="C25" sqref="C25"/>
    </sheetView>
  </sheetViews>
  <sheetFormatPr defaultRowHeight="15" x14ac:dyDescent="0.25"/>
  <cols>
    <col min="1" max="1" width="11.42578125" customWidth="1"/>
    <col min="3" max="3" width="10" customWidth="1"/>
    <col min="4" max="4" width="18.42578125" bestFit="1" customWidth="1"/>
    <col min="16" max="16" width="9.5703125" customWidth="1"/>
  </cols>
  <sheetData>
    <row r="1" spans="1:26" ht="15.75" thickBot="1" x14ac:dyDescent="0.3"/>
    <row r="2" spans="1:26" ht="15.75" thickBot="1" x14ac:dyDescent="0.3">
      <c r="A2" s="7" t="s">
        <v>0</v>
      </c>
      <c r="B2" s="8"/>
      <c r="J2" s="15" t="s">
        <v>25</v>
      </c>
      <c r="N2" s="15" t="s">
        <v>41</v>
      </c>
    </row>
    <row r="3" spans="1:26" ht="15.75" thickBot="1" x14ac:dyDescent="0.3"/>
    <row r="4" spans="1:26" ht="30" x14ac:dyDescent="0.25">
      <c r="A4" s="9" t="s">
        <v>1</v>
      </c>
      <c r="B4" s="10" t="s">
        <v>2</v>
      </c>
      <c r="C4" s="11" t="s">
        <v>3</v>
      </c>
      <c r="J4" s="26" t="s">
        <v>31</v>
      </c>
      <c r="K4" s="27"/>
      <c r="L4" s="13">
        <v>4.7</v>
      </c>
      <c r="N4" s="14" t="s">
        <v>14</v>
      </c>
      <c r="O4" s="14" t="s">
        <v>15</v>
      </c>
      <c r="P4" s="14" t="s">
        <v>16</v>
      </c>
      <c r="Q4" s="14" t="s">
        <v>17</v>
      </c>
      <c r="R4" s="14" t="s">
        <v>18</v>
      </c>
      <c r="S4" s="14" t="s">
        <v>19</v>
      </c>
      <c r="T4" s="14" t="s">
        <v>20</v>
      </c>
      <c r="U4" s="14" t="s">
        <v>21</v>
      </c>
      <c r="W4" s="20" t="s">
        <v>39</v>
      </c>
      <c r="X4" s="21"/>
      <c r="Y4" s="21"/>
      <c r="Z4" s="13" t="s">
        <v>40</v>
      </c>
    </row>
    <row r="5" spans="1:26" x14ac:dyDescent="0.25">
      <c r="A5" s="2" t="s">
        <v>4</v>
      </c>
      <c r="B5" s="1" t="s">
        <v>11</v>
      </c>
      <c r="C5" s="3">
        <f>149.2*10^3</f>
        <v>149200</v>
      </c>
      <c r="D5" s="32">
        <f>150*10^3</f>
        <v>150000</v>
      </c>
      <c r="E5" t="s">
        <v>42</v>
      </c>
      <c r="J5" s="22" t="s">
        <v>32</v>
      </c>
      <c r="K5" s="23"/>
      <c r="L5" s="3">
        <v>-4.8</v>
      </c>
      <c r="N5" s="1">
        <v>0.1</v>
      </c>
      <c r="O5" s="1">
        <v>0.02</v>
      </c>
      <c r="P5" s="1">
        <v>15.2</v>
      </c>
      <c r="Q5" s="1">
        <f>P5/O5</f>
        <v>760</v>
      </c>
      <c r="R5" s="1">
        <f>20*LOG10(Q5)</f>
        <v>57.616271845615827</v>
      </c>
      <c r="S5" s="1">
        <v>3</v>
      </c>
      <c r="T5" s="1" t="s">
        <v>28</v>
      </c>
      <c r="U5" s="1">
        <v>27</v>
      </c>
      <c r="W5" s="16" t="s">
        <v>34</v>
      </c>
      <c r="X5" s="17"/>
      <c r="Y5" s="17"/>
      <c r="Z5" s="3">
        <v>3.5</v>
      </c>
    </row>
    <row r="6" spans="1:26" ht="15.75" thickBot="1" x14ac:dyDescent="0.3">
      <c r="A6" s="2" t="s">
        <v>5</v>
      </c>
      <c r="B6" s="1" t="s">
        <v>9</v>
      </c>
      <c r="C6" s="3">
        <f>0.0098*10^-6</f>
        <v>9.7999999999999984E-9</v>
      </c>
      <c r="D6" s="32">
        <f>0.01*10^-6</f>
        <v>1E-8</v>
      </c>
      <c r="E6" t="s">
        <v>43</v>
      </c>
      <c r="J6" s="24" t="s">
        <v>33</v>
      </c>
      <c r="K6" s="25"/>
      <c r="L6" s="3">
        <v>4.9000000000000004</v>
      </c>
      <c r="N6" s="1">
        <v>10</v>
      </c>
      <c r="O6" s="1">
        <v>0.02</v>
      </c>
      <c r="P6" s="1">
        <v>17</v>
      </c>
      <c r="Q6" s="1">
        <f t="shared" ref="Q6:Q9" si="0">P6/O6</f>
        <v>850</v>
      </c>
      <c r="R6" s="1">
        <f t="shared" ref="R6:R9" si="1">20*LOG10(Q6)</f>
        <v>58.588378514285857</v>
      </c>
      <c r="S6" s="1">
        <v>0</v>
      </c>
      <c r="T6" s="1" t="s">
        <v>29</v>
      </c>
      <c r="U6" s="1">
        <v>0</v>
      </c>
      <c r="W6" s="18" t="s">
        <v>26</v>
      </c>
      <c r="X6" s="19"/>
      <c r="Y6" s="19"/>
      <c r="Z6" s="6">
        <f>R7/Z5</f>
        <v>16.665451134571001</v>
      </c>
    </row>
    <row r="7" spans="1:26" x14ac:dyDescent="0.25">
      <c r="A7" s="2" t="s">
        <v>6</v>
      </c>
      <c r="B7" s="1" t="s">
        <v>10</v>
      </c>
      <c r="C7" s="3">
        <f>3.293*10^6</f>
        <v>3293000</v>
      </c>
      <c r="D7" s="32">
        <f>3.3*10^6</f>
        <v>3300000</v>
      </c>
      <c r="E7" t="s">
        <v>44</v>
      </c>
      <c r="J7" s="24" t="s">
        <v>34</v>
      </c>
      <c r="K7" s="25"/>
      <c r="L7" s="3">
        <v>0.01</v>
      </c>
      <c r="N7" s="1">
        <v>30</v>
      </c>
      <c r="O7" s="1">
        <v>0.02</v>
      </c>
      <c r="P7" s="1">
        <v>16.5</v>
      </c>
      <c r="Q7" s="1">
        <f t="shared" si="0"/>
        <v>825</v>
      </c>
      <c r="R7" s="1">
        <f t="shared" si="1"/>
        <v>58.329078970998502</v>
      </c>
      <c r="S7" s="1">
        <v>2</v>
      </c>
      <c r="T7" s="1" t="s">
        <v>30</v>
      </c>
      <c r="U7" s="1">
        <v>-10.8</v>
      </c>
    </row>
    <row r="8" spans="1:26" ht="15.75" thickBot="1" x14ac:dyDescent="0.3">
      <c r="A8" s="2" t="s">
        <v>7</v>
      </c>
      <c r="B8" s="1" t="s">
        <v>12</v>
      </c>
      <c r="C8" s="3">
        <f>1.071*10^-6</f>
        <v>1.071E-6</v>
      </c>
      <c r="D8" s="32">
        <f>1*10^-6</f>
        <v>9.9999999999999995E-7</v>
      </c>
      <c r="E8" t="s">
        <v>45</v>
      </c>
      <c r="J8" s="28" t="s">
        <v>26</v>
      </c>
      <c r="K8" s="29"/>
      <c r="L8" s="6">
        <f>L4/L7</f>
        <v>470</v>
      </c>
      <c r="N8" s="1">
        <v>100</v>
      </c>
      <c r="O8" s="1">
        <v>0.02</v>
      </c>
      <c r="P8" s="1">
        <v>12</v>
      </c>
      <c r="Q8" s="1">
        <f t="shared" si="0"/>
        <v>600</v>
      </c>
      <c r="R8" s="1">
        <f t="shared" si="1"/>
        <v>55.56302500767287</v>
      </c>
      <c r="S8" s="1">
        <v>4</v>
      </c>
      <c r="T8" s="1" t="s">
        <v>22</v>
      </c>
      <c r="U8" s="1">
        <v>-36</v>
      </c>
    </row>
    <row r="9" spans="1:26" x14ac:dyDescent="0.25">
      <c r="A9" s="2" t="s">
        <v>38</v>
      </c>
      <c r="B9" s="1" t="s">
        <v>13</v>
      </c>
      <c r="C9" s="3">
        <f>4.656*10^3</f>
        <v>4656</v>
      </c>
      <c r="D9" s="32">
        <f>4.7*10^3</f>
        <v>4700</v>
      </c>
      <c r="E9" t="s">
        <v>46</v>
      </c>
      <c r="N9" s="1">
        <v>300</v>
      </c>
      <c r="O9" s="1">
        <v>0.02</v>
      </c>
      <c r="P9" s="1">
        <v>5.6</v>
      </c>
      <c r="Q9" s="1">
        <f t="shared" si="0"/>
        <v>280</v>
      </c>
      <c r="R9" s="1">
        <f t="shared" si="1"/>
        <v>48.943160626844389</v>
      </c>
      <c r="S9" s="1">
        <v>2.5</v>
      </c>
      <c r="T9" s="1" t="s">
        <v>22</v>
      </c>
      <c r="U9" s="1">
        <v>-67.5</v>
      </c>
    </row>
    <row r="10" spans="1:26" ht="15.75" thickBot="1" x14ac:dyDescent="0.3">
      <c r="A10" s="4" t="s">
        <v>8</v>
      </c>
      <c r="B10" s="5" t="s">
        <v>10</v>
      </c>
      <c r="C10" s="6">
        <f>3.334*10^6</f>
        <v>3334000</v>
      </c>
      <c r="D10" s="32">
        <f>3.3*10^6</f>
        <v>3300000</v>
      </c>
      <c r="J10" t="s">
        <v>27</v>
      </c>
      <c r="L10">
        <v>-25</v>
      </c>
    </row>
    <row r="11" spans="1:26" ht="15.75" thickBot="1" x14ac:dyDescent="0.3">
      <c r="N11" s="30" t="s">
        <v>35</v>
      </c>
      <c r="O11" s="31"/>
    </row>
    <row r="12" spans="1:26" ht="15.75" thickBot="1" x14ac:dyDescent="0.3">
      <c r="A12" s="9" t="s">
        <v>14</v>
      </c>
      <c r="B12" s="10" t="s">
        <v>15</v>
      </c>
      <c r="C12" s="10" t="s">
        <v>16</v>
      </c>
      <c r="D12" s="10" t="s">
        <v>17</v>
      </c>
      <c r="E12" s="10" t="s">
        <v>18</v>
      </c>
      <c r="F12" s="10" t="s">
        <v>19</v>
      </c>
      <c r="G12" s="10" t="s">
        <v>20</v>
      </c>
      <c r="H12" s="12" t="s">
        <v>21</v>
      </c>
    </row>
    <row r="13" spans="1:26" ht="30" x14ac:dyDescent="0.25">
      <c r="A13" s="2">
        <v>0.1</v>
      </c>
      <c r="B13" s="1">
        <v>1</v>
      </c>
      <c r="C13" s="1">
        <v>23.5</v>
      </c>
      <c r="D13" s="1">
        <f>C13/B13</f>
        <v>23.5</v>
      </c>
      <c r="E13" s="1">
        <f>20*LOG10(D13)</f>
        <v>27.421357245434727</v>
      </c>
      <c r="F13" s="1">
        <v>1.6</v>
      </c>
      <c r="G13" s="1" t="s">
        <v>24</v>
      </c>
      <c r="H13" s="3">
        <v>28.8</v>
      </c>
      <c r="J13" s="9" t="s">
        <v>1</v>
      </c>
      <c r="K13" s="10" t="s">
        <v>2</v>
      </c>
      <c r="L13" s="11" t="s">
        <v>3</v>
      </c>
      <c r="N13" s="9" t="s">
        <v>14</v>
      </c>
      <c r="O13" s="10" t="s">
        <v>36</v>
      </c>
      <c r="P13" s="10" t="s">
        <v>17</v>
      </c>
      <c r="Q13" s="10" t="s">
        <v>37</v>
      </c>
      <c r="R13" s="12" t="s">
        <v>21</v>
      </c>
    </row>
    <row r="14" spans="1:26" x14ac:dyDescent="0.25">
      <c r="A14" s="2">
        <v>10</v>
      </c>
      <c r="B14" s="1">
        <v>1</v>
      </c>
      <c r="C14" s="1">
        <v>23.5</v>
      </c>
      <c r="D14" s="1">
        <f t="shared" ref="D14:D17" si="2">C14/B14</f>
        <v>23.5</v>
      </c>
      <c r="E14" s="1">
        <f t="shared" ref="E14:E17" si="3">20*LOG10(D14)</f>
        <v>27.421357245434727</v>
      </c>
      <c r="F14" s="1">
        <v>1.8</v>
      </c>
      <c r="G14" s="1" t="s">
        <v>23</v>
      </c>
      <c r="H14" s="3">
        <v>-7.2</v>
      </c>
      <c r="J14" s="2" t="s">
        <v>4</v>
      </c>
      <c r="K14" s="1" t="s">
        <v>11</v>
      </c>
      <c r="L14" s="3">
        <f>149.2*10^3</f>
        <v>149200</v>
      </c>
      <c r="N14" s="2">
        <v>0.1</v>
      </c>
      <c r="O14" s="1">
        <f>2*PI()*N14</f>
        <v>0.62831853071795862</v>
      </c>
      <c r="P14" s="1">
        <f>((2*22+10)/(10))*(47/10)*(((O14*$L$16*$L$17)/(SQRT((O14*$L$16*$L$17)^2+1)))*((SQRT((O14*$L$14*$L$15)^2+(1+($L$14/$L$18))^2))/(SQRT((O14*$L$14*$L$15)^2+1))))</f>
        <v>764.43989593841275</v>
      </c>
      <c r="Q14" s="1">
        <f>20*LOG10(P14)</f>
        <v>57.666866894026853</v>
      </c>
      <c r="R14" s="3">
        <f>90+DEGREES(ATAN((O14*$L$14*$L$15)/(1+$L$14/$L$18)))-DEGREES(ATAN(O14*$L$16*$L$17))-DEGREES(ATAN(O14*$L$14*$L$15))</f>
        <v>24.237305728379692</v>
      </c>
    </row>
    <row r="15" spans="1:26" x14ac:dyDescent="0.25">
      <c r="A15" s="2">
        <v>30</v>
      </c>
      <c r="B15" s="1">
        <v>1</v>
      </c>
      <c r="C15" s="1">
        <v>23.5</v>
      </c>
      <c r="D15" s="1">
        <f t="shared" si="2"/>
        <v>23.5</v>
      </c>
      <c r="E15" s="1">
        <f t="shared" si="3"/>
        <v>27.421357245434727</v>
      </c>
      <c r="F15" s="1">
        <v>1.5</v>
      </c>
      <c r="G15" s="1" t="s">
        <v>23</v>
      </c>
      <c r="H15" s="3">
        <v>-16.2</v>
      </c>
      <c r="J15" s="2" t="s">
        <v>5</v>
      </c>
      <c r="K15" s="1" t="s">
        <v>9</v>
      </c>
      <c r="L15" s="3">
        <f>0.0098*10^-6</f>
        <v>9.7999999999999984E-9</v>
      </c>
      <c r="N15" s="2">
        <f>N14*1.4</f>
        <v>0.13999999999999999</v>
      </c>
      <c r="O15" s="1">
        <f t="shared" ref="O15:O38" si="4">2*PI()*N15</f>
        <v>0.87964594300514198</v>
      </c>
      <c r="P15" s="1">
        <f t="shared" ref="P15:P38" si="5">((2*22+10)/(10))*(47/10)*(((O15*$L$16*$L$17)/(SQRT((O15*$L$16*$L$17)^2+1)))*((SQRT((O15*$L$14*$L$15)^2+(1+($L$14/$L$18))^2))/(SQRT((O15*$L$14*$L$15)^2+1))))</f>
        <v>798.2291145287453</v>
      </c>
      <c r="Q15" s="1">
        <f t="shared" ref="Q15:Q38" si="6">20*LOG10(P15)</f>
        <v>58.042551283006233</v>
      </c>
      <c r="R15" s="3">
        <f t="shared" ref="R15:R38" si="7">90+DEGREES(ATAN((O15*$L$14*$L$15)/(1+$L$14/$L$18)))-DEGREES(ATAN(O15*$L$16*$L$17))-DEGREES(ATAN(O15*$L$14*$L$15))</f>
        <v>17.794617163155671</v>
      </c>
    </row>
    <row r="16" spans="1:26" x14ac:dyDescent="0.25">
      <c r="A16" s="2">
        <v>100</v>
      </c>
      <c r="B16" s="1">
        <v>1</v>
      </c>
      <c r="C16" s="1">
        <v>22.5</v>
      </c>
      <c r="D16" s="1">
        <f t="shared" si="2"/>
        <v>22.5</v>
      </c>
      <c r="E16" s="1">
        <f t="shared" si="3"/>
        <v>27.04365036222725</v>
      </c>
      <c r="F16" s="1">
        <v>1.2</v>
      </c>
      <c r="G16" s="1" t="s">
        <v>23</v>
      </c>
      <c r="H16" s="3">
        <v>-43.2</v>
      </c>
      <c r="J16" s="2" t="s">
        <v>6</v>
      </c>
      <c r="K16" s="1" t="s">
        <v>10</v>
      </c>
      <c r="L16" s="3">
        <f>3.293*10^6</f>
        <v>3293000</v>
      </c>
      <c r="N16" s="2">
        <f>N15*1.4</f>
        <v>0.19599999999999998</v>
      </c>
      <c r="O16" s="1">
        <f t="shared" si="4"/>
        <v>1.2315043202071987</v>
      </c>
      <c r="P16" s="1">
        <f t="shared" si="5"/>
        <v>817.28952566788712</v>
      </c>
      <c r="Q16" s="1">
        <f t="shared" si="6"/>
        <v>58.247518661263868</v>
      </c>
      <c r="R16" s="3">
        <f t="shared" si="7"/>
        <v>12.86583623706022</v>
      </c>
    </row>
    <row r="17" spans="1:18" ht="15.75" thickBot="1" x14ac:dyDescent="0.3">
      <c r="A17" s="4">
        <v>300</v>
      </c>
      <c r="B17" s="5">
        <v>1</v>
      </c>
      <c r="C17" s="5">
        <v>10.4</v>
      </c>
      <c r="D17" s="5">
        <f t="shared" si="2"/>
        <v>10.4</v>
      </c>
      <c r="E17" s="5">
        <f t="shared" si="3"/>
        <v>20.340666785975607</v>
      </c>
      <c r="F17" s="5">
        <v>2.5</v>
      </c>
      <c r="G17" s="5" t="s">
        <v>22</v>
      </c>
      <c r="H17" s="6">
        <v>-67.5</v>
      </c>
      <c r="J17" s="2" t="s">
        <v>7</v>
      </c>
      <c r="K17" s="1" t="s">
        <v>12</v>
      </c>
      <c r="L17" s="3">
        <f>1.071*10^-6</f>
        <v>1.071E-6</v>
      </c>
      <c r="N17" s="2">
        <f>N16*1.4</f>
        <v>0.27439999999999998</v>
      </c>
      <c r="O17" s="1">
        <f t="shared" si="4"/>
        <v>1.7241060482900783</v>
      </c>
      <c r="P17" s="1">
        <f t="shared" si="5"/>
        <v>827.5546247232935</v>
      </c>
      <c r="Q17" s="1">
        <f t="shared" si="6"/>
        <v>58.355933400808439</v>
      </c>
      <c r="R17" s="3">
        <f t="shared" si="7"/>
        <v>9.1990806542386458</v>
      </c>
    </row>
    <row r="18" spans="1:18" x14ac:dyDescent="0.25">
      <c r="J18" s="2" t="s">
        <v>38</v>
      </c>
      <c r="K18" s="1" t="s">
        <v>13</v>
      </c>
      <c r="L18" s="3">
        <f>4.656*10^3</f>
        <v>4656</v>
      </c>
      <c r="N18" s="2">
        <f t="shared" ref="N18:N28" si="8">N17*1.4</f>
        <v>0.38415999999999995</v>
      </c>
      <c r="O18" s="1">
        <f t="shared" si="4"/>
        <v>2.4137484676061094</v>
      </c>
      <c r="P18" s="1">
        <f t="shared" si="5"/>
        <v>832.94132871286183</v>
      </c>
      <c r="Q18" s="1">
        <f t="shared" si="6"/>
        <v>58.412288227087984</v>
      </c>
      <c r="R18" s="3">
        <f t="shared" si="7"/>
        <v>6.5037346109115468</v>
      </c>
    </row>
    <row r="19" spans="1:18" ht="15.75" thickBot="1" x14ac:dyDescent="0.3">
      <c r="J19" s="4" t="s">
        <v>8</v>
      </c>
      <c r="K19" s="5" t="s">
        <v>10</v>
      </c>
      <c r="L19" s="6">
        <f>3.334*10^6</f>
        <v>3334000</v>
      </c>
      <c r="N19" s="2">
        <f t="shared" si="8"/>
        <v>0.53782399999999986</v>
      </c>
      <c r="O19" s="1">
        <f t="shared" si="4"/>
        <v>3.3792478546485527</v>
      </c>
      <c r="P19" s="1">
        <f t="shared" si="5"/>
        <v>835.72681976013973</v>
      </c>
      <c r="Q19" s="1">
        <f t="shared" si="6"/>
        <v>58.441286791385522</v>
      </c>
      <c r="R19" s="3">
        <f t="shared" si="7"/>
        <v>4.5217592123678223</v>
      </c>
    </row>
    <row r="20" spans="1:18" x14ac:dyDescent="0.25">
      <c r="N20" s="2">
        <f t="shared" si="8"/>
        <v>0.75295359999999978</v>
      </c>
      <c r="O20" s="1">
        <f t="shared" si="4"/>
        <v>4.7309469965079742</v>
      </c>
      <c r="P20" s="1">
        <f t="shared" si="5"/>
        <v>837.15157395145513</v>
      </c>
      <c r="Q20" s="1">
        <f t="shared" si="6"/>
        <v>58.456081962039654</v>
      </c>
      <c r="R20" s="3">
        <f t="shared" si="7"/>
        <v>3.0455047352621492</v>
      </c>
    </row>
    <row r="21" spans="1:18" x14ac:dyDescent="0.25">
      <c r="N21" s="2">
        <f t="shared" si="8"/>
        <v>1.0541350399999996</v>
      </c>
      <c r="O21" s="1">
        <f t="shared" si="4"/>
        <v>6.623325795111163</v>
      </c>
      <c r="P21" s="1">
        <f t="shared" si="5"/>
        <v>837.86710748151756</v>
      </c>
      <c r="Q21" s="1">
        <f t="shared" si="6"/>
        <v>58.463502829306861</v>
      </c>
      <c r="R21" s="3">
        <f t="shared" si="7"/>
        <v>1.9132570496858614</v>
      </c>
    </row>
    <row r="22" spans="1:18" ht="15.75" thickBot="1" x14ac:dyDescent="0.3">
      <c r="N22" s="2">
        <f t="shared" si="8"/>
        <v>1.4757890559999993</v>
      </c>
      <c r="O22" s="1">
        <f t="shared" si="4"/>
        <v>9.2726561131556267</v>
      </c>
      <c r="P22" s="1">
        <f t="shared" si="5"/>
        <v>838.20502694641539</v>
      </c>
      <c r="Q22" s="1">
        <f t="shared" si="6"/>
        <v>58.467005221785243</v>
      </c>
      <c r="R22" s="3">
        <f t="shared" si="7"/>
        <v>0.99820058605109596</v>
      </c>
    </row>
    <row r="23" spans="1:18" x14ac:dyDescent="0.25">
      <c r="A23" s="9" t="s">
        <v>14</v>
      </c>
      <c r="B23" s="10" t="s">
        <v>36</v>
      </c>
      <c r="C23" s="10" t="s">
        <v>17</v>
      </c>
      <c r="D23" s="10" t="s">
        <v>37</v>
      </c>
      <c r="E23" s="12" t="s">
        <v>21</v>
      </c>
      <c r="N23" s="2">
        <f t="shared" si="8"/>
        <v>2.066104678399999</v>
      </c>
      <c r="O23" s="1">
        <f t="shared" si="4"/>
        <v>12.981718558417878</v>
      </c>
      <c r="P23" s="1">
        <f t="shared" si="5"/>
        <v>838.32296857046822</v>
      </c>
      <c r="Q23" s="1">
        <f t="shared" si="6"/>
        <v>58.468227304487932</v>
      </c>
      <c r="R23" s="3">
        <f t="shared" si="7"/>
        <v>0.19672967612587566</v>
      </c>
    </row>
    <row r="24" spans="1:18" x14ac:dyDescent="0.25">
      <c r="A24" s="2">
        <v>0.1</v>
      </c>
      <c r="B24" s="1">
        <f>2*PI()*A24</f>
        <v>0.62831853071795862</v>
      </c>
      <c r="C24" s="1">
        <v>2.8000000000000001E-2</v>
      </c>
      <c r="D24" s="1">
        <f>20*LOG10(C24)</f>
        <v>-31.056839373155615</v>
      </c>
      <c r="E24" s="3">
        <f>90+DEGREES(ATAN((B24*$L$14*$L$15)/(1+$L$14/$L$18)))-DEGREES(ATAN(B24*$L$16*$L$17))-DEGREES(ATAN(B24*$L$14*$L$15))</f>
        <v>24.237305728379692</v>
      </c>
      <c r="N24" s="2">
        <f t="shared" si="8"/>
        <v>2.8925465497599983</v>
      </c>
      <c r="O24" s="1">
        <f t="shared" si="4"/>
        <v>18.174405981785029</v>
      </c>
      <c r="P24" s="1">
        <f t="shared" si="5"/>
        <v>838.27610726349315</v>
      </c>
      <c r="Q24" s="1">
        <f t="shared" si="6"/>
        <v>58.467741759497898</v>
      </c>
      <c r="R24" s="3">
        <f t="shared" si="7"/>
        <v>-0.5823257383134619</v>
      </c>
    </row>
    <row r="25" spans="1:18" x14ac:dyDescent="0.25">
      <c r="A25" s="2">
        <f>A24*1.4</f>
        <v>0.13999999999999999</v>
      </c>
      <c r="B25" s="1">
        <f t="shared" ref="B25:B48" si="9">2*PI()*A25</f>
        <v>0.87964594300514198</v>
      </c>
      <c r="C25" s="1">
        <f t="shared" ref="C25:C48" si="10">($D$5/$D$7)*(B25*$D$8*$D$7)/(SQRT(1+(B25*$D$5*$D$6)^2)*SQRT(1+(B25*$D$7*$D$8)^2))</f>
        <v>4.2975914812864245E-2</v>
      </c>
      <c r="D25" s="1">
        <f t="shared" ref="D25:D48" si="11">20*LOG10(C25)</f>
        <v>-27.335497397437017</v>
      </c>
      <c r="E25" s="3">
        <f t="shared" ref="E25:E48" si="12">90+DEGREES(ATAN((B25*$L$14*$L$15)/(1+$L$14/$L$18)))-DEGREES(ATAN(B25*$L$16*$L$17))-DEGREES(ATAN(B25*$L$14*$L$15))</f>
        <v>17.794617163155671</v>
      </c>
      <c r="N25" s="2">
        <f t="shared" si="8"/>
        <v>4.0495651696639969</v>
      </c>
      <c r="O25" s="1">
        <f t="shared" si="4"/>
        <v>25.444168374499032</v>
      </c>
      <c r="P25" s="1">
        <f t="shared" si="5"/>
        <v>838.04251114956014</v>
      </c>
      <c r="Q25" s="1">
        <f t="shared" si="6"/>
        <v>58.465320990490923</v>
      </c>
      <c r="R25" s="3">
        <f t="shared" si="7"/>
        <v>-1.4276489601219353</v>
      </c>
    </row>
    <row r="26" spans="1:18" x14ac:dyDescent="0.25">
      <c r="A26" s="2">
        <f>A25*1.4</f>
        <v>0.19599999999999998</v>
      </c>
      <c r="B26" s="1">
        <f t="shared" si="9"/>
        <v>1.2315043202071987</v>
      </c>
      <c r="C26" s="1">
        <f t="shared" si="10"/>
        <v>4.4137873031171872E-2</v>
      </c>
      <c r="D26" s="1">
        <f t="shared" si="11"/>
        <v>-27.103771979482655</v>
      </c>
      <c r="E26" s="3">
        <f t="shared" si="12"/>
        <v>12.86583623706022</v>
      </c>
      <c r="N26" s="2">
        <f t="shared" si="8"/>
        <v>5.6693912375295952</v>
      </c>
      <c r="O26" s="1">
        <f t="shared" si="4"/>
        <v>35.621835724298641</v>
      </c>
      <c r="P26" s="1">
        <f t="shared" si="5"/>
        <v>837.51304354191075</v>
      </c>
      <c r="Q26" s="1">
        <f t="shared" si="6"/>
        <v>58.459831590456204</v>
      </c>
      <c r="R26" s="3">
        <f t="shared" si="7"/>
        <v>-2.4351834796628338</v>
      </c>
    </row>
    <row r="27" spans="1:18" x14ac:dyDescent="0.25">
      <c r="A27" s="2">
        <f>A26*1.4</f>
        <v>0.27439999999999998</v>
      </c>
      <c r="B27" s="1">
        <f t="shared" si="9"/>
        <v>1.7241060482900783</v>
      </c>
      <c r="C27" s="1">
        <f t="shared" si="10"/>
        <v>4.4768166701053262E-2</v>
      </c>
      <c r="D27" s="1">
        <f t="shared" si="11"/>
        <v>-26.980613800478711</v>
      </c>
      <c r="E27" s="3">
        <f t="shared" si="12"/>
        <v>9.1990806542386458</v>
      </c>
      <c r="N27" s="2">
        <f t="shared" si="8"/>
        <v>7.9371477325414324</v>
      </c>
      <c r="O27" s="1">
        <f t="shared" si="4"/>
        <v>49.870570014018099</v>
      </c>
      <c r="P27" s="1">
        <f t="shared" si="5"/>
        <v>836.44150922953372</v>
      </c>
      <c r="Q27" s="1">
        <f t="shared" si="6"/>
        <v>58.448711539393265</v>
      </c>
      <c r="R27" s="3">
        <f t="shared" si="7"/>
        <v>-3.7183666326115246</v>
      </c>
    </row>
    <row r="28" spans="1:18" x14ac:dyDescent="0.25">
      <c r="A28" s="2">
        <f t="shared" ref="A28:A38" si="13">A27*1.4</f>
        <v>0.38415999999999995</v>
      </c>
      <c r="B28" s="1">
        <f t="shared" si="9"/>
        <v>2.4137484676061094</v>
      </c>
      <c r="C28" s="1">
        <f t="shared" si="10"/>
        <v>4.510022120419814E-2</v>
      </c>
      <c r="D28" s="1">
        <f t="shared" si="11"/>
        <v>-26.916426560433237</v>
      </c>
      <c r="E28" s="3">
        <f t="shared" si="12"/>
        <v>6.5037346109115468</v>
      </c>
      <c r="N28" s="2">
        <f t="shared" si="8"/>
        <v>11.112006825558005</v>
      </c>
      <c r="O28" s="1">
        <f t="shared" si="4"/>
        <v>69.818798019625333</v>
      </c>
      <c r="P28" s="1">
        <f t="shared" si="5"/>
        <v>834.33461694138464</v>
      </c>
      <c r="Q28" s="1">
        <f t="shared" si="6"/>
        <v>58.426805260858671</v>
      </c>
      <c r="R28" s="3">
        <f t="shared" si="7"/>
        <v>-5.4192288591740656</v>
      </c>
    </row>
    <row r="29" spans="1:18" x14ac:dyDescent="0.25">
      <c r="A29" s="2">
        <f t="shared" si="13"/>
        <v>0.53782399999999986</v>
      </c>
      <c r="B29" s="1">
        <f t="shared" si="9"/>
        <v>3.3792478546485527</v>
      </c>
      <c r="C29" s="1">
        <f t="shared" si="10"/>
        <v>4.5272299510760096E-2</v>
      </c>
      <c r="D29" s="1">
        <f t="shared" si="11"/>
        <v>-26.883348917485623</v>
      </c>
      <c r="E29" s="3">
        <f t="shared" si="12"/>
        <v>4.5217592123678223</v>
      </c>
      <c r="N29" s="2">
        <f>N28*1.4</f>
        <v>15.556809555781205</v>
      </c>
      <c r="O29" s="1">
        <f t="shared" si="4"/>
        <v>97.746317227475458</v>
      </c>
      <c r="P29" s="1">
        <f t="shared" si="5"/>
        <v>830.24159466327103</v>
      </c>
      <c r="Q29" s="1">
        <f t="shared" si="6"/>
        <v>58.384089750212112</v>
      </c>
      <c r="R29" s="3">
        <f t="shared" si="7"/>
        <v>-7.7196636738062061</v>
      </c>
    </row>
    <row r="30" spans="1:18" x14ac:dyDescent="0.25">
      <c r="A30" s="2">
        <f t="shared" si="13"/>
        <v>0.75295359999999978</v>
      </c>
      <c r="B30" s="1">
        <f t="shared" si="9"/>
        <v>4.7309469965079742</v>
      </c>
      <c r="C30" s="1">
        <f t="shared" si="10"/>
        <v>4.5360444742081923E-2</v>
      </c>
      <c r="D30" s="1">
        <f t="shared" si="11"/>
        <v>-26.866453920007949</v>
      </c>
      <c r="E30" s="3">
        <f t="shared" si="12"/>
        <v>3.0455047352621492</v>
      </c>
      <c r="N30" s="2">
        <f>N29*1.4</f>
        <v>21.779533378093685</v>
      </c>
      <c r="O30" s="1">
        <f t="shared" si="4"/>
        <v>136.84484411846563</v>
      </c>
      <c r="P30" s="1">
        <f t="shared" si="5"/>
        <v>822.386558745407</v>
      </c>
      <c r="Q30" s="1">
        <f t="shared" si="6"/>
        <v>58.301520070222359</v>
      </c>
      <c r="R30" s="3">
        <f t="shared" si="7"/>
        <v>-10.84919401452564</v>
      </c>
    </row>
    <row r="31" spans="1:18" x14ac:dyDescent="0.25">
      <c r="A31" s="2">
        <f t="shared" si="13"/>
        <v>1.0541350399999996</v>
      </c>
      <c r="B31" s="1">
        <f t="shared" si="9"/>
        <v>6.623325795111163</v>
      </c>
      <c r="C31" s="1">
        <f t="shared" si="10"/>
        <v>4.5404805518948481E-2</v>
      </c>
      <c r="D31" s="1">
        <f t="shared" si="11"/>
        <v>-26.857963603687697</v>
      </c>
      <c r="E31" s="3">
        <f t="shared" si="12"/>
        <v>1.9132570496858614</v>
      </c>
      <c r="N31" s="2">
        <f>N30*1.4</f>
        <v>30.491346729331156</v>
      </c>
      <c r="O31" s="1">
        <f t="shared" si="4"/>
        <v>191.58278176585185</v>
      </c>
      <c r="P31" s="1">
        <f t="shared" si="5"/>
        <v>807.61469102515412</v>
      </c>
      <c r="Q31" s="1">
        <f t="shared" si="6"/>
        <v>58.144084208728898</v>
      </c>
      <c r="R31" s="3">
        <f t="shared" si="7"/>
        <v>-15.078379407249527</v>
      </c>
    </row>
    <row r="32" spans="1:18" x14ac:dyDescent="0.25">
      <c r="A32" s="2">
        <f t="shared" si="13"/>
        <v>1.4757890559999993</v>
      </c>
      <c r="B32" s="1">
        <f t="shared" si="9"/>
        <v>9.2726561131556267</v>
      </c>
      <c r="C32" s="1">
        <f t="shared" si="10"/>
        <v>4.5425898736525583E-2</v>
      </c>
      <c r="D32" s="1">
        <f t="shared" si="11"/>
        <v>-26.853929431217459</v>
      </c>
      <c r="E32" s="3">
        <f t="shared" si="12"/>
        <v>0.99820058605109596</v>
      </c>
      <c r="N32" s="2">
        <f t="shared" ref="N32:N35" si="14">N31*1.4</f>
        <v>42.687885421063612</v>
      </c>
      <c r="O32" s="1">
        <f t="shared" si="4"/>
        <v>268.21589447219253</v>
      </c>
      <c r="P32" s="1">
        <f t="shared" si="5"/>
        <v>780.83269697494734</v>
      </c>
      <c r="Q32" s="1">
        <f t="shared" si="6"/>
        <v>57.851159818031292</v>
      </c>
      <c r="R32" s="3">
        <f t="shared" si="7"/>
        <v>-20.67332300053625</v>
      </c>
    </row>
    <row r="33" spans="1:18" x14ac:dyDescent="0.25">
      <c r="A33" s="2">
        <f t="shared" si="13"/>
        <v>2.066104678399999</v>
      </c>
      <c r="B33" s="1">
        <f t="shared" si="9"/>
        <v>12.981718558417878</v>
      </c>
      <c r="C33" s="1">
        <f t="shared" si="10"/>
        <v>4.5433553720421314E-2</v>
      </c>
      <c r="D33" s="1">
        <f t="shared" si="11"/>
        <v>-26.852465844465421</v>
      </c>
      <c r="E33" s="3">
        <f t="shared" si="12"/>
        <v>0.19672967612587566</v>
      </c>
      <c r="N33" s="2">
        <f t="shared" si="14"/>
        <v>59.763039589489054</v>
      </c>
      <c r="O33" s="1">
        <f t="shared" si="4"/>
        <v>375.50225226106954</v>
      </c>
      <c r="P33" s="1">
        <f t="shared" si="5"/>
        <v>735.25705505647943</v>
      </c>
      <c r="Q33" s="1">
        <f t="shared" si="6"/>
        <v>57.328784008224062</v>
      </c>
      <c r="R33" s="3">
        <f t="shared" si="7"/>
        <v>-27.773581283473916</v>
      </c>
    </row>
    <row r="34" spans="1:18" x14ac:dyDescent="0.25">
      <c r="A34" s="2">
        <f t="shared" si="13"/>
        <v>2.8925465497599983</v>
      </c>
      <c r="B34" s="1">
        <f t="shared" si="9"/>
        <v>18.174405981785029</v>
      </c>
      <c r="C34" s="1">
        <f t="shared" si="10"/>
        <v>4.5431349442095016E-2</v>
      </c>
      <c r="D34" s="1">
        <f t="shared" si="11"/>
        <v>-26.852887263904854</v>
      </c>
      <c r="E34" s="3">
        <f t="shared" si="12"/>
        <v>-0.5823257383134619</v>
      </c>
      <c r="N34" s="2">
        <f t="shared" si="14"/>
        <v>83.66825542528467</v>
      </c>
      <c r="O34" s="1">
        <f t="shared" si="4"/>
        <v>525.70315316549738</v>
      </c>
      <c r="P34" s="1">
        <f t="shared" si="5"/>
        <v>665.11544669792829</v>
      </c>
      <c r="Q34" s="1">
        <f t="shared" si="6"/>
        <v>56.457940680868091</v>
      </c>
      <c r="R34" s="3">
        <f t="shared" si="7"/>
        <v>-36.184680137054819</v>
      </c>
    </row>
    <row r="35" spans="1:18" x14ac:dyDescent="0.25">
      <c r="A35" s="2">
        <f t="shared" si="13"/>
        <v>4.0495651696639969</v>
      </c>
      <c r="B35" s="1">
        <f t="shared" si="9"/>
        <v>25.444168374499032</v>
      </c>
      <c r="C35" s="1">
        <f t="shared" si="10"/>
        <v>4.541825468012145E-2</v>
      </c>
      <c r="D35" s="1">
        <f t="shared" si="11"/>
        <v>-26.855391174829414</v>
      </c>
      <c r="E35" s="3">
        <f t="shared" si="12"/>
        <v>-1.4276489601219353</v>
      </c>
      <c r="N35" s="2">
        <f t="shared" si="14"/>
        <v>117.13555759539852</v>
      </c>
      <c r="O35" s="1">
        <f t="shared" si="4"/>
        <v>735.98441443169622</v>
      </c>
      <c r="P35" s="1">
        <f t="shared" si="5"/>
        <v>571.20571531829296</v>
      </c>
      <c r="Q35" s="1">
        <f t="shared" si="6"/>
        <v>55.135850884283201</v>
      </c>
      <c r="R35" s="3">
        <f t="shared" si="7"/>
        <v>-45.212669769055431</v>
      </c>
    </row>
    <row r="36" spans="1:18" x14ac:dyDescent="0.25">
      <c r="A36" s="2">
        <f t="shared" si="13"/>
        <v>5.6693912375295952</v>
      </c>
      <c r="B36" s="1">
        <f t="shared" si="9"/>
        <v>35.621835724298641</v>
      </c>
      <c r="C36" s="1">
        <f t="shared" si="10"/>
        <v>4.5388154091766261E-2</v>
      </c>
      <c r="D36" s="1">
        <f t="shared" si="11"/>
        <v>-26.861149587734538</v>
      </c>
      <c r="E36" s="3">
        <f t="shared" si="12"/>
        <v>-2.4351834796628338</v>
      </c>
      <c r="N36" s="2">
        <f>N35*1.4</f>
        <v>163.98978063355793</v>
      </c>
      <c r="O36" s="1">
        <f t="shared" si="4"/>
        <v>1030.3781802043745</v>
      </c>
      <c r="P36" s="1">
        <f t="shared" si="5"/>
        <v>464.2852997079039</v>
      </c>
      <c r="Q36" s="1">
        <f t="shared" si="6"/>
        <v>53.335698663338192</v>
      </c>
      <c r="R36" s="3">
        <f t="shared" si="7"/>
        <v>-53.799346777022883</v>
      </c>
    </row>
    <row r="37" spans="1:18" x14ac:dyDescent="0.25">
      <c r="A37" s="2">
        <f t="shared" si="13"/>
        <v>7.9371477325414324</v>
      </c>
      <c r="B37" s="1">
        <f t="shared" si="9"/>
        <v>49.870570014018099</v>
      </c>
      <c r="C37" s="1">
        <f t="shared" si="10"/>
        <v>4.5327060064048456E-2</v>
      </c>
      <c r="D37" s="1">
        <f t="shared" si="11"/>
        <v>-26.872848971734644</v>
      </c>
      <c r="E37" s="3">
        <f t="shared" si="12"/>
        <v>-3.7183666326115246</v>
      </c>
      <c r="N37" s="2">
        <f>N36*1.4</f>
        <v>229.58569288698109</v>
      </c>
      <c r="O37" s="1">
        <f t="shared" si="4"/>
        <v>1442.5294522861245</v>
      </c>
      <c r="P37" s="1">
        <f t="shared" si="5"/>
        <v>360.02034695212819</v>
      </c>
      <c r="Q37" s="1">
        <f t="shared" si="6"/>
        <v>51.126540921974843</v>
      </c>
      <c r="R37" s="3">
        <f t="shared" si="7"/>
        <v>-60.970395359393379</v>
      </c>
    </row>
    <row r="38" spans="1:18" ht="15.75" thickBot="1" x14ac:dyDescent="0.3">
      <c r="A38" s="2">
        <f t="shared" si="13"/>
        <v>11.112006825558005</v>
      </c>
      <c r="B38" s="1">
        <f t="shared" si="9"/>
        <v>69.818798019625333</v>
      </c>
      <c r="C38" s="1">
        <f t="shared" si="10"/>
        <v>4.5206878992914062E-2</v>
      </c>
      <c r="D38" s="1">
        <f t="shared" si="11"/>
        <v>-26.89590949786437</v>
      </c>
      <c r="E38" s="3">
        <f t="shared" si="12"/>
        <v>-5.4192288591740656</v>
      </c>
      <c r="N38" s="4">
        <f>N37*1.4</f>
        <v>321.41997004177352</v>
      </c>
      <c r="O38" s="5">
        <f t="shared" si="4"/>
        <v>2019.5412332005742</v>
      </c>
      <c r="P38" s="5">
        <f t="shared" si="5"/>
        <v>270.08258194524865</v>
      </c>
      <c r="Q38" s="5">
        <f t="shared" si="6"/>
        <v>48.629931534990476</v>
      </c>
      <c r="R38" s="6">
        <f t="shared" si="7"/>
        <v>-66.17681038648179</v>
      </c>
    </row>
    <row r="39" spans="1:18" x14ac:dyDescent="0.25">
      <c r="A39" s="2">
        <f>A38*1.4</f>
        <v>15.556809555781205</v>
      </c>
      <c r="B39" s="1">
        <f t="shared" si="9"/>
        <v>97.746317227475458</v>
      </c>
      <c r="C39" s="1">
        <f t="shared" si="10"/>
        <v>4.4973493748320957E-2</v>
      </c>
      <c r="D39" s="1">
        <f t="shared" si="11"/>
        <v>-26.940867462481769</v>
      </c>
      <c r="E39" s="3">
        <f t="shared" si="12"/>
        <v>-7.7196636738062061</v>
      </c>
    </row>
    <row r="40" spans="1:18" x14ac:dyDescent="0.25">
      <c r="A40" s="2">
        <f>A39*1.4</f>
        <v>21.779533378093685</v>
      </c>
      <c r="B40" s="1">
        <f t="shared" si="9"/>
        <v>136.84484411846563</v>
      </c>
      <c r="C40" s="1">
        <f t="shared" si="10"/>
        <v>4.4526067079640151E-2</v>
      </c>
      <c r="D40" s="1">
        <f t="shared" si="11"/>
        <v>-27.027713275027629</v>
      </c>
      <c r="E40" s="3">
        <f t="shared" si="12"/>
        <v>-10.84919401452564</v>
      </c>
    </row>
    <row r="41" spans="1:18" x14ac:dyDescent="0.25">
      <c r="A41" s="2">
        <f>A40*1.4</f>
        <v>30.491346729331156</v>
      </c>
      <c r="B41" s="1">
        <f t="shared" si="9"/>
        <v>191.58278176585185</v>
      </c>
      <c r="C41" s="1">
        <f t="shared" si="10"/>
        <v>4.3686373134937603E-2</v>
      </c>
      <c r="D41" s="1">
        <f t="shared" si="11"/>
        <v>-27.193080182881346</v>
      </c>
      <c r="E41" s="3">
        <f t="shared" si="12"/>
        <v>-15.078379407249527</v>
      </c>
    </row>
    <row r="42" spans="1:18" x14ac:dyDescent="0.25">
      <c r="A42" s="2">
        <f t="shared" ref="A42:A45" si="15">A41*1.4</f>
        <v>42.687885421063612</v>
      </c>
      <c r="B42" s="1">
        <f t="shared" si="9"/>
        <v>268.21589447219253</v>
      </c>
      <c r="C42" s="1">
        <f t="shared" si="10"/>
        <v>4.2169582933672435E-2</v>
      </c>
      <c r="D42" s="1">
        <f t="shared" si="11"/>
        <v>-27.500013884611597</v>
      </c>
      <c r="E42" s="3">
        <f t="shared" si="12"/>
        <v>-20.67332300053625</v>
      </c>
    </row>
    <row r="43" spans="1:18" x14ac:dyDescent="0.25">
      <c r="A43" s="2">
        <f t="shared" si="15"/>
        <v>59.763039589489054</v>
      </c>
      <c r="B43" s="1">
        <f t="shared" si="9"/>
        <v>375.50225226106954</v>
      </c>
      <c r="C43" s="1">
        <f t="shared" si="10"/>
        <v>3.9604301133579545E-2</v>
      </c>
      <c r="D43" s="1">
        <f t="shared" si="11"/>
        <v>-28.045152919296221</v>
      </c>
      <c r="E43" s="3">
        <f t="shared" si="12"/>
        <v>-27.773581283473916</v>
      </c>
    </row>
    <row r="44" spans="1:18" x14ac:dyDescent="0.25">
      <c r="A44" s="2">
        <f t="shared" si="15"/>
        <v>83.66825542528467</v>
      </c>
      <c r="B44" s="1">
        <f t="shared" si="9"/>
        <v>525.70315316549738</v>
      </c>
      <c r="C44" s="1">
        <f t="shared" si="10"/>
        <v>3.5692429774415592E-2</v>
      </c>
      <c r="D44" s="1">
        <f t="shared" si="11"/>
        <v>-28.948477725839261</v>
      </c>
      <c r="E44" s="3">
        <f t="shared" si="12"/>
        <v>-36.184680137054819</v>
      </c>
    </row>
    <row r="45" spans="1:18" x14ac:dyDescent="0.25">
      <c r="A45" s="2">
        <f t="shared" si="15"/>
        <v>117.13555759539852</v>
      </c>
      <c r="B45" s="1">
        <f t="shared" si="9"/>
        <v>735.98441443169622</v>
      </c>
      <c r="C45" s="1">
        <f t="shared" si="10"/>
        <v>3.0515584274257095E-2</v>
      </c>
      <c r="D45" s="1">
        <f t="shared" si="11"/>
        <v>-30.309566205999939</v>
      </c>
      <c r="E45" s="3">
        <f t="shared" si="12"/>
        <v>-45.212669769055431</v>
      </c>
    </row>
    <row r="46" spans="1:18" x14ac:dyDescent="0.25">
      <c r="A46" s="2">
        <f>A45*1.4</f>
        <v>163.98978063355793</v>
      </c>
      <c r="B46" s="1">
        <f t="shared" si="9"/>
        <v>1030.3781802043745</v>
      </c>
      <c r="C46" s="1">
        <f t="shared" si="10"/>
        <v>2.4691969333378184E-2</v>
      </c>
      <c r="D46" s="1">
        <f t="shared" si="11"/>
        <v>-32.148885421683936</v>
      </c>
      <c r="E46" s="3">
        <f t="shared" si="12"/>
        <v>-53.799346777022883</v>
      </c>
    </row>
    <row r="47" spans="1:18" x14ac:dyDescent="0.25">
      <c r="A47" s="2">
        <f>A46*1.4</f>
        <v>229.58569288698109</v>
      </c>
      <c r="B47" s="1">
        <f t="shared" si="9"/>
        <v>1442.5294522861245</v>
      </c>
      <c r="C47" s="1">
        <f t="shared" si="10"/>
        <v>1.9068937459593524E-2</v>
      </c>
      <c r="D47" s="1">
        <f t="shared" si="11"/>
        <v>-34.393470112117612</v>
      </c>
      <c r="E47" s="3">
        <f t="shared" si="12"/>
        <v>-60.970395359393379</v>
      </c>
    </row>
    <row r="48" spans="1:18" ht="15.75" thickBot="1" x14ac:dyDescent="0.3">
      <c r="A48" s="4">
        <f>A47*1.4</f>
        <v>321.41997004177352</v>
      </c>
      <c r="B48" s="5">
        <f t="shared" si="9"/>
        <v>2019.5412332005742</v>
      </c>
      <c r="C48" s="1">
        <f t="shared" si="10"/>
        <v>1.4248632393488156E-2</v>
      </c>
      <c r="D48" s="5">
        <f t="shared" si="11"/>
        <v>-36.924536358673549</v>
      </c>
      <c r="E48" s="6">
        <f t="shared" si="12"/>
        <v>-66.17681038648179</v>
      </c>
    </row>
  </sheetData>
  <mergeCells count="9">
    <mergeCell ref="J7:K7"/>
    <mergeCell ref="J8:K8"/>
    <mergeCell ref="N11:O11"/>
    <mergeCell ref="W5:Y5"/>
    <mergeCell ref="W6:Y6"/>
    <mergeCell ref="W4:Y4"/>
    <mergeCell ref="J5:K5"/>
    <mergeCell ref="J6:K6"/>
    <mergeCell ref="J4:K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Guillory</dc:creator>
  <cp:lastModifiedBy>Sunzid Hassan</cp:lastModifiedBy>
  <dcterms:created xsi:type="dcterms:W3CDTF">2025-02-04T20:29:25Z</dcterms:created>
  <dcterms:modified xsi:type="dcterms:W3CDTF">2025-02-11T05:43:39Z</dcterms:modified>
</cp:coreProperties>
</file>