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wmf" ContentType="image/x-w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480" firstSheet="7" activeTab="8"/>
  </bookViews>
  <sheets>
    <sheet name="Original" sheetId="1" r:id="rId1"/>
    <sheet name="Rearranged" sheetId="4" r:id="rId2"/>
    <sheet name="Regrouped" sheetId="5" r:id="rId3"/>
    <sheet name="新整理20230209" sheetId="6" r:id="rId4"/>
    <sheet name="y-t &amp; v-t 处理表(以46为例)" sheetId="9" r:id="rId5"/>
    <sheet name="降压产率统计" sheetId="10" r:id="rId6"/>
    <sheet name="补充数据20230215-20230725" sheetId="7" r:id="rId7"/>
    <sheet name="总表20230726" sheetId="11" r:id="rId8"/>
    <sheet name="总表删错20231214" sheetId="13" r:id="rId9"/>
    <sheet name="粘度测量" sheetId="12" r:id="rId10"/>
    <sheet name="PE关系" sheetId="14" r:id="rId11"/>
  </sheets>
  <definedNames>
    <definedName name="_xlnm._FilterDatabase" localSheetId="7" hidden="1">总表20230726!$G$2:$G$271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<sst xmlns="http://schemas.openxmlformats.org/spreadsheetml/2006/main" count="1370" uniqueCount="271">
  <si>
    <r>
      <rPr>
        <sz val="14"/>
        <color theme="1"/>
        <rFont val="楷体"/>
        <charset val="134"/>
      </rPr>
      <t>数据记录</t>
    </r>
  </si>
  <si>
    <r>
      <rPr>
        <sz val="14"/>
        <color theme="1"/>
        <rFont val="楷体"/>
        <charset val="134"/>
      </rPr>
      <t>备注</t>
    </r>
  </si>
  <si>
    <t>Answer drop1</t>
  </si>
  <si>
    <t>Answer drop2</t>
  </si>
  <si>
    <t>Answer drop3</t>
  </si>
  <si>
    <r>
      <rPr>
        <sz val="14"/>
        <color theme="1"/>
        <rFont val="楷体"/>
        <charset val="134"/>
      </rPr>
      <t>数据编号</t>
    </r>
  </si>
  <si>
    <t>We</t>
  </si>
  <si>
    <t>Bd</t>
  </si>
  <si>
    <t>v0s/m/s</t>
  </si>
  <si>
    <t>a2s/m/s2</t>
  </si>
  <si>
    <t>a3s/m/s2</t>
  </si>
  <si>
    <t>R/mm</t>
  </si>
  <si>
    <t>Tlmax</t>
  </si>
  <si>
    <t>Tlmin</t>
  </si>
  <si>
    <t>Tdmax</t>
  </si>
  <si>
    <t>Tdmin</t>
  </si>
  <si>
    <t>T/ms</t>
  </si>
  <si>
    <r>
      <rPr>
        <sz val="14"/>
        <color theme="1"/>
        <rFont val="Times New Roman"/>
        <charset val="134"/>
      </rPr>
      <t>1.</t>
    </r>
    <r>
      <rPr>
        <sz val="14"/>
        <color theme="1"/>
        <rFont val="楷体"/>
        <charset val="134"/>
      </rPr>
      <t>第</t>
    </r>
    <r>
      <rPr>
        <sz val="14"/>
        <color theme="1"/>
        <rFont val="Times New Roman"/>
        <charset val="134"/>
      </rPr>
      <t>11</t>
    </r>
    <r>
      <rPr>
        <sz val="14"/>
        <color theme="1"/>
        <rFont val="楷体"/>
        <charset val="134"/>
      </rPr>
      <t>组速度实在太快，后续</t>
    </r>
    <r>
      <rPr>
        <sz val="14"/>
        <color theme="1"/>
        <rFont val="Times New Roman"/>
        <charset val="134"/>
      </rPr>
      <t>T</t>
    </r>
    <r>
      <rPr>
        <sz val="14"/>
        <color theme="1"/>
        <rFont val="楷体"/>
        <charset val="134"/>
      </rPr>
      <t>根本取不完，这也导致了</t>
    </r>
    <r>
      <rPr>
        <sz val="14"/>
        <color theme="1"/>
        <rFont val="Times New Roman"/>
        <charset val="134"/>
      </rPr>
      <t>We</t>
    </r>
    <r>
      <rPr>
        <sz val="14"/>
        <color theme="1"/>
        <rFont val="楷体"/>
        <charset val="134"/>
      </rPr>
      <t>特大；</t>
    </r>
    <r>
      <rPr>
        <sz val="14"/>
        <color theme="1"/>
        <rFont val="Times New Roman"/>
        <charset val="134"/>
      </rPr>
      <t>(</t>
    </r>
    <r>
      <rPr>
        <sz val="14"/>
        <color theme="1"/>
        <rFont val="楷体"/>
        <charset val="134"/>
      </rPr>
      <t>另见第</t>
    </r>
    <r>
      <rPr>
        <sz val="14"/>
        <color theme="1"/>
        <rFont val="Times New Roman"/>
        <charset val="134"/>
      </rPr>
      <t>45</t>
    </r>
    <r>
      <rPr>
        <sz val="14"/>
        <color theme="1"/>
        <rFont val="楷体"/>
        <charset val="134"/>
      </rPr>
      <t>组</t>
    </r>
    <r>
      <rPr>
        <sz val="14"/>
        <color theme="1"/>
        <rFont val="Times New Roman"/>
        <charset val="134"/>
      </rPr>
      <t>super-velocity)2.</t>
    </r>
    <r>
      <rPr>
        <sz val="14"/>
        <color theme="1"/>
        <rFont val="楷体"/>
        <charset val="134"/>
      </rPr>
      <t>第</t>
    </r>
    <r>
      <rPr>
        <sz val="14"/>
        <color theme="1"/>
        <rFont val="Times New Roman"/>
        <charset val="134"/>
      </rPr>
      <t>12-16</t>
    </r>
    <r>
      <rPr>
        <sz val="14"/>
        <color theme="1"/>
        <rFont val="楷体"/>
        <charset val="134"/>
      </rPr>
      <t>组是临界进不去的。</t>
    </r>
  </si>
  <si>
    <r>
      <rPr>
        <sz val="11"/>
        <color theme="1"/>
        <rFont val="Times New Roman"/>
        <charset val="134"/>
      </rPr>
      <t>v0s</t>
    </r>
    <r>
      <rPr>
        <sz val="11"/>
        <color theme="1"/>
        <rFont val="宋体"/>
        <charset val="134"/>
      </rPr>
      <t>的平方</t>
    </r>
  </si>
  <si>
    <r>
      <rPr>
        <sz val="14"/>
        <color theme="1"/>
        <rFont val="楷体"/>
        <charset val="134"/>
      </rPr>
      <t>不可求</t>
    </r>
  </si>
  <si>
    <r>
      <rPr>
        <sz val="14"/>
        <color theme="1"/>
        <rFont val="楷体"/>
        <charset val="134"/>
      </rPr>
      <t>一触即碎</t>
    </r>
  </si>
  <si>
    <r>
      <rPr>
        <sz val="14"/>
        <color theme="1"/>
        <rFont val="楷体"/>
        <charset val="134"/>
      </rPr>
      <t>进不去</t>
    </r>
  </si>
  <si>
    <t>21(1)</t>
  </si>
  <si>
    <t>bounce twice</t>
  </si>
  <si>
    <t>21(2)</t>
  </si>
  <si>
    <r>
      <rPr>
        <sz val="14"/>
        <color theme="1"/>
        <rFont val="楷体"/>
        <charset val="134"/>
      </rPr>
      <t>进后瞬间碎了</t>
    </r>
  </si>
  <si>
    <r>
      <rPr>
        <sz val="14"/>
        <color theme="1"/>
        <rFont val="楷体"/>
        <charset val="134"/>
      </rPr>
      <t>进前瞬间碎了</t>
    </r>
  </si>
  <si>
    <r>
      <rPr>
        <sz val="14"/>
        <color theme="1"/>
        <rFont val="楷体"/>
        <charset val="134"/>
      </rPr>
      <t>中部碎裂</t>
    </r>
  </si>
  <si>
    <r>
      <rPr>
        <sz val="14"/>
        <color theme="1"/>
        <rFont val="楷体"/>
        <charset val="134"/>
      </rPr>
      <t>下部碎裂</t>
    </r>
  </si>
  <si>
    <r>
      <rPr>
        <sz val="14"/>
        <color theme="1"/>
        <rFont val="楷体"/>
        <charset val="134"/>
      </rPr>
      <t>中下部碎裂</t>
    </r>
  </si>
  <si>
    <t>Sure to be right</t>
  </si>
  <si>
    <r>
      <rPr>
        <sz val="14"/>
        <color theme="1"/>
        <rFont val="楷体"/>
        <charset val="134"/>
      </rPr>
      <t>进不去</t>
    </r>
    <r>
      <rPr>
        <sz val="14"/>
        <color theme="1"/>
        <rFont val="Times New Roman"/>
        <charset val="134"/>
      </rPr>
      <t>(</t>
    </r>
    <r>
      <rPr>
        <sz val="14"/>
        <color theme="1"/>
        <rFont val="楷体"/>
        <charset val="134"/>
      </rPr>
      <t>中段碎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</si>
  <si>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楷体"/>
        <charset val="134"/>
      </rPr>
      <t>进不去</t>
    </r>
    <r>
      <rPr>
        <sz val="14"/>
        <color theme="1"/>
        <rFont val="Times New Roman"/>
        <charset val="134"/>
      </rPr>
      <t>(</t>
    </r>
    <r>
      <rPr>
        <sz val="14"/>
        <color theme="1"/>
        <rFont val="楷体"/>
        <charset val="134"/>
      </rPr>
      <t>下极限碎</t>
    </r>
    <r>
      <rPr>
        <sz val="14"/>
        <color theme="1"/>
        <rFont val="Times New Roman"/>
        <charset val="134"/>
      </rPr>
      <t>)</t>
    </r>
  </si>
  <si>
    <t>merge</t>
  </si>
  <si>
    <t>不可求</t>
  </si>
  <si>
    <t>high bounce</t>
  </si>
  <si>
    <r>
      <rPr>
        <sz val="14"/>
        <color theme="1"/>
        <rFont val="楷体"/>
        <charset val="134"/>
      </rPr>
      <t>进不去</t>
    </r>
    <r>
      <rPr>
        <sz val="14"/>
        <color theme="1"/>
        <rFont val="Times New Roman"/>
        <charset val="134"/>
      </rPr>
      <t>(</t>
    </r>
    <r>
      <rPr>
        <sz val="14"/>
        <color theme="1"/>
        <rFont val="楷体"/>
        <charset val="134"/>
      </rPr>
      <t>下极限后碎</t>
    </r>
    <r>
      <rPr>
        <sz val="14"/>
        <color theme="1"/>
        <rFont val="Times New Roman"/>
        <charset val="134"/>
      </rPr>
      <t>)</t>
    </r>
  </si>
  <si>
    <t>backmerge</t>
  </si>
  <si>
    <r>
      <rPr>
        <sz val="14"/>
        <color theme="1"/>
        <rFont val="Times New Roman"/>
        <charset val="134"/>
      </rPr>
      <t>44(</t>
    </r>
    <r>
      <rPr>
        <sz val="14"/>
        <color theme="1"/>
        <rFont val="楷体"/>
        <charset val="134"/>
      </rPr>
      <t>大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</si>
  <si>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Times New Roman"/>
        <charset val="134"/>
      </rPr>
      <t>45(</t>
    </r>
    <r>
      <rPr>
        <sz val="14"/>
        <color theme="1"/>
        <rFont val="楷体"/>
        <charset val="134"/>
      </rPr>
      <t>大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</si>
  <si>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楷体"/>
        <charset val="134"/>
      </rPr>
      <t>双</t>
    </r>
    <r>
      <rPr>
        <sz val="14"/>
        <color theme="1"/>
        <rFont val="Times New Roman"/>
        <charset val="134"/>
      </rPr>
      <t>pinch-off</t>
    </r>
  </si>
  <si>
    <t>super-velocity</t>
  </si>
  <si>
    <r>
      <rPr>
        <sz val="14"/>
        <color theme="1"/>
        <rFont val="Times New Roman"/>
        <charset val="134"/>
      </rPr>
      <t>46(</t>
    </r>
    <r>
      <rPr>
        <sz val="14"/>
        <color theme="1"/>
        <rFont val="楷体"/>
        <charset val="134"/>
      </rPr>
      <t>大</t>
    </r>
    <r>
      <rPr>
        <sz val="14"/>
        <color theme="1"/>
        <rFont val="Times New Roman"/>
        <charset val="134"/>
      </rPr>
      <t>)</t>
    </r>
  </si>
  <si>
    <t>revised</t>
  </si>
  <si>
    <r>
      <rPr>
        <sz val="14"/>
        <color theme="1"/>
        <rFont val="Times New Roman"/>
        <charset val="134"/>
      </rPr>
      <t>47(</t>
    </r>
    <r>
      <rPr>
        <sz val="14"/>
        <color theme="1"/>
        <rFont val="楷体"/>
        <charset val="134"/>
      </rPr>
      <t>大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</si>
  <si>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Times New Roman"/>
        <charset val="134"/>
      </rPr>
      <t>48(</t>
    </r>
    <r>
      <rPr>
        <sz val="14"/>
        <color theme="1"/>
        <rFont val="楷体"/>
        <charset val="134"/>
      </rPr>
      <t>大</t>
    </r>
    <r>
      <rPr>
        <sz val="14"/>
        <color theme="1"/>
        <rFont val="Times New Roman"/>
        <charset val="134"/>
      </rPr>
      <t>)</t>
    </r>
  </si>
  <si>
    <t>数据记录</t>
  </si>
  <si>
    <t>分组</t>
  </si>
  <si>
    <t>Bo</t>
  </si>
  <si>
    <t>Penetrate</t>
  </si>
  <si>
    <r>
      <rPr>
        <sz val="14"/>
        <color theme="1"/>
        <rFont val="Times New Roman"/>
        <charset val="134"/>
      </rPr>
      <t>1.</t>
    </r>
    <r>
      <rPr>
        <sz val="14"/>
        <color theme="1"/>
        <rFont val="楷体"/>
        <charset val="134"/>
      </rPr>
      <t>第</t>
    </r>
    <r>
      <rPr>
        <sz val="14"/>
        <color theme="1"/>
        <rFont val="Times New Roman"/>
        <charset val="134"/>
      </rPr>
      <t>11</t>
    </r>
    <r>
      <rPr>
        <sz val="14"/>
        <color theme="1"/>
        <rFont val="楷体"/>
        <charset val="134"/>
      </rPr>
      <t>组速度实在太快，后续</t>
    </r>
    <r>
      <rPr>
        <sz val="14"/>
        <color theme="1"/>
        <rFont val="Times New Roman"/>
        <charset val="134"/>
      </rPr>
      <t>T</t>
    </r>
    <r>
      <rPr>
        <sz val="14"/>
        <color theme="1"/>
        <rFont val="楷体"/>
        <charset val="134"/>
      </rPr>
      <t>根本取不完，这也导致了</t>
    </r>
    <r>
      <rPr>
        <sz val="14"/>
        <color theme="1"/>
        <rFont val="Times New Roman"/>
        <charset val="134"/>
      </rPr>
      <t>We</t>
    </r>
    <r>
      <rPr>
        <sz val="14"/>
        <color theme="1"/>
        <rFont val="楷体"/>
        <charset val="134"/>
      </rPr>
      <t>特大；</t>
    </r>
    <r>
      <rPr>
        <sz val="14"/>
        <color theme="1"/>
        <rFont val="Times New Roman"/>
        <charset val="134"/>
      </rPr>
      <t>(</t>
    </r>
    <r>
      <rPr>
        <sz val="14"/>
        <color theme="1"/>
        <rFont val="楷体"/>
        <charset val="134"/>
      </rPr>
      <t>另见第</t>
    </r>
    <r>
      <rPr>
        <sz val="14"/>
        <color theme="1"/>
        <rFont val="Times New Roman"/>
        <charset val="134"/>
      </rPr>
      <t>45</t>
    </r>
    <r>
      <rPr>
        <sz val="14"/>
        <color theme="1"/>
        <rFont val="楷体"/>
        <charset val="134"/>
      </rPr>
      <t>组</t>
    </r>
    <r>
      <rPr>
        <sz val="14"/>
        <color theme="1"/>
        <rFont val="Times New Roman"/>
        <charset val="134"/>
      </rPr>
      <t>super-velocity)</t>
    </r>
  </si>
  <si>
    <r>
      <rPr>
        <sz val="14"/>
        <color theme="1"/>
        <rFont val="楷体"/>
        <charset val="134"/>
      </rPr>
      <t>双</t>
    </r>
    <r>
      <rPr>
        <sz val="14"/>
        <color theme="1"/>
        <rFont val="Times New Roman"/>
        <charset val="134"/>
      </rPr>
      <t>pinch-off</t>
    </r>
    <r>
      <rPr>
        <sz val="14"/>
        <color theme="1"/>
        <rFont val="楷体"/>
        <charset val="134"/>
      </rPr>
      <t>（</t>
    </r>
    <r>
      <rPr>
        <sz val="14"/>
        <color theme="1"/>
        <rFont val="Times New Roman"/>
        <charset val="134"/>
      </rPr>
      <t>super-velocity</t>
    </r>
    <r>
      <rPr>
        <sz val="14"/>
        <color theme="1"/>
        <rFont val="楷体"/>
        <charset val="134"/>
      </rPr>
      <t>）</t>
    </r>
  </si>
  <si>
    <t>Penetrate
(Unstable)</t>
  </si>
  <si>
    <t>Bounce</t>
  </si>
  <si>
    <r>
      <rPr>
        <sz val="14"/>
        <color theme="1"/>
        <rFont val="楷体"/>
        <charset val="134"/>
      </rPr>
      <t>偏仄，弹回</t>
    </r>
  </si>
  <si>
    <r>
      <rPr>
        <sz val="14"/>
        <color theme="1"/>
        <rFont val="楷体"/>
        <charset val="134"/>
      </rPr>
      <t>偏仄，几乎是滚下去的，弹回</t>
    </r>
  </si>
  <si>
    <r>
      <rPr>
        <sz val="14"/>
        <color theme="1"/>
        <rFont val="楷体"/>
        <charset val="134"/>
      </rPr>
      <t>回</t>
    </r>
    <r>
      <rPr>
        <sz val="14"/>
        <color theme="1"/>
        <rFont val="Times New Roman"/>
        <charset val="134"/>
      </rPr>
      <t>-</t>
    </r>
    <r>
      <rPr>
        <sz val="14"/>
        <color theme="1"/>
        <rFont val="楷体"/>
        <charset val="134"/>
      </rPr>
      <t>中</t>
    </r>
    <r>
      <rPr>
        <sz val="14"/>
        <color theme="1"/>
        <rFont val="Times New Roman"/>
        <charset val="134"/>
      </rPr>
      <t>Merge</t>
    </r>
  </si>
  <si>
    <t>Merge</t>
  </si>
  <si>
    <t>进后瞬间碎了</t>
  </si>
  <si>
    <t>进前瞬间碎了</t>
  </si>
  <si>
    <r>
      <rPr>
        <sz val="14"/>
        <color theme="1"/>
        <rFont val="楷体"/>
        <charset val="134"/>
      </rPr>
      <t>进不去</t>
    </r>
    <r>
      <rPr>
        <sz val="14"/>
        <color theme="1"/>
        <rFont val="Times New Roman"/>
        <charset val="134"/>
      </rPr>
      <t>(</t>
    </r>
    <r>
      <rPr>
        <sz val="14"/>
        <color theme="1"/>
        <rFont val="楷体"/>
        <charset val="134"/>
      </rPr>
      <t>下极限碎</t>
    </r>
    <r>
      <rPr>
        <sz val="14"/>
        <color theme="1"/>
        <rFont val="Times New Roman"/>
        <charset val="134"/>
      </rPr>
      <t>)(merge)</t>
    </r>
  </si>
  <si>
    <r>
      <rPr>
        <sz val="14"/>
        <color theme="1"/>
        <rFont val="楷体"/>
        <charset val="134"/>
      </rPr>
      <t>进不去</t>
    </r>
    <r>
      <rPr>
        <sz val="14"/>
        <color theme="1"/>
        <rFont val="Times New Roman"/>
        <charset val="134"/>
      </rPr>
      <t>(</t>
    </r>
    <r>
      <rPr>
        <sz val="14"/>
        <color theme="1"/>
        <rFont val="楷体"/>
        <charset val="134"/>
      </rPr>
      <t>下极限后碎</t>
    </r>
    <r>
      <rPr>
        <sz val="14"/>
        <color theme="1"/>
        <rFont val="Times New Roman"/>
        <charset val="134"/>
      </rPr>
      <t>)(backmerge)</t>
    </r>
  </si>
  <si>
    <t>Antibubble</t>
  </si>
  <si>
    <t>Inner Coalescence</t>
  </si>
  <si>
    <t>Outer Coalescence</t>
  </si>
  <si>
    <r>
      <rPr>
        <sz val="14"/>
        <color theme="1"/>
        <rFont val="楷体"/>
        <charset val="134"/>
      </rPr>
      <t>分组</t>
    </r>
  </si>
  <si>
    <t>v0/m/s</t>
  </si>
  <si>
    <t>R/m</t>
  </si>
  <si>
    <t>σ/N/m</t>
  </si>
  <si>
    <t>ρ/kg/m^3</t>
  </si>
  <si>
    <t>g/m/s^2</t>
  </si>
  <si>
    <r>
      <rPr>
        <sz val="14"/>
        <color theme="1"/>
        <rFont val="Times New Roman"/>
        <charset val="134"/>
      </rPr>
      <t>μ(</t>
    </r>
    <r>
      <rPr>
        <sz val="14"/>
        <color theme="1"/>
        <rFont val="宋体"/>
        <charset val="134"/>
      </rPr>
      <t>暂时以水代替</t>
    </r>
    <r>
      <rPr>
        <sz val="14"/>
        <color theme="1"/>
        <rFont val="Times New Roman"/>
        <charset val="134"/>
      </rPr>
      <t>)/kg/(ms)</t>
    </r>
  </si>
  <si>
    <r>
      <rPr>
        <sz val="16"/>
        <color theme="1"/>
        <rFont val="Times New Roman"/>
        <charset val="134"/>
      </rPr>
      <t>μ</t>
    </r>
    <r>
      <rPr>
        <sz val="10"/>
        <color theme="1"/>
        <rFont val="Times New Roman"/>
        <charset val="134"/>
      </rPr>
      <t>air</t>
    </r>
    <r>
      <rPr>
        <sz val="16"/>
        <color theme="1"/>
        <rFont val="Times New Roman"/>
        <charset val="134"/>
      </rPr>
      <t>/kg/(m·s)
(</t>
    </r>
    <r>
      <rPr>
        <sz val="16"/>
        <color theme="1"/>
        <rFont val="宋体"/>
        <charset val="134"/>
      </rPr>
      <t>变化不大</t>
    </r>
    <r>
      <rPr>
        <sz val="16"/>
        <color theme="1"/>
        <rFont val="Times New Roman"/>
        <charset val="134"/>
      </rPr>
      <t>)</t>
    </r>
  </si>
  <si>
    <t>动力学模型检验</t>
  </si>
  <si>
    <t>Ca</t>
  </si>
  <si>
    <t>Oh</t>
  </si>
  <si>
    <r>
      <rPr>
        <sz val="14"/>
        <color theme="1"/>
        <rFont val="Times New Roman"/>
        <charset val="134"/>
      </rPr>
      <t>t-capillary(</t>
    </r>
    <r>
      <rPr>
        <sz val="14"/>
        <color theme="1"/>
        <rFont val="宋体"/>
        <charset val="134"/>
      </rPr>
      <t>与</t>
    </r>
    <r>
      <rPr>
        <sz val="14"/>
        <color theme="1"/>
        <rFont val="Times New Roman"/>
        <charset val="134"/>
      </rPr>
      <t>pinch-off</t>
    </r>
    <r>
      <rPr>
        <sz val="14"/>
        <color theme="1"/>
        <rFont val="宋体"/>
        <charset val="134"/>
      </rPr>
      <t>相当</t>
    </r>
    <r>
      <rPr>
        <sz val="14"/>
        <color theme="1"/>
        <rFont val="Times New Roman"/>
        <charset val="134"/>
      </rPr>
      <t>)/s</t>
    </r>
  </si>
  <si>
    <r>
      <rPr>
        <sz val="14"/>
        <color theme="1"/>
        <rFont val="Times New Roman"/>
        <charset val="134"/>
      </rPr>
      <t>ε(</t>
    </r>
    <r>
      <rPr>
        <sz val="14"/>
        <color theme="1"/>
        <rFont val="宋体"/>
        <charset val="134"/>
      </rPr>
      <t>气膜厚度</t>
    </r>
    <r>
      <rPr>
        <sz val="14"/>
        <color theme="1"/>
        <rFont val="Times New Roman"/>
        <charset val="134"/>
      </rPr>
      <t>)/m</t>
    </r>
  </si>
  <si>
    <t>t-drain/s</t>
  </si>
  <si>
    <t>t-cap/t-drain</t>
  </si>
  <si>
    <t>Ek/J</t>
  </si>
  <si>
    <t>原始y坐标(m)</t>
  </si>
  <si>
    <t>平滑y坐标(m)</t>
  </si>
  <si>
    <t>y-t横坐标(s)</t>
  </si>
  <si>
    <t>y-t纵坐标(m)</t>
  </si>
  <si>
    <t>v-t横坐标(s)</t>
  </si>
  <si>
    <t>v-t纵坐标(m)</t>
  </si>
  <si>
    <t>接触帧(s)</t>
  </si>
  <si>
    <t>夹断帧(s)</t>
  </si>
  <si>
    <t>压强</t>
  </si>
  <si>
    <t>We+2Bo≈50</t>
  </si>
  <si>
    <t>We+2Bo≈15</t>
  </si>
  <si>
    <t>这个图最后是用origin作的，可以去硬盘里找</t>
  </si>
  <si>
    <r>
      <rPr>
        <sz val="22"/>
        <color theme="1"/>
        <rFont val="楷体"/>
        <charset val="134"/>
      </rPr>
      <t>数据记录：</t>
    </r>
    <r>
      <rPr>
        <sz val="22"/>
        <color theme="1"/>
        <rFont val="Times New Roman"/>
        <charset val="134"/>
      </rPr>
      <t>A-C</t>
    </r>
    <r>
      <rPr>
        <sz val="22"/>
        <color theme="1"/>
        <rFont val="楷体"/>
        <charset val="134"/>
      </rPr>
      <t>列为基本信息与编号，</t>
    </r>
    <r>
      <rPr>
        <sz val="22"/>
        <color theme="1"/>
        <rFont val="Times New Roman"/>
        <charset val="134"/>
      </rPr>
      <t>D-F</t>
    </r>
    <r>
      <rPr>
        <sz val="22"/>
        <color theme="1"/>
        <rFont val="楷体"/>
        <charset val="134"/>
      </rPr>
      <t>列为自变量（</t>
    </r>
    <r>
      <rPr>
        <sz val="22"/>
        <color theme="1"/>
        <rFont val="Times New Roman"/>
        <charset val="134"/>
      </rPr>
      <t>MATLAB</t>
    </r>
    <r>
      <rPr>
        <sz val="22"/>
        <color theme="1"/>
        <rFont val="楷体"/>
        <charset val="134"/>
      </rPr>
      <t>所得数据），</t>
    </r>
    <r>
      <rPr>
        <sz val="22"/>
        <color theme="1"/>
        <rFont val="Times New Roman"/>
        <charset val="134"/>
      </rPr>
      <t>G-K</t>
    </r>
    <r>
      <rPr>
        <sz val="22"/>
        <color theme="1"/>
        <rFont val="楷体"/>
        <charset val="134"/>
      </rPr>
      <t>列为基本常数，</t>
    </r>
    <r>
      <rPr>
        <sz val="22"/>
        <color theme="1"/>
        <rFont val="Times New Roman"/>
        <charset val="134"/>
      </rPr>
      <t>L-W</t>
    </r>
    <r>
      <rPr>
        <sz val="22"/>
        <color theme="1"/>
        <rFont val="楷体"/>
        <charset val="134"/>
      </rPr>
      <t>列为各种导出量和计算量</t>
    </r>
    <r>
      <rPr>
        <sz val="22"/>
        <color theme="1"/>
        <rFont val="Times New Roman"/>
        <charset val="134"/>
      </rPr>
      <t>,</t>
    </r>
    <r>
      <rPr>
        <sz val="22"/>
        <color theme="1"/>
        <rFont val="楷体"/>
        <charset val="134"/>
      </rPr>
      <t>最右边一列留为备注</t>
    </r>
  </si>
  <si>
    <t>备注</t>
  </si>
  <si>
    <t>压力条件</t>
  </si>
  <si>
    <t>反气泡情况</t>
  </si>
  <si>
    <r>
      <rPr>
        <sz val="16"/>
        <color theme="1"/>
        <rFont val="Times New Roman"/>
        <charset val="134"/>
      </rPr>
      <t>ε/m
(</t>
    </r>
    <r>
      <rPr>
        <sz val="16"/>
        <color theme="1"/>
        <rFont val="宋体"/>
        <charset val="134"/>
      </rPr>
      <t>气膜厚度</t>
    </r>
    <r>
      <rPr>
        <sz val="16"/>
        <color theme="1"/>
        <rFont val="Times New Roman"/>
        <charset val="134"/>
      </rPr>
      <t>)</t>
    </r>
  </si>
  <si>
    <r>
      <rPr>
        <sz val="16"/>
        <color theme="1"/>
        <rFont val="Times New Roman"/>
        <charset val="134"/>
      </rPr>
      <t>μ/kg/(m·s)
(</t>
    </r>
    <r>
      <rPr>
        <sz val="16"/>
        <color theme="1"/>
        <rFont val="宋体"/>
        <charset val="134"/>
      </rPr>
      <t>以水替</t>
    </r>
    <r>
      <rPr>
        <sz val="16"/>
        <color theme="1"/>
        <rFont val="Times New Roman"/>
        <charset val="134"/>
      </rPr>
      <t>)</t>
    </r>
  </si>
  <si>
    <t>动力学
模型检验</t>
  </si>
  <si>
    <r>
      <rPr>
        <sz val="12"/>
        <color theme="1"/>
        <rFont val="Times New Roman"/>
        <charset val="134"/>
      </rPr>
      <t>t-capillary/s
(</t>
    </r>
    <r>
      <rPr>
        <sz val="12"/>
        <color theme="1"/>
        <rFont val="宋体"/>
        <charset val="134"/>
      </rPr>
      <t>与</t>
    </r>
    <r>
      <rPr>
        <sz val="12"/>
        <color theme="1"/>
        <rFont val="Times New Roman"/>
        <charset val="134"/>
      </rPr>
      <t>pinch-off</t>
    </r>
    <r>
      <rPr>
        <sz val="12"/>
        <color theme="1"/>
        <rFont val="宋体"/>
        <charset val="134"/>
      </rPr>
      <t>相当</t>
    </r>
    <r>
      <rPr>
        <sz val="12"/>
        <color theme="1"/>
        <rFont val="Times New Roman"/>
        <charset val="134"/>
      </rPr>
      <t>)</t>
    </r>
  </si>
  <si>
    <t>t'-drain/s</t>
  </si>
  <si>
    <t>t-cap/t'-drain</t>
  </si>
  <si>
    <t>P=1.0atm</t>
  </si>
  <si>
    <r>
      <rPr>
        <sz val="11"/>
        <color theme="1"/>
        <rFont val="宋体"/>
        <charset val="134"/>
      </rPr>
      <t>针管离</t>
    </r>
    <r>
      <rPr>
        <sz val="11"/>
        <color theme="1"/>
        <rFont val="Times New Roman"/>
        <charset val="134"/>
      </rPr>
      <t>node</t>
    </r>
    <r>
      <rPr>
        <sz val="11"/>
        <color theme="1"/>
        <rFont val="宋体"/>
        <charset val="134"/>
      </rPr>
      <t>太近,直接融合,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无法处理</t>
    </r>
  </si>
  <si>
    <t>液滴速度太快，无法处理</t>
  </si>
  <si>
    <r>
      <rPr>
        <sz val="14"/>
        <color theme="1"/>
        <rFont val="Times New Roman"/>
        <charset val="134"/>
      </rPr>
      <t>117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</si>
  <si>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117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</si>
  <si>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*</t>
    </r>
    <r>
      <rPr>
        <sz val="14"/>
        <color theme="1"/>
        <rFont val="楷体"/>
        <charset val="134"/>
      </rPr>
      <t>低压估算</t>
    </r>
    <r>
      <rPr>
        <sz val="14"/>
        <color theme="1"/>
        <rFont val="Times New Roman"/>
        <charset val="134"/>
      </rPr>
      <t>1</t>
    </r>
  </si>
  <si>
    <t>null</t>
  </si>
  <si>
    <r>
      <rPr>
        <sz val="14"/>
        <color theme="1"/>
        <rFont val="Times New Roman"/>
        <charset val="134"/>
      </rPr>
      <t>*</t>
    </r>
    <r>
      <rPr>
        <sz val="14"/>
        <color theme="1"/>
        <rFont val="楷体"/>
        <charset val="134"/>
      </rPr>
      <t>低压估算</t>
    </r>
    <r>
      <rPr>
        <sz val="14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</si>
  <si>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0.013983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</si>
  <si>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0.0002639</t>
    </r>
    <r>
      <rPr>
        <sz val="11"/>
        <color theme="1"/>
        <rFont val="宋体"/>
        <charset val="134"/>
      </rPr>
      <t>两串数字？</t>
    </r>
  </si>
  <si>
    <r>
      <rPr>
        <sz val="14"/>
        <color theme="1"/>
        <rFont val="Times New Roman"/>
        <charset val="134"/>
      </rPr>
      <t>138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</si>
  <si>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t>这个a2令人沮丧（图像不清晰）</t>
  </si>
  <si>
    <r>
      <rPr>
        <sz val="14"/>
        <color theme="1"/>
        <rFont val="Times New Roman"/>
        <charset val="134"/>
      </rPr>
      <t>138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</si>
  <si>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t>现在的分类是粗分类，还需要调整。另外后面还有一些在韩老师电脑上</t>
  </si>
  <si>
    <r>
      <rPr>
        <sz val="14"/>
        <color theme="1"/>
        <rFont val="Times New Roman"/>
        <charset val="134"/>
      </rPr>
      <t>148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</si>
  <si>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t>2阶段几乎是匀速，a2的图像处理因素大</t>
  </si>
  <si>
    <r>
      <rPr>
        <sz val="14"/>
        <color theme="1"/>
        <rFont val="Times New Roman"/>
        <charset val="134"/>
      </rPr>
      <t>148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</si>
  <si>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159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</si>
  <si>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159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</si>
  <si>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160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</si>
  <si>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160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</si>
  <si>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161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</si>
  <si>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161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</si>
  <si>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161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</si>
  <si>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162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</si>
  <si>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162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</si>
  <si>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163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</si>
  <si>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163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</si>
  <si>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163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</si>
  <si>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164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</si>
  <si>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164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</si>
  <si>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164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</si>
  <si>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165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</si>
  <si>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165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</si>
  <si>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166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</si>
  <si>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166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</si>
  <si>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166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</si>
  <si>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168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</si>
  <si>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t>此液滴能进去的原因是前方液滴影响</t>
  </si>
  <si>
    <r>
      <rPr>
        <sz val="14"/>
        <color theme="1"/>
        <rFont val="Times New Roman"/>
        <charset val="134"/>
      </rPr>
      <t>168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</si>
  <si>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169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</si>
  <si>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169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</si>
  <si>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169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）</t>
    </r>
  </si>
  <si>
    <t>速度不一致是因为针管推进</t>
  </si>
  <si>
    <r>
      <rPr>
        <sz val="11"/>
        <color theme="1"/>
        <rFont val="Times New Roman"/>
        <charset val="134"/>
      </rPr>
      <t>a2</t>
    </r>
    <r>
      <rPr>
        <sz val="11"/>
        <color theme="1"/>
        <rFont val="宋体"/>
        <charset val="134"/>
      </rPr>
      <t>看似大，其实是因为误差（液滴运动基本匀速，但只有几帧，二次曲线拟合效果不好（更说明是直线））</t>
    </r>
  </si>
  <si>
    <r>
      <rPr>
        <sz val="14"/>
        <color theme="1"/>
        <rFont val="Times New Roman"/>
        <charset val="134"/>
      </rPr>
      <t>172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</si>
  <si>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172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</si>
  <si>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t>液滴间影响太大，放弃处理</t>
  </si>
  <si>
    <r>
      <rPr>
        <sz val="14"/>
        <color theme="1"/>
        <rFont val="Times New Roman"/>
        <charset val="134"/>
      </rPr>
      <t>175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</si>
  <si>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175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</si>
  <si>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175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</si>
  <si>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177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</si>
  <si>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177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</si>
  <si>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179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</si>
  <si>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179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</si>
  <si>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182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</si>
  <si>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182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</si>
  <si>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183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</si>
  <si>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183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</si>
  <si>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184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</si>
  <si>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184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</si>
  <si>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t>双胞、液滴等等，无法处理</t>
  </si>
  <si>
    <r>
      <rPr>
        <sz val="14"/>
        <color theme="1"/>
        <rFont val="Times New Roman"/>
        <charset val="134"/>
      </rPr>
      <t>187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</si>
  <si>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187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</si>
  <si>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t>数据记录：A列为编号（粉色为反气泡，橙色为Inner Coal，玫红色为Outer Coal），柠檬黄色列为自变量（实验及MATLAB数据），灰黄色列为不确定度，浅绿色列为基本常数，天蓝色列为各种导出量,最右边一列留为备注</t>
  </si>
  <si>
    <t>20250607惯性理论引入</t>
  </si>
  <si>
    <t>类型</t>
  </si>
  <si>
    <t>a2s/m/s^2</t>
  </si>
  <si>
    <t>a3s/m/s^2</t>
  </si>
  <si>
    <t>P/atm</t>
  </si>
  <si>
    <r>
      <rPr>
        <sz val="16"/>
        <color theme="1"/>
        <rFont val="Times New Roman"/>
        <charset val="134"/>
      </rPr>
      <t>U</t>
    </r>
    <r>
      <rPr>
        <sz val="9"/>
        <color theme="1"/>
        <rFont val="Times New Roman"/>
        <charset val="134"/>
      </rPr>
      <t>R</t>
    </r>
    <r>
      <rPr>
        <sz val="16"/>
        <color theme="1"/>
        <rFont val="Times New Roman"/>
        <charset val="134"/>
      </rPr>
      <t>/m</t>
    </r>
  </si>
  <si>
    <r>
      <rPr>
        <sz val="16"/>
        <color theme="1"/>
        <rFont val="Times New Roman"/>
        <charset val="134"/>
      </rPr>
      <t>U</t>
    </r>
    <r>
      <rPr>
        <sz val="9"/>
        <color theme="1"/>
        <rFont val="Times New Roman"/>
        <charset val="134"/>
      </rPr>
      <t>t</t>
    </r>
    <r>
      <rPr>
        <sz val="16"/>
        <color theme="1"/>
        <rFont val="Times New Roman"/>
        <charset val="134"/>
      </rPr>
      <t>/s</t>
    </r>
  </si>
  <si>
    <r>
      <rPr>
        <sz val="16"/>
        <color theme="1"/>
        <rFont val="Times New Roman"/>
        <charset val="134"/>
      </rPr>
      <t>U</t>
    </r>
    <r>
      <rPr>
        <sz val="9"/>
        <color theme="1"/>
        <rFont val="Times New Roman"/>
        <charset val="134"/>
      </rPr>
      <t>v0</t>
    </r>
    <r>
      <rPr>
        <sz val="16"/>
        <color theme="1"/>
        <rFont val="Times New Roman"/>
        <charset val="134"/>
      </rPr>
      <t>/(m/s)</t>
    </r>
  </si>
  <si>
    <r>
      <rPr>
        <sz val="16"/>
        <color theme="1"/>
        <rFont val="Times New Roman"/>
        <charset val="134"/>
      </rPr>
      <t>U</t>
    </r>
    <r>
      <rPr>
        <sz val="9"/>
        <color theme="1"/>
        <rFont val="Times New Roman"/>
        <charset val="134"/>
      </rPr>
      <t>a3s/</t>
    </r>
    <r>
      <rPr>
        <sz val="16"/>
        <color theme="1"/>
        <rFont val="Times New Roman"/>
        <charset val="134"/>
      </rPr>
      <t>(m/s^2)</t>
    </r>
  </si>
  <si>
    <r>
      <rPr>
        <sz val="16"/>
        <color theme="1"/>
        <rFont val="Times New Roman"/>
        <charset val="134"/>
      </rPr>
      <t>U</t>
    </r>
    <r>
      <rPr>
        <sz val="9"/>
        <color theme="1"/>
        <rFont val="Times New Roman"/>
        <charset val="134"/>
      </rPr>
      <t>We</t>
    </r>
  </si>
  <si>
    <r>
      <rPr>
        <sz val="16"/>
        <color theme="1"/>
        <rFont val="Times New Roman"/>
        <charset val="134"/>
      </rPr>
      <t>U</t>
    </r>
    <r>
      <rPr>
        <sz val="9"/>
        <color theme="1"/>
        <rFont val="Times New Roman"/>
        <charset val="134"/>
      </rPr>
      <t>t-cap</t>
    </r>
  </si>
  <si>
    <r>
      <rPr>
        <sz val="16"/>
        <color theme="1"/>
        <rFont val="Times New Roman"/>
        <charset val="134"/>
      </rPr>
      <t>U</t>
    </r>
    <r>
      <rPr>
        <sz val="9"/>
        <color theme="1"/>
        <rFont val="Times New Roman"/>
        <charset val="134"/>
      </rPr>
      <t>t-drain</t>
    </r>
  </si>
  <si>
    <r>
      <rPr>
        <sz val="16"/>
        <color theme="1"/>
        <rFont val="Times New Roman"/>
        <charset val="134"/>
      </rPr>
      <t>U</t>
    </r>
    <r>
      <rPr>
        <sz val="9"/>
        <color theme="1"/>
        <rFont val="Times New Roman"/>
        <charset val="134"/>
      </rPr>
      <t>t-cap/t-drain</t>
    </r>
  </si>
  <si>
    <r>
      <rPr>
        <sz val="16"/>
        <color theme="1"/>
        <rFont val="Times New Roman"/>
        <charset val="134"/>
      </rPr>
      <t>σ/N/m</t>
    </r>
    <r>
      <rPr>
        <sz val="16"/>
        <color theme="1"/>
        <rFont val="宋体"/>
        <charset val="134"/>
      </rPr>
      <t>猜测</t>
    </r>
  </si>
  <si>
    <r>
      <rPr>
        <sz val="16"/>
        <color theme="1"/>
        <rFont val="Times New Roman"/>
        <charset val="134"/>
      </rPr>
      <t>ρ</t>
    </r>
    <r>
      <rPr>
        <sz val="9"/>
        <color theme="1"/>
        <rFont val="Times New Roman"/>
        <charset val="134"/>
      </rPr>
      <t>air</t>
    </r>
    <r>
      <rPr>
        <sz val="16"/>
        <color theme="1"/>
        <rFont val="Times New Roman"/>
        <charset val="134"/>
      </rPr>
      <t>/kg/m^3</t>
    </r>
  </si>
  <si>
    <r>
      <rPr>
        <sz val="16"/>
        <color theme="1"/>
        <rFont val="Times New Roman"/>
        <charset val="134"/>
      </rPr>
      <t>ε</t>
    </r>
    <r>
      <rPr>
        <sz val="11"/>
        <color theme="1"/>
        <rFont val="Times New Roman"/>
        <charset val="134"/>
      </rPr>
      <t>c</t>
    </r>
    <r>
      <rPr>
        <sz val="16"/>
        <color theme="1"/>
        <rFont val="Times New Roman"/>
        <charset val="134"/>
      </rPr>
      <t>/m
(</t>
    </r>
    <r>
      <rPr>
        <sz val="16"/>
        <color theme="1"/>
        <rFont val="宋体"/>
        <charset val="134"/>
      </rPr>
      <t>临界厚度</t>
    </r>
    <r>
      <rPr>
        <sz val="16"/>
        <color theme="1"/>
        <rFont val="Times New Roman"/>
        <charset val="134"/>
      </rPr>
      <t>)</t>
    </r>
  </si>
  <si>
    <r>
      <rPr>
        <sz val="16"/>
        <color theme="1"/>
        <rFont val="Times New Roman"/>
        <charset val="134"/>
      </rPr>
      <t>ε/m</t>
    </r>
    <r>
      <rPr>
        <sz val="16"/>
        <color theme="1"/>
        <rFont val="宋体"/>
        <charset val="134"/>
      </rPr>
      <t>猜测</t>
    </r>
    <r>
      <rPr>
        <sz val="16"/>
        <color theme="1"/>
        <rFont val="Times New Roman"/>
        <charset val="134"/>
      </rPr>
      <t xml:space="preserve">
(</t>
    </r>
    <r>
      <rPr>
        <sz val="16"/>
        <color theme="1"/>
        <rFont val="宋体"/>
        <charset val="134"/>
      </rPr>
      <t>气膜厚度</t>
    </r>
    <r>
      <rPr>
        <sz val="16"/>
        <color theme="1"/>
        <rFont val="Times New Roman"/>
        <charset val="134"/>
      </rPr>
      <t>)</t>
    </r>
  </si>
  <si>
    <r>
      <rPr>
        <sz val="16"/>
        <color theme="1"/>
        <rFont val="Times New Roman"/>
        <charset val="134"/>
      </rPr>
      <t>μ/kg/(m·s)
(</t>
    </r>
    <r>
      <rPr>
        <sz val="16"/>
        <color theme="1"/>
        <rFont val="宋体"/>
        <charset val="134"/>
      </rPr>
      <t>已测</t>
    </r>
    <r>
      <rPr>
        <sz val="16"/>
        <color theme="1"/>
        <rFont val="Times New Roman"/>
        <charset val="134"/>
      </rPr>
      <t>)</t>
    </r>
  </si>
  <si>
    <t>h_opt(kim,2008)/mm</t>
  </si>
  <si>
    <t>Fr</t>
  </si>
  <si>
    <t>ARCTAN</t>
  </si>
  <si>
    <r>
      <rPr>
        <sz val="16"/>
        <color theme="1"/>
        <rFont val="Times New Roman"/>
        <charset val="134"/>
      </rPr>
      <t>td</t>
    </r>
    <r>
      <rPr>
        <sz val="16"/>
        <color theme="1"/>
        <rFont val="宋体"/>
        <charset val="134"/>
      </rPr>
      <t>系数</t>
    </r>
  </si>
  <si>
    <t>新td</t>
  </si>
  <si>
    <r>
      <rPr>
        <sz val="16"/>
        <color theme="1"/>
        <rFont val="Times New Roman"/>
        <charset val="134"/>
      </rPr>
      <t>C</t>
    </r>
    <r>
      <rPr>
        <sz val="10"/>
        <color theme="1"/>
        <rFont val="Times New Roman"/>
        <charset val="134"/>
      </rPr>
      <t>D</t>
    </r>
  </si>
  <si>
    <r>
      <rPr>
        <sz val="16"/>
        <color theme="1"/>
        <rFont val="Times New Roman"/>
        <charset val="134"/>
      </rPr>
      <t>T-oscillate</t>
    </r>
    <r>
      <rPr>
        <sz val="16"/>
        <color theme="1"/>
        <rFont val="宋体"/>
        <charset val="134"/>
      </rPr>
      <t>真</t>
    </r>
    <r>
      <rPr>
        <sz val="16"/>
        <color theme="1"/>
        <rFont val="Times New Roman"/>
        <charset val="134"/>
      </rPr>
      <t>/ms</t>
    </r>
  </si>
  <si>
    <t>因子</t>
  </si>
  <si>
    <r>
      <rPr>
        <sz val="16"/>
        <color theme="1"/>
        <rFont val="Times New Roman"/>
        <charset val="134"/>
      </rPr>
      <t>T-oscillate</t>
    </r>
    <r>
      <rPr>
        <sz val="16"/>
        <color theme="1"/>
        <rFont val="宋体"/>
        <charset val="134"/>
      </rPr>
      <t>小</t>
    </r>
    <r>
      <rPr>
        <sz val="16"/>
        <color theme="1"/>
        <rFont val="Times New Roman"/>
        <charset val="134"/>
      </rPr>
      <t>/ms</t>
    </r>
  </si>
  <si>
    <r>
      <rPr>
        <sz val="16"/>
        <color theme="1"/>
        <rFont val="Times New Roman"/>
        <charset val="134"/>
      </rPr>
      <t>T'-oscillate</t>
    </r>
    <r>
      <rPr>
        <sz val="16"/>
        <color theme="1"/>
        <rFont val="宋体"/>
        <charset val="134"/>
      </rPr>
      <t>大</t>
    </r>
    <r>
      <rPr>
        <sz val="16"/>
        <color theme="1"/>
        <rFont val="Times New Roman"/>
        <charset val="134"/>
      </rPr>
      <t>/ms</t>
    </r>
  </si>
  <si>
    <r>
      <rPr>
        <sz val="12"/>
        <color theme="1"/>
        <rFont val="Times New Roman"/>
        <charset val="134"/>
      </rPr>
      <t>t'-capillary/s
(</t>
    </r>
    <r>
      <rPr>
        <sz val="12"/>
        <color theme="1"/>
        <rFont val="宋体"/>
        <charset val="134"/>
      </rPr>
      <t>与</t>
    </r>
    <r>
      <rPr>
        <sz val="12"/>
        <color theme="1"/>
        <rFont val="Times New Roman"/>
        <charset val="134"/>
      </rPr>
      <t>pinch-off</t>
    </r>
    <r>
      <rPr>
        <sz val="12"/>
        <color theme="1"/>
        <rFont val="宋体"/>
        <charset val="134"/>
      </rPr>
      <t>相当</t>
    </r>
    <r>
      <rPr>
        <sz val="12"/>
        <color theme="1"/>
        <rFont val="Times New Roman"/>
        <charset val="134"/>
      </rPr>
      <t>)</t>
    </r>
  </si>
  <si>
    <t>Oh*R^2/ℇ^2</t>
  </si>
  <si>
    <t>Anti</t>
  </si>
  <si>
    <t>上升速度不知道</t>
  </si>
  <si>
    <t>太小了，不对</t>
  </si>
  <si>
    <t>Collapse</t>
  </si>
  <si>
    <t>平均T因子</t>
  </si>
  <si>
    <t>平均x0因子</t>
  </si>
  <si>
    <t>平均分子</t>
  </si>
  <si>
    <t>Insuff</t>
  </si>
  <si>
    <r>
      <rPr>
        <sz val="14"/>
        <color theme="1"/>
        <rFont val="Times New Roman"/>
        <charset val="134"/>
      </rPr>
      <t>21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</si>
  <si>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Times New Roman"/>
        <charset val="134"/>
      </rPr>
      <t>21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）</t>
    </r>
  </si>
  <si>
    <t>代气体数据则普遍出问题，貌似还是应该代液体量？为什么呢？</t>
  </si>
  <si>
    <t>x</t>
  </si>
  <si>
    <t>tanx</t>
  </si>
  <si>
    <t>2x/(x^2+2)</t>
  </si>
  <si>
    <t>tanx-2x/(x^2+2)</t>
  </si>
  <si>
    <t>20250607惯性理论引入（左：调和平均法；中：直接平均；右：积分法）</t>
  </si>
  <si>
    <r>
      <rPr>
        <sz val="16"/>
        <color theme="1"/>
        <rFont val="Times New Roman"/>
        <charset val="134"/>
      </rPr>
      <t>ε</t>
    </r>
    <r>
      <rPr>
        <sz val="11"/>
        <color theme="1"/>
        <rFont val="Times New Roman"/>
        <charset val="134"/>
      </rPr>
      <t>c</t>
    </r>
    <r>
      <rPr>
        <sz val="16"/>
        <color theme="1"/>
        <rFont val="Times New Roman"/>
        <charset val="134"/>
      </rPr>
      <t>/m</t>
    </r>
    <r>
      <rPr>
        <sz val="16"/>
        <color theme="1"/>
        <rFont val="宋体"/>
        <charset val="134"/>
      </rPr>
      <t>猜测</t>
    </r>
    <r>
      <rPr>
        <sz val="16"/>
        <color theme="1"/>
        <rFont val="Times New Roman"/>
        <charset val="134"/>
      </rPr>
      <t xml:space="preserve">
(</t>
    </r>
    <r>
      <rPr>
        <sz val="16"/>
        <color theme="1"/>
        <rFont val="宋体"/>
        <charset val="134"/>
      </rPr>
      <t>临界厚度</t>
    </r>
    <r>
      <rPr>
        <sz val="16"/>
        <color theme="1"/>
        <rFont val="Times New Roman"/>
        <charset val="134"/>
      </rPr>
      <t>)</t>
    </r>
  </si>
  <si>
    <t>tlife</t>
  </si>
  <si>
    <r>
      <rPr>
        <sz val="16"/>
        <color theme="1"/>
        <rFont val="楷体"/>
        <charset val="134"/>
      </rPr>
      <t>新的</t>
    </r>
    <r>
      <rPr>
        <sz val="16"/>
        <color theme="1"/>
        <rFont val="Times New Roman"/>
        <charset val="134"/>
      </rPr>
      <t>td</t>
    </r>
  </si>
  <si>
    <r>
      <rPr>
        <sz val="16"/>
        <color theme="1"/>
        <rFont val="楷体"/>
        <charset val="134"/>
      </rPr>
      <t>调和平均</t>
    </r>
    <r>
      <rPr>
        <sz val="16"/>
        <color theme="1"/>
        <rFont val="Times New Roman"/>
        <charset val="134"/>
      </rPr>
      <t>t/t</t>
    </r>
  </si>
  <si>
    <r>
      <rPr>
        <sz val="16"/>
        <color theme="1"/>
        <rFont val="楷体"/>
        <charset val="134"/>
      </rPr>
      <t>直接平均</t>
    </r>
    <r>
      <rPr>
        <sz val="16"/>
        <color theme="1"/>
        <rFont val="Times New Roman"/>
        <charset val="134"/>
      </rPr>
      <t>t/t</t>
    </r>
  </si>
  <si>
    <r>
      <rPr>
        <sz val="16"/>
        <color theme="1"/>
        <rFont val="宋体"/>
        <charset val="134"/>
      </rPr>
      <t>λ积分解析解无</t>
    </r>
    <r>
      <rPr>
        <sz val="16"/>
        <color theme="1"/>
        <rFont val="Times New Roman"/>
        <charset val="134"/>
      </rPr>
      <t>a2</t>
    </r>
    <r>
      <rPr>
        <sz val="16"/>
        <color theme="1"/>
        <rFont val="宋体"/>
        <charset val="134"/>
      </rPr>
      <t>的</t>
    </r>
    <r>
      <rPr>
        <sz val="16"/>
        <color theme="1"/>
        <rFont val="Times New Roman"/>
        <charset val="134"/>
      </rPr>
      <t>td</t>
    </r>
    <r>
      <rPr>
        <sz val="16"/>
        <color theme="1"/>
        <rFont val="宋体"/>
        <charset val="134"/>
      </rPr>
      <t>系数</t>
    </r>
  </si>
  <si>
    <r>
      <rPr>
        <sz val="16"/>
        <color theme="1"/>
        <rFont val="宋体"/>
        <charset val="134"/>
      </rPr>
      <t>有</t>
    </r>
    <r>
      <rPr>
        <sz val="16"/>
        <color theme="1"/>
        <rFont val="Times New Roman"/>
        <charset val="134"/>
      </rPr>
      <t>a2</t>
    </r>
    <r>
      <rPr>
        <sz val="16"/>
        <color theme="1"/>
        <rFont val="宋体"/>
        <charset val="134"/>
      </rPr>
      <t>的</t>
    </r>
    <r>
      <rPr>
        <sz val="16"/>
        <color theme="1"/>
        <rFont val="Times New Roman"/>
        <charset val="134"/>
      </rPr>
      <t>td</t>
    </r>
    <r>
      <rPr>
        <sz val="16"/>
        <color theme="1"/>
        <rFont val="宋体"/>
        <charset val="134"/>
      </rPr>
      <t>系数</t>
    </r>
  </si>
  <si>
    <r>
      <rPr>
        <sz val="16"/>
        <color theme="1"/>
        <rFont val="宋体"/>
        <charset val="134"/>
      </rPr>
      <t>新的</t>
    </r>
    <r>
      <rPr>
        <sz val="16"/>
        <color theme="1"/>
        <rFont val="Times New Roman"/>
        <charset val="134"/>
      </rPr>
      <t>td</t>
    </r>
  </si>
  <si>
    <r>
      <rPr>
        <sz val="16"/>
        <color theme="1"/>
        <rFont val="宋体"/>
        <charset val="134"/>
      </rPr>
      <t>ATAN积分</t>
    </r>
    <r>
      <rPr>
        <sz val="16"/>
        <color theme="1"/>
        <rFont val="Times New Roman"/>
        <charset val="134"/>
      </rPr>
      <t>t/t</t>
    </r>
  </si>
  <si>
    <r>
      <rPr>
        <sz val="16"/>
        <color theme="1"/>
        <rFont val="宋体"/>
        <charset val="134"/>
      </rPr>
      <t>λ积分数值解</t>
    </r>
    <r>
      <rPr>
        <sz val="16"/>
        <color theme="1"/>
        <rFont val="Times New Roman"/>
        <charset val="134"/>
      </rPr>
      <t>a2</t>
    </r>
    <r>
      <rPr>
        <sz val="16"/>
        <color theme="1"/>
        <rFont val="宋体"/>
        <charset val="134"/>
      </rPr>
      <t>的</t>
    </r>
    <r>
      <rPr>
        <sz val="16"/>
        <color theme="1"/>
        <rFont val="Times New Roman"/>
        <charset val="134"/>
      </rPr>
      <t>td</t>
    </r>
    <r>
      <rPr>
        <sz val="16"/>
        <color theme="1"/>
        <rFont val="宋体"/>
        <charset val="134"/>
      </rPr>
      <t>系数</t>
    </r>
  </si>
  <si>
    <r>
      <rPr>
        <sz val="16"/>
        <color theme="1"/>
        <rFont val="宋体"/>
        <charset val="134"/>
      </rPr>
      <t>数值积分</t>
    </r>
    <r>
      <rPr>
        <sz val="16"/>
        <color theme="1"/>
        <rFont val="Times New Roman"/>
        <charset val="134"/>
      </rPr>
      <t>t/t</t>
    </r>
  </si>
  <si>
    <r>
      <rPr>
        <sz val="11"/>
        <color theme="1"/>
        <rFont val="宋体"/>
        <charset val="134"/>
      </rPr>
      <t>粘度测量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组号</t>
    </r>
    <r>
      <rPr>
        <sz val="11"/>
        <color theme="1"/>
        <rFont val="Times New Roman"/>
        <charset val="134"/>
      </rPr>
      <t>)</t>
    </r>
  </si>
  <si>
    <t>g/(m·s)=mPa·s</t>
  </si>
  <si>
    <r>
      <rPr>
        <sz val="11"/>
        <color theme="1"/>
        <rFont val="宋体"/>
        <charset val="134"/>
      </rPr>
      <t>压力</t>
    </r>
    <r>
      <rPr>
        <sz val="11"/>
        <color theme="1"/>
        <rFont val="Times New Roman"/>
        <charset val="134"/>
      </rPr>
      <t>/atm</t>
    </r>
  </si>
  <si>
    <t>B</t>
  </si>
  <si>
    <t>C</t>
  </si>
  <si>
    <r>
      <rPr>
        <sz val="11"/>
        <color theme="1"/>
        <rFont val="宋体"/>
        <charset val="134"/>
      </rPr>
      <t>表面张力差/</t>
    </r>
    <r>
      <rPr>
        <sz val="11"/>
        <color theme="1"/>
        <rFont val="Times New Roman"/>
        <charset val="134"/>
      </rPr>
      <t>(dyn/cm)=(mN/m)</t>
    </r>
  </si>
  <si>
    <r>
      <rPr>
        <sz val="11"/>
        <color theme="1"/>
        <rFont val="宋体"/>
        <charset val="134"/>
      </rPr>
      <t>氧气</t>
    </r>
  </si>
  <si>
    <r>
      <rPr>
        <sz val="11"/>
        <color theme="1"/>
        <rFont val="宋体"/>
        <charset val="134"/>
      </rPr>
      <t>氮气</t>
    </r>
  </si>
  <si>
    <r>
      <rPr>
        <sz val="11"/>
        <color theme="1"/>
        <rFont val="宋体"/>
        <charset val="134"/>
      </rPr>
      <t>空气</t>
    </r>
  </si>
  <si>
    <r>
      <rPr>
        <sz val="11"/>
        <color theme="1"/>
        <rFont val="宋体"/>
        <charset val="134"/>
      </rPr>
      <t>平均</t>
    </r>
  </si>
  <si>
    <t>Case</t>
  </si>
  <si>
    <t>Name</t>
  </si>
  <si>
    <t>Date</t>
  </si>
  <si>
    <t>Condition</t>
  </si>
  <si>
    <t>Calibration/pixel·mm^-1</t>
  </si>
  <si>
    <t>Calibration correct</t>
  </si>
  <si>
    <t>ratio</t>
  </si>
  <si>
    <t>Droplet radius/mm</t>
  </si>
  <si>
    <t>Impact velocity/m·s^-1</t>
  </si>
  <si>
    <t>Pressure/atm</t>
  </si>
  <si>
    <t>Sac diameter (Different band denotes different sac)/pixel</t>
  </si>
  <si>
    <t>Film thickness/μm</t>
  </si>
  <si>
    <t>Undimensional Film thickness</t>
  </si>
  <si>
    <t>Note</t>
  </si>
  <si>
    <t>30x45xhc+-v7-2</t>
  </si>
  <si>
    <t>PPT video exhibition</t>
  </si>
  <si>
    <t>30x45xhc+-v7-4</t>
  </si>
  <si>
    <t>30x45xhc+-v7-6</t>
  </si>
  <si>
    <t>Too complex</t>
  </si>
  <si>
    <t>30x45xhc+-v7-7</t>
  </si>
  <si>
    <r>
      <rPr>
        <sz val="11"/>
        <color theme="1"/>
        <rFont val="Times New Roman"/>
        <charset val="134"/>
      </rPr>
      <t>175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</t>
    </r>
  </si>
  <si>
    <t>38-0.005-h12mm-40.00-1</t>
  </si>
  <si>
    <t>??????</t>
  </si>
  <si>
    <t>approximation</t>
  </si>
  <si>
    <r>
      <rPr>
        <sz val="11"/>
        <color theme="1"/>
        <rFont val="Times New Roman"/>
        <charset val="134"/>
      </rPr>
      <t>179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</t>
    </r>
  </si>
  <si>
    <t>42-0.005-h14mm-40.00-1</t>
  </si>
  <si>
    <t>Insuff. Deform.</t>
  </si>
  <si>
    <r>
      <rPr>
        <sz val="11"/>
        <color theme="1"/>
        <rFont val="Times New Roman"/>
        <charset val="134"/>
      </rPr>
      <t>159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</t>
    </r>
  </si>
  <si>
    <t>22-0.05-70.00-3</t>
  </si>
  <si>
    <t>this will be the critical value of epsilon</t>
  </si>
  <si>
    <r>
      <rPr>
        <sz val="11"/>
        <color theme="1"/>
        <rFont val="Times New Roman"/>
        <charset val="134"/>
      </rPr>
      <t>172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</t>
    </r>
  </si>
  <si>
    <t>35-0.005-h12mm-70.00-3</t>
  </si>
  <si>
    <r>
      <rPr>
        <sz val="11"/>
        <color theme="1"/>
        <rFont val="Times New Roman"/>
        <charset val="134"/>
      </rPr>
      <t>163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</t>
    </r>
  </si>
  <si>
    <t>26-0.05-90.00-1</t>
  </si>
  <si>
    <t>46-0.005-h14mm-90.00-1</t>
  </si>
  <si>
    <t>挑相似条件进行处理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</si>
</sst>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0_);[Red]\(0.00\)"/>
    <numFmt numFmtId="179" formatCode="0.0000_ "/>
    <numFmt numFmtId="180" formatCode="0_);[Red]\(0\)"/>
    <numFmt numFmtId="181" formatCode="0.0_ "/>
    <numFmt numFmtId="182" formatCode="0.000000_ "/>
    <numFmt numFmtId="183" formatCode="0.000_);[Red]\(0.000\)"/>
    <numFmt numFmtId="184" formatCode="0.0%"/>
  </numFmts>
  <fonts count="3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22"/>
      <color theme="1"/>
      <name val="楷体"/>
      <charset val="134"/>
    </font>
    <font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16"/>
      <color theme="1"/>
      <name val="楷体"/>
      <charset val="134"/>
    </font>
    <font>
      <sz val="16"/>
      <color theme="1"/>
      <name val="宋体"/>
      <charset val="134"/>
    </font>
    <font>
      <sz val="12"/>
      <color theme="1"/>
      <name val="Times New Roman"/>
      <charset val="134"/>
    </font>
    <font>
      <sz val="14"/>
      <color theme="1"/>
      <name val="宋体"/>
      <charset val="134"/>
    </font>
    <font>
      <sz val="24"/>
      <color theme="1"/>
      <name val="Times New Roman"/>
      <charset val="134"/>
    </font>
    <font>
      <sz val="14"/>
      <color theme="1"/>
      <name val="楷体"/>
      <charset val="134"/>
    </font>
    <font>
      <sz val="24"/>
      <color theme="1"/>
      <name val="宋体"/>
      <charset val="134"/>
    </font>
    <font>
      <b/>
      <sz val="11"/>
      <color rgb="FF028009"/>
      <name val="Microsoft YaHei"/>
      <charset val="134"/>
    </font>
    <font>
      <sz val="10"/>
      <color theme="1"/>
      <name val="Microsoft YaHei"/>
      <charset val="134"/>
    </font>
    <font>
      <sz val="2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Times New Roman"/>
      <charset val="134"/>
    </font>
    <font>
      <sz val="12"/>
      <color theme="1"/>
      <name val="宋体"/>
      <charset val="134"/>
    </font>
    <font>
      <sz val="9"/>
      <color theme="1"/>
      <name val="Times New Roma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C8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6FC"/>
        <bgColor indexed="64"/>
      </patternFill>
    </fill>
    <fill>
      <patternFill patternType="solid">
        <fgColor rgb="FFFFD697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C97"/>
        <bgColor indexed="64"/>
      </patternFill>
    </fill>
    <fill>
      <patternFill patternType="solid">
        <fgColor rgb="FFF6F5E3"/>
        <bgColor indexed="64"/>
      </patternFill>
    </fill>
    <fill>
      <patternFill patternType="solid">
        <fgColor rgb="FFFFF9AF"/>
        <bgColor indexed="64"/>
      </patternFill>
    </fill>
    <fill>
      <patternFill patternType="solid">
        <fgColor rgb="FFD1FFC3"/>
        <bgColor indexed="64"/>
      </patternFill>
    </fill>
    <fill>
      <patternFill patternType="solid">
        <fgColor rgb="FFC2FB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8FF"/>
        <bgColor indexed="64"/>
      </patternFill>
    </fill>
    <fill>
      <patternFill patternType="solid">
        <fgColor rgb="FFF7F6B6"/>
        <bgColor indexed="64"/>
      </patternFill>
    </fill>
    <fill>
      <patternFill patternType="solid">
        <fgColor rgb="FFDBE8DE"/>
        <bgColor indexed="64"/>
      </patternFill>
    </fill>
    <fill>
      <patternFill patternType="solid">
        <fgColor rgb="FFBAFFFF"/>
        <bgColor indexed="64"/>
      </patternFill>
    </fill>
    <fill>
      <patternFill patternType="solid">
        <fgColor rgb="FFB6A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2" borderId="17" applyNumberFormat="0" applyAlignment="0" applyProtection="0">
      <alignment vertical="center"/>
    </xf>
    <xf numFmtId="0" fontId="25" fillId="23" borderId="18" applyNumberFormat="0" applyAlignment="0" applyProtection="0">
      <alignment vertical="center"/>
    </xf>
    <xf numFmtId="0" fontId="26" fillId="23" borderId="17" applyNumberFormat="0" applyAlignment="0" applyProtection="0">
      <alignment vertical="center"/>
    </xf>
    <xf numFmtId="0" fontId="27" fillId="24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  <xf numFmtId="177" fontId="1" fillId="7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179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3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79" fontId="3" fillId="0" borderId="3" xfId="0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76" fontId="5" fillId="12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80" fontId="4" fillId="4" borderId="1" xfId="0" applyNumberFormat="1" applyFont="1" applyFill="1" applyBorder="1" applyAlignment="1">
      <alignment horizontal="center" vertical="center"/>
    </xf>
    <xf numFmtId="176" fontId="4" fillId="10" borderId="1" xfId="0" applyNumberFormat="1" applyFont="1" applyFill="1" applyBorder="1" applyAlignment="1">
      <alignment horizontal="center" vertical="center"/>
    </xf>
    <xf numFmtId="181" fontId="4" fillId="10" borderId="1" xfId="0" applyNumberFormat="1" applyFont="1" applyFill="1" applyBorder="1" applyAlignment="1">
      <alignment horizontal="center" vertical="center"/>
    </xf>
    <xf numFmtId="11" fontId="4" fillId="9" borderId="1" xfId="0" applyNumberFormat="1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176" fontId="4" fillId="11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11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11" fontId="4" fillId="2" borderId="1" xfId="0" applyNumberFormat="1" applyFont="1" applyFill="1" applyBorder="1" applyAlignment="1">
      <alignment horizontal="center" vertical="center"/>
    </xf>
    <xf numFmtId="11" fontId="4" fillId="11" borderId="1" xfId="0" applyNumberFormat="1" applyFont="1" applyFill="1" applyBorder="1" applyAlignment="1">
      <alignment horizontal="center" vertical="center"/>
    </xf>
    <xf numFmtId="176" fontId="4" fillId="12" borderId="1" xfId="0" applyNumberFormat="1" applyFont="1" applyFill="1" applyBorder="1" applyAlignment="1">
      <alignment horizontal="center" vertical="center"/>
    </xf>
    <xf numFmtId="182" fontId="4" fillId="12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1" fontId="4" fillId="12" borderId="1" xfId="0" applyNumberFormat="1" applyFont="1" applyFill="1" applyBorder="1" applyAlignment="1">
      <alignment horizontal="center" vertical="center"/>
    </xf>
    <xf numFmtId="11" fontId="9" fillId="1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178" fontId="4" fillId="12" borderId="1" xfId="0" applyNumberFormat="1" applyFont="1" applyFill="1" applyBorder="1" applyAlignment="1">
      <alignment horizontal="center" vertical="center"/>
    </xf>
    <xf numFmtId="177" fontId="4" fillId="1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76" fontId="9" fillId="12" borderId="1" xfId="0" applyNumberFormat="1" applyFont="1" applyFill="1" applyBorder="1" applyAlignment="1">
      <alignment horizontal="center" vertical="center"/>
    </xf>
    <xf numFmtId="176" fontId="9" fillId="1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80" fontId="4" fillId="5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8" fontId="9" fillId="2" borderId="1" xfId="0" applyNumberFormat="1" applyFont="1" applyFill="1" applyBorder="1" applyAlignment="1">
      <alignment horizontal="center" vertical="center"/>
    </xf>
    <xf numFmtId="183" fontId="4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80" fontId="4" fillId="8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  <xf numFmtId="0" fontId="1" fillId="3" borderId="0" xfId="0" applyFont="1" applyFill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180" fontId="4" fillId="4" borderId="9" xfId="0" applyNumberFormat="1" applyFont="1" applyFill="1" applyBorder="1" applyAlignment="1">
      <alignment horizontal="center" vertical="center"/>
    </xf>
    <xf numFmtId="180" fontId="4" fillId="4" borderId="10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80" fontId="4" fillId="4" borderId="13" xfId="0" applyNumberFormat="1" applyFont="1" applyFill="1" applyBorder="1" applyAlignment="1">
      <alignment horizontal="center" vertical="center"/>
    </xf>
    <xf numFmtId="180" fontId="4" fillId="5" borderId="1" xfId="0" applyNumberFormat="1" applyFont="1" applyFill="1" applyBorder="1" applyAlignment="1">
      <alignment horizontal="center" vertical="center" wrapText="1"/>
    </xf>
    <xf numFmtId="180" fontId="4" fillId="8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80" fontId="4" fillId="5" borderId="10" xfId="0" applyNumberFormat="1" applyFont="1" applyFill="1" applyBorder="1" applyAlignment="1">
      <alignment horizontal="center" vertical="center" wrapText="1"/>
    </xf>
    <xf numFmtId="180" fontId="4" fillId="5" borderId="13" xfId="0" applyNumberFormat="1" applyFont="1" applyFill="1" applyBorder="1" applyAlignment="1">
      <alignment horizontal="center" vertical="center" wrapText="1"/>
    </xf>
    <xf numFmtId="180" fontId="4" fillId="8" borderId="9" xfId="0" applyNumberFormat="1" applyFont="1" applyFill="1" applyBorder="1" applyAlignment="1">
      <alignment horizontal="center" vertical="center" wrapText="1"/>
    </xf>
    <xf numFmtId="180" fontId="4" fillId="8" borderId="10" xfId="0" applyNumberFormat="1" applyFont="1" applyFill="1" applyBorder="1" applyAlignment="1">
      <alignment horizontal="center" vertical="center" wrapText="1"/>
    </xf>
    <xf numFmtId="180" fontId="4" fillId="8" borderId="13" xfId="0" applyNumberFormat="1" applyFon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17" borderId="13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176" fontId="4" fillId="17" borderId="1" xfId="0" applyNumberFormat="1" applyFont="1" applyFill="1" applyBorder="1" applyAlignment="1">
      <alignment horizontal="center" vertical="center"/>
    </xf>
    <xf numFmtId="176" fontId="4" fillId="18" borderId="1" xfId="0" applyNumberFormat="1" applyFont="1" applyFill="1" applyBorder="1" applyAlignment="1">
      <alignment horizontal="center" vertical="center"/>
    </xf>
    <xf numFmtId="182" fontId="4" fillId="11" borderId="1" xfId="0" applyNumberFormat="1" applyFont="1" applyFill="1" applyBorder="1" applyAlignment="1">
      <alignment horizontal="center" vertical="center"/>
    </xf>
    <xf numFmtId="11" fontId="4" fillId="17" borderId="1" xfId="0" applyNumberFormat="1" applyFont="1" applyFill="1" applyBorder="1" applyAlignment="1">
      <alignment horizontal="center" vertical="center"/>
    </xf>
    <xf numFmtId="180" fontId="4" fillId="5" borderId="9" xfId="0" applyNumberFormat="1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vertical="center" wrapText="1"/>
    </xf>
    <xf numFmtId="176" fontId="4" fillId="19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vertical="center" wrapText="1"/>
    </xf>
    <xf numFmtId="176" fontId="11" fillId="4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80" fontId="4" fillId="5" borderId="10" xfId="0" applyNumberFormat="1" applyFont="1" applyFill="1" applyBorder="1" applyAlignment="1">
      <alignment horizontal="center" vertical="center"/>
    </xf>
    <xf numFmtId="180" fontId="4" fillId="5" borderId="13" xfId="0" applyNumberFormat="1" applyFont="1" applyFill="1" applyBorder="1" applyAlignment="1">
      <alignment horizontal="center" vertical="center"/>
    </xf>
    <xf numFmtId="180" fontId="4" fillId="20" borderId="1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 wrapText="1"/>
    </xf>
    <xf numFmtId="0" fontId="4" fillId="19" borderId="9" xfId="0" applyFont="1" applyFill="1" applyBorder="1" applyAlignment="1">
      <alignment horizontal="center" vertical="center" wrapText="1"/>
    </xf>
    <xf numFmtId="0" fontId="4" fillId="19" borderId="10" xfId="0" applyFont="1" applyFill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F4C97"/>
          <bgColor rgb="FF000000"/>
        </patternFill>
      </fill>
    </dxf>
    <dxf>
      <fill>
        <patternFill patternType="solid">
          <fgColor rgb="FFFF4C97"/>
          <bgColor rgb="FF000000"/>
        </patternFill>
      </fill>
    </dxf>
  </dxfs>
  <tableStyles count="0" defaultTableStyle="TableStyleMedium2" defaultPivotStyle="PivotStyleLight16"/>
  <colors>
    <mruColors>
      <color rgb="00B6ACFF"/>
      <color rgb="00F6F5E3"/>
      <color rgb="00FFC8FF"/>
      <color rgb="00FFF9AF"/>
      <color rgb="00FFD697"/>
      <color rgb="00F4F4F4"/>
      <color rgb="00FF4C97"/>
      <color rgb="00EBEBEB"/>
      <color rgb="00C8C8FF"/>
      <color rgb="00FCD6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47581945190758"/>
          <c:y val="0.0443252399774139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新整理20230209!$W$3:$W$23</c:f>
              <c:numCache>
                <c:formatCode>0.00E+00</c:formatCode>
                <c:ptCount val="21"/>
                <c:pt idx="0">
                  <c:v>6.63578083128233e-7</c:v>
                </c:pt>
                <c:pt idx="1">
                  <c:v>7.21986544647644e-7</c:v>
                </c:pt>
                <c:pt idx="2">
                  <c:v>1.52718756435507e-6</c:v>
                </c:pt>
                <c:pt idx="3">
                  <c:v>6.73245715367951e-7</c:v>
                </c:pt>
                <c:pt idx="4">
                  <c:v>8.90290538774941e-7</c:v>
                </c:pt>
                <c:pt idx="5">
                  <c:v>1.3138317074706e-6</c:v>
                </c:pt>
                <c:pt idx="6">
                  <c:v>6.61957625598416e-7</c:v>
                </c:pt>
                <c:pt idx="7">
                  <c:v>9.48616099626904e-7</c:v>
                </c:pt>
                <c:pt idx="8">
                  <c:v>1.08717208518789e-6</c:v>
                </c:pt>
                <c:pt idx="9">
                  <c:v>1.19572590811916e-6</c:v>
                </c:pt>
                <c:pt idx="10">
                  <c:v>4.1650910152266e-6</c:v>
                </c:pt>
                <c:pt idx="11">
                  <c:v>7.96854217899883e-7</c:v>
                </c:pt>
                <c:pt idx="12">
                  <c:v>5.08422022621902e-7</c:v>
                </c:pt>
                <c:pt idx="13">
                  <c:v>4.73292304856492e-7</c:v>
                </c:pt>
                <c:pt idx="14">
                  <c:v>3.75723878758349e-7</c:v>
                </c:pt>
                <c:pt idx="15">
                  <c:v>3.66844234776734e-7</c:v>
                </c:pt>
                <c:pt idx="16">
                  <c:v>3.7416230508182e-7</c:v>
                </c:pt>
                <c:pt idx="17">
                  <c:v>3.36607045195473e-5</c:v>
                </c:pt>
                <c:pt idx="18">
                  <c:v>1.96705983980724e-6</c:v>
                </c:pt>
                <c:pt idx="19">
                  <c:v>2.2581592295742e-6</c:v>
                </c:pt>
                <c:pt idx="20">
                  <c:v>4.3224696373897e-6</c:v>
                </c:pt>
              </c:numCache>
            </c:numRef>
          </c:xVal>
          <c:yVal>
            <c:numRef>
              <c:f>新整理20230209!$N$3:$N$23</c:f>
              <c:numCache>
                <c:formatCode>0.000_ </c:formatCode>
                <c:ptCount val="21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新整理20230209!$W$24:$W$31</c:f>
              <c:numCache>
                <c:formatCode>0.00E+00</c:formatCode>
                <c:ptCount val="8"/>
                <c:pt idx="0">
                  <c:v>6.14550507974784e-7</c:v>
                </c:pt>
                <c:pt idx="1">
                  <c:v>6.3586116428126e-7</c:v>
                </c:pt>
                <c:pt idx="2">
                  <c:v>6.60610666262525e-7</c:v>
                </c:pt>
                <c:pt idx="3">
                  <c:v>6.58758000977752e-7</c:v>
                </c:pt>
                <c:pt idx="4">
                  <c:v>7.1192199092908e-7</c:v>
                </c:pt>
                <c:pt idx="5">
                  <c:v>6.35745479389712e-7</c:v>
                </c:pt>
                <c:pt idx="6">
                  <c:v>4.3112524855787e-7</c:v>
                </c:pt>
                <c:pt idx="7">
                  <c:v>4.00916098248102e-7</c:v>
                </c:pt>
              </c:numCache>
            </c:numRef>
          </c:xVal>
          <c:yVal>
            <c:numRef>
              <c:f>新整理20230209!$N$24:$N$31</c:f>
              <c:numCache>
                <c:formatCode>0.000_ </c:formatCode>
                <c:ptCount val="8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新整理20230209!$W$32:$W$51</c:f>
              <c:numCache>
                <c:formatCode>0.00E+00</c:formatCode>
                <c:ptCount val="20"/>
                <c:pt idx="0">
                  <c:v>8.15346769495046e-8</c:v>
                </c:pt>
                <c:pt idx="1">
                  <c:v>1.20825021157823e-7</c:v>
                </c:pt>
                <c:pt idx="2">
                  <c:v>1.17422801394432e-7</c:v>
                </c:pt>
                <c:pt idx="3">
                  <c:v>1.14766564518766e-7</c:v>
                </c:pt>
                <c:pt idx="4">
                  <c:v>1.50616493553e-7</c:v>
                </c:pt>
                <c:pt idx="5">
                  <c:v>1.27859015516281e-7</c:v>
                </c:pt>
                <c:pt idx="6">
                  <c:v>2.65363151755402e-7</c:v>
                </c:pt>
                <c:pt idx="7">
                  <c:v>2.49224309622715e-7</c:v>
                </c:pt>
                <c:pt idx="8">
                  <c:v>1.0572768457934e-7</c:v>
                </c:pt>
                <c:pt idx="9">
                  <c:v>2.67991117935809e-7</c:v>
                </c:pt>
                <c:pt idx="10">
                  <c:v>1.26823605222819e-7</c:v>
                </c:pt>
                <c:pt idx="11">
                  <c:v>4.28190228100053e-7</c:v>
                </c:pt>
                <c:pt idx="12">
                  <c:v>6.28464452105989e-7</c:v>
                </c:pt>
                <c:pt idx="13">
                  <c:v>4.83485452294105e-7</c:v>
                </c:pt>
                <c:pt idx="14">
                  <c:v>4.84506674036147e-7</c:v>
                </c:pt>
                <c:pt idx="15">
                  <c:v>3.03756618438244e-7</c:v>
                </c:pt>
                <c:pt idx="16">
                  <c:v>2.62483580970042e-7</c:v>
                </c:pt>
                <c:pt idx="17">
                  <c:v>3.54464762650041e-7</c:v>
                </c:pt>
                <c:pt idx="18">
                  <c:v>4.03337992381623e-7</c:v>
                </c:pt>
                <c:pt idx="19">
                  <c:v>3.59566375887138e-7</c:v>
                </c:pt>
              </c:numCache>
            </c:numRef>
          </c:xVal>
          <c:yVal>
            <c:numRef>
              <c:f>新整理20230209!$N$32:$N$51</c:f>
              <c:numCache>
                <c:formatCode>0.000_ </c:formatCode>
                <c:ptCount val="20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1.70589820848416</c:v>
                </c:pt>
                <c:pt idx="10">
                  <c:v>1.73772162651171</c:v>
                </c:pt>
                <c:pt idx="11">
                  <c:v>1.57362928709765</c:v>
                </c:pt>
                <c:pt idx="12">
                  <c:v>1.79600423030684</c:v>
                </c:pt>
                <c:pt idx="13">
                  <c:v>1.68552385979283</c:v>
                </c:pt>
                <c:pt idx="14">
                  <c:v>1.66627746154534</c:v>
                </c:pt>
                <c:pt idx="15">
                  <c:v>1.64636675554716</c:v>
                </c:pt>
                <c:pt idx="16">
                  <c:v>1.4633328844295</c:v>
                </c:pt>
                <c:pt idx="17">
                  <c:v>1.69673331276319</c:v>
                </c:pt>
                <c:pt idx="18">
                  <c:v>1.63404837615802</c:v>
                </c:pt>
                <c:pt idx="19">
                  <c:v>1.49148551464658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2e-6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Ek/J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6f4350-a479-4e6e-ac41-8ba054c61a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18617442338"/>
          <c:y val="0.0505706477658048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新整理20230209!$M$3:$M$23</c:f>
              <c:numCache>
                <c:formatCode>0.000_ </c:formatCode>
                <c:ptCount val="21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</c:numCache>
            </c:numRef>
          </c:xVal>
          <c:yVal>
            <c:numRef>
              <c:f>新整理20230209!$F$3:$F$23</c:f>
              <c:numCache>
                <c:formatCode>0.000000_ </c:formatCode>
                <c:ptCount val="21"/>
                <c:pt idx="0">
                  <c:v>0.00156320345330512</c:v>
                </c:pt>
                <c:pt idx="1">
                  <c:v>0.00154510775179051</c:v>
                </c:pt>
                <c:pt idx="2">
                  <c:v>0.0016483625286319</c:v>
                </c:pt>
                <c:pt idx="3">
                  <c:v>0.0014990007014024</c:v>
                </c:pt>
                <c:pt idx="4">
                  <c:v>0.00144487015160013</c:v>
                </c:pt>
                <c:pt idx="5">
                  <c:v>0.00143575679958388</c:v>
                </c:pt>
                <c:pt idx="6">
                  <c:v>0.0013459563421992</c:v>
                </c:pt>
                <c:pt idx="7">
                  <c:v>0.0014601683847812</c:v>
                </c:pt>
                <c:pt idx="8">
                  <c:v>0.00136917403574902</c:v>
                </c:pt>
                <c:pt idx="9">
                  <c:v>0.00139952188008319</c:v>
                </c:pt>
                <c:pt idx="10">
                  <c:v>0.00141311904509994</c:v>
                </c:pt>
                <c:pt idx="11">
                  <c:v>0.00112748012513518</c:v>
                </c:pt>
                <c:pt idx="12">
                  <c:v>0.00112344815011812</c:v>
                </c:pt>
                <c:pt idx="13">
                  <c:v>0.00112528803677558</c:v>
                </c:pt>
                <c:pt idx="14">
                  <c:v>0.00113200164611805</c:v>
                </c:pt>
                <c:pt idx="15">
                  <c:v>0.00112992329148895</c:v>
                </c:pt>
                <c:pt idx="16">
                  <c:v>0.00175057525713118</c:v>
                </c:pt>
                <c:pt idx="17">
                  <c:v>0.00173275075410634</c:v>
                </c:pt>
                <c:pt idx="18">
                  <c:v>0.00190436999185702</c:v>
                </c:pt>
                <c:pt idx="19">
                  <c:v>0.00201633771782216</c:v>
                </c:pt>
                <c:pt idx="20">
                  <c:v>0.00216749446777331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新整理20230209!$M$24:$M$31</c:f>
              <c:numCache>
                <c:formatCode>0.000_ </c:formatCode>
                <c:ptCount val="8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</c:numCache>
            </c:numRef>
          </c:xVal>
          <c:yVal>
            <c:numRef>
              <c:f>新整理20230209!$F$24:$F$31</c:f>
              <c:numCache>
                <c:formatCode>0.000000_ </c:formatCode>
                <c:ptCount val="8"/>
                <c:pt idx="0">
                  <c:v>0.00115848988842918</c:v>
                </c:pt>
                <c:pt idx="1">
                  <c:v>0.00118207714490075</c:v>
                </c:pt>
                <c:pt idx="2">
                  <c:v>0.00116865343065144</c:v>
                </c:pt>
                <c:pt idx="3">
                  <c:v>0.00116632159265942</c:v>
                </c:pt>
                <c:pt idx="4">
                  <c:v>0.00119984002384025</c:v>
                </c:pt>
                <c:pt idx="5">
                  <c:v>0.00115587692288015</c:v>
                </c:pt>
                <c:pt idx="6">
                  <c:v>0.00110331689080258</c:v>
                </c:pt>
                <c:pt idx="7">
                  <c:v>0.00112510297988399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新整理20230209!$M$32:$M$51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新整理20230209!$F$32:$F$51</c:f>
              <c:numCache>
                <c:formatCode>0.000000_ </c:formatCode>
                <c:ptCount val="20"/>
                <c:pt idx="0">
                  <c:v>0.00132624627183222</c:v>
                </c:pt>
                <c:pt idx="1">
                  <c:v>0.00133352465454805</c:v>
                </c:pt>
                <c:pt idx="2">
                  <c:v>0.00134060010780647</c:v>
                </c:pt>
                <c:pt idx="3">
                  <c:v>0.00134672573284728</c:v>
                </c:pt>
                <c:pt idx="4">
                  <c:v>0.00137078087352064</c:v>
                </c:pt>
                <c:pt idx="5">
                  <c:v>0.00109341072557482</c:v>
                </c:pt>
                <c:pt idx="6">
                  <c:v>0.0011318119595143</c:v>
                </c:pt>
                <c:pt idx="7">
                  <c:v>0.00112813617601754</c:v>
                </c:pt>
                <c:pt idx="8">
                  <c:v>0.00114032099576215</c:v>
                </c:pt>
                <c:pt idx="9">
                  <c:v>0.00114634367154445</c:v>
                </c:pt>
                <c:pt idx="10">
                  <c:v>0.0011569867470459</c:v>
                </c:pt>
                <c:pt idx="11">
                  <c:v>0.001101005519293</c:v>
                </c:pt>
                <c:pt idx="12">
                  <c:v>0.00117622920609573</c:v>
                </c:pt>
                <c:pt idx="13">
                  <c:v>0.00113947744614092</c:v>
                </c:pt>
                <c:pt idx="14">
                  <c:v>0.00113295312383379</c:v>
                </c:pt>
                <c:pt idx="15">
                  <c:v>0.00112616383153143</c:v>
                </c:pt>
                <c:pt idx="16">
                  <c:v>0.00106171963077562</c:v>
                </c:pt>
                <c:pt idx="17">
                  <c:v>0.00114326017302198</c:v>
                </c:pt>
                <c:pt idx="18">
                  <c:v>0.00112194285224198</c:v>
                </c:pt>
                <c:pt idx="19">
                  <c:v>0.00107188403177389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R/m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00_);[Red]\(#,##0.0000\)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65163839182"/>
          <c:y val="0.316724834680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33b169-171c-4843-93c9-56897a8a8a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47581945190758"/>
          <c:y val="0.0443252399774139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新整理20230209!$M$3:$M$23</c:f>
              <c:numCache>
                <c:formatCode>0.000_ </c:formatCode>
                <c:ptCount val="21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</c:numCache>
            </c:numRef>
          </c:xVal>
          <c:yVal>
            <c:numRef>
              <c:f>新整理20230209!$N$3:$N$23</c:f>
              <c:numCache>
                <c:formatCode>0.000_ </c:formatCode>
                <c:ptCount val="21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新整理20230209!$M$24:$M$31</c:f>
              <c:numCache>
                <c:formatCode>0.000_ </c:formatCode>
                <c:ptCount val="8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</c:numCache>
            </c:numRef>
          </c:xVal>
          <c:yVal>
            <c:numRef>
              <c:f>新整理20230209!$N$24:$N$31</c:f>
              <c:numCache>
                <c:formatCode>0.000_ </c:formatCode>
                <c:ptCount val="8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新整理20230209!$M$32:$M$51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新整理20230209!$N$32:$N$51</c:f>
              <c:numCache>
                <c:formatCode>0.000_ </c:formatCode>
                <c:ptCount val="20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1.70589820848416</c:v>
                </c:pt>
                <c:pt idx="10">
                  <c:v>1.73772162651171</c:v>
                </c:pt>
                <c:pt idx="11">
                  <c:v>1.57362928709765</c:v>
                </c:pt>
                <c:pt idx="12">
                  <c:v>1.79600423030684</c:v>
                </c:pt>
                <c:pt idx="13">
                  <c:v>1.68552385979283</c:v>
                </c:pt>
                <c:pt idx="14">
                  <c:v>1.66627746154534</c:v>
                </c:pt>
                <c:pt idx="15">
                  <c:v>1.64636675554716</c:v>
                </c:pt>
                <c:pt idx="16">
                  <c:v>1.4633328844295</c:v>
                </c:pt>
                <c:pt idx="17">
                  <c:v>1.69673331276319</c:v>
                </c:pt>
                <c:pt idx="18">
                  <c:v>1.63404837615802</c:v>
                </c:pt>
                <c:pt idx="19">
                  <c:v>1.49148551464658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a4d31a-b6ee-4bbb-ab93-7542d78108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98799839978664"/>
          <c:y val="0.0420447382670376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新整理20230209!$M$3:$M$23</c:f>
              <c:numCache>
                <c:formatCode>0.000_ </c:formatCode>
                <c:ptCount val="21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</c:numCache>
            </c:numRef>
          </c:xVal>
          <c:yVal>
            <c:numRef>
              <c:f>新整理20230209!$P$3:$P$23</c:f>
              <c:numCache>
                <c:formatCode>0.00E+00</c:formatCode>
                <c:ptCount val="21"/>
                <c:pt idx="0">
                  <c:v>0.00328696554412751</c:v>
                </c:pt>
                <c:pt idx="1">
                  <c:v>0.00330615734748005</c:v>
                </c:pt>
                <c:pt idx="2">
                  <c:v>0.00320093266048912</c:v>
                </c:pt>
                <c:pt idx="3">
                  <c:v>0.00335661851997399</c:v>
                </c:pt>
                <c:pt idx="4">
                  <c:v>0.00341891650457948</c:v>
                </c:pt>
                <c:pt idx="5">
                  <c:v>0.00342974999080417</c:v>
                </c:pt>
                <c:pt idx="6">
                  <c:v>0.00354231695507838</c:v>
                </c:pt>
                <c:pt idx="7">
                  <c:v>0.0034009592946705</c:v>
                </c:pt>
                <c:pt idx="8">
                  <c:v>0.00351215421493562</c:v>
                </c:pt>
                <c:pt idx="9">
                  <c:v>0.00347386596879442</c:v>
                </c:pt>
                <c:pt idx="10">
                  <c:v>0.00345711263750019</c:v>
                </c:pt>
                <c:pt idx="11">
                  <c:v>0.00387033410532832</c:v>
                </c:pt>
                <c:pt idx="12">
                  <c:v>0.00387727306112227</c:v>
                </c:pt>
                <c:pt idx="13">
                  <c:v>0.00387410202352677</c:v>
                </c:pt>
                <c:pt idx="14">
                  <c:v>0.00386259679034906</c:v>
                </c:pt>
                <c:pt idx="15">
                  <c:v>0.00386614754366697</c:v>
                </c:pt>
                <c:pt idx="16">
                  <c:v>0.003106079101532</c:v>
                </c:pt>
                <c:pt idx="17">
                  <c:v>0.00312201407172482</c:v>
                </c:pt>
                <c:pt idx="18">
                  <c:v>0.00297801746048052</c:v>
                </c:pt>
                <c:pt idx="19">
                  <c:v>0.00289415154015791</c:v>
                </c:pt>
                <c:pt idx="20">
                  <c:v>0.00279141177170379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新整理20230209!$M$24:$M$31</c:f>
              <c:numCache>
                <c:formatCode>0.000_ </c:formatCode>
                <c:ptCount val="8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</c:numCache>
            </c:numRef>
          </c:xVal>
          <c:yVal>
            <c:numRef>
              <c:f>新整理20230209!$P$24:$P$31</c:f>
              <c:numCache>
                <c:formatCode>0.00E+00</c:formatCode>
                <c:ptCount val="8"/>
                <c:pt idx="0">
                  <c:v>0.00381818336088664</c:v>
                </c:pt>
                <c:pt idx="1">
                  <c:v>0.00377989724817684</c:v>
                </c:pt>
                <c:pt idx="2">
                  <c:v>0.00380154412112755</c:v>
                </c:pt>
                <c:pt idx="3">
                  <c:v>0.00380534245544928</c:v>
                </c:pt>
                <c:pt idx="4">
                  <c:v>0.00375181341583967</c:v>
                </c:pt>
                <c:pt idx="5">
                  <c:v>0.0038224966010732</c:v>
                </c:pt>
                <c:pt idx="6">
                  <c:v>0.00391248577026571</c:v>
                </c:pt>
                <c:pt idx="7">
                  <c:v>0.00387442061649705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新整理20230209!$M$32:$M$51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新整理20230209!$P$32:$P$51</c:f>
              <c:numCache>
                <c:formatCode>0.00E+00</c:formatCode>
                <c:ptCount val="20"/>
                <c:pt idx="0">
                  <c:v>0.00356854203183766</c:v>
                </c:pt>
                <c:pt idx="1">
                  <c:v>0.00355879014908045</c:v>
                </c:pt>
                <c:pt idx="2">
                  <c:v>0.00354938638834819</c:v>
                </c:pt>
                <c:pt idx="3">
                  <c:v>0.00354130493947469</c:v>
                </c:pt>
                <c:pt idx="4">
                  <c:v>0.00351009512695278</c:v>
                </c:pt>
                <c:pt idx="5">
                  <c:v>0.00393016912563961</c:v>
                </c:pt>
                <c:pt idx="6">
                  <c:v>0.00386292045373</c:v>
                </c:pt>
                <c:pt idx="7">
                  <c:v>0.00386920857393617</c:v>
                </c:pt>
                <c:pt idx="8">
                  <c:v>0.00384848097645304</c:v>
                </c:pt>
                <c:pt idx="9">
                  <c:v>0.0038383580624394</c:v>
                </c:pt>
                <c:pt idx="10">
                  <c:v>0.0038206628216705</c:v>
                </c:pt>
                <c:pt idx="11">
                  <c:v>0.00391659041224679</c:v>
                </c:pt>
                <c:pt idx="12">
                  <c:v>0.00378928198417215</c:v>
                </c:pt>
                <c:pt idx="13">
                  <c:v>0.00384990521880316</c:v>
                </c:pt>
                <c:pt idx="14">
                  <c:v>0.00386097450490763</c:v>
                </c:pt>
                <c:pt idx="15">
                  <c:v>0.00387259532527898</c:v>
                </c:pt>
                <c:pt idx="16">
                  <c:v>0.00398839332539883</c:v>
                </c:pt>
                <c:pt idx="17">
                  <c:v>0.00384353081400445</c:v>
                </c:pt>
                <c:pt idx="18">
                  <c:v>0.0038798732356899</c:v>
                </c:pt>
                <c:pt idx="19">
                  <c:v>0.00396943782601041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"拟合线"</c15:sqref>
                        </c15:formulaRef>
                      </c:ext>
                    </c:extLst>
                    <c:strCache>
                      <c:ptCount val="1"/>
                      <c:pt idx="0">
                        <c:v>拟合线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f>{10,1}</c:f>
                    <c:numCache>
                      <c:formatCode>General</c:formatCode>
                      <c:ptCount val="2"/>
                      <c:pt idx="0">
                        <c:v>10</c:v>
                      </c:pt>
                      <c:pt idx="1">
                        <c:v>1</c:v>
                      </c:pt>
                    </c:numCache>
                  </c:numRef>
                </c:xVal>
                <c:yVal>
                  <c:numRef>
                    <c:f>{0.013983,0.0002639}</c:f>
                    <c:numCache>
                      <c:formatCode>General</c:formatCode>
                      <c:ptCount val="2"/>
                      <c:pt idx="0">
                        <c:v>0.013983</c:v>
                      </c:pt>
                      <c:pt idx="1">
                        <c:v>0.0002639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78639454"/>
        <c:scaling>
          <c:logBase val="10"/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Oh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550779150994089"/>
              <c:y val="0.4208678381192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106907230376"/>
          <c:y val="0.63536146858440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1361b6-1dca-4034-8886-4fbcd64e13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38624005495"/>
          <c:y val="0.0708134847929645"/>
          <c:w val="0.804991128155229"/>
          <c:h val="0.747434957860022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新整理20230209!$M$3:$M$23</c:f>
              <c:numCache>
                <c:formatCode>0.000_ </c:formatCode>
                <c:ptCount val="21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</c:numCache>
            </c:numRef>
          </c:xVal>
          <c:yVal>
            <c:numRef>
              <c:f>新整理20230209!$T$3:$T$23</c:f>
              <c:numCache>
                <c:formatCode>0.000_ </c:formatCode>
                <c:ptCount val="21"/>
                <c:pt idx="0">
                  <c:v>0.2334580935139</c:v>
                </c:pt>
                <c:pt idx="1">
                  <c:v>0.264572423404598</c:v>
                </c:pt>
                <c:pt idx="2">
                  <c:v>0.446250775151098</c:v>
                </c:pt>
                <c:pt idx="3">
                  <c:v>0.274307917630616</c:v>
                </c:pt>
                <c:pt idx="4">
                  <c:v>0.412574195426889</c:v>
                </c:pt>
                <c:pt idx="5">
                  <c:v>0.622483471048777</c:v>
                </c:pt>
                <c:pt idx="6">
                  <c:v>0.393181390755661</c:v>
                </c:pt>
                <c:pt idx="7">
                  <c:v>0.423693078153179</c:v>
                </c:pt>
                <c:pt idx="8">
                  <c:v>0.608224866995631</c:v>
                </c:pt>
                <c:pt idx="9">
                  <c:v>0.61954646955115</c:v>
                </c:pt>
                <c:pt idx="10">
                  <c:v>2.08626774582362</c:v>
                </c:pt>
                <c:pt idx="11">
                  <c:v>0.879769526017289</c:v>
                </c:pt>
                <c:pt idx="12">
                  <c:v>0.568407642011199</c:v>
                </c:pt>
                <c:pt idx="13">
                  <c:v>0.526111334670541</c:v>
                </c:pt>
                <c:pt idx="14">
                  <c:v>0.409048932898464</c:v>
                </c:pt>
                <c:pt idx="15">
                  <c:v>0.401958767622848</c:v>
                </c:pt>
                <c:pt idx="16">
                  <c:v>0.0885724083145209</c:v>
                </c:pt>
                <c:pt idx="17">
                  <c:v>8.25882064979209</c:v>
                </c:pt>
                <c:pt idx="18">
                  <c:v>0.34678403057841</c:v>
                </c:pt>
                <c:pt idx="19">
                  <c:v>0.325952468091459</c:v>
                </c:pt>
                <c:pt idx="20">
                  <c:v>0.484451305698744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新整理20230209!$M$24:$M$31</c:f>
              <c:numCache>
                <c:formatCode>0.000_ </c:formatCode>
                <c:ptCount val="8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</c:numCache>
            </c:numRef>
          </c:xVal>
          <c:yVal>
            <c:numRef>
              <c:f>新整理20230209!$T$24:$T$31</c:f>
              <c:numCache>
                <c:formatCode>0.000_ </c:formatCode>
                <c:ptCount val="8"/>
                <c:pt idx="0">
                  <c:v>0.617029441684137</c:v>
                </c:pt>
                <c:pt idx="1">
                  <c:v>0.594939906135404</c:v>
                </c:pt>
                <c:pt idx="2">
                  <c:v>0.643304617673592</c:v>
                </c:pt>
                <c:pt idx="3">
                  <c:v>0.646000669828235</c:v>
                </c:pt>
                <c:pt idx="4">
                  <c:v>0.632225301921224</c:v>
                </c:pt>
                <c:pt idx="5">
                  <c:v>0.643374547944002</c:v>
                </c:pt>
                <c:pt idx="6">
                  <c:v>0.513480192020689</c:v>
                </c:pt>
                <c:pt idx="7">
                  <c:v>0.445914612346143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新整理20230209!$M$32:$M$51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新整理20230209!$T$32:$T$51</c:f>
              <c:numCache>
                <c:formatCode>0.000_ </c:formatCode>
                <c:ptCount val="20"/>
                <c:pt idx="0">
                  <c:v>0.0509951542570901</c:v>
                </c:pt>
                <c:pt idx="1">
                  <c:v>0.0741351854167569</c:v>
                </c:pt>
                <c:pt idx="2">
                  <c:v>0.0707255337454222</c:v>
                </c:pt>
                <c:pt idx="3">
                  <c:v>0.0680314140125596</c:v>
                </c:pt>
                <c:pt idx="4">
                  <c:v>0.0839180875008151</c:v>
                </c:pt>
                <c:pt idx="5">
                  <c:v>0.157166822702546</c:v>
                </c:pt>
                <c:pt idx="6">
                  <c:v>0.289069194736174</c:v>
                </c:pt>
                <c:pt idx="7">
                  <c:v>0.274597280561085</c:v>
                </c:pt>
                <c:pt idx="8">
                  <c:v>0.112192795697996</c:v>
                </c:pt>
                <c:pt idx="9">
                  <c:v>0.279183430563874</c:v>
                </c:pt>
                <c:pt idx="10">
                  <c:v>0.127915131353105</c:v>
                </c:pt>
                <c:pt idx="11">
                  <c:v>0.513741544339186</c:v>
                </c:pt>
                <c:pt idx="12">
                  <c:v>0.598315195742774</c:v>
                </c:pt>
                <c:pt idx="13">
                  <c:v>0.514380522117131</c:v>
                </c:pt>
                <c:pt idx="14">
                  <c:v>0.525931448830722</c:v>
                </c:pt>
                <c:pt idx="15">
                  <c:v>0.336737441229221</c:v>
                </c:pt>
                <c:pt idx="16">
                  <c:v>0.357634039304663</c:v>
                </c:pt>
                <c:pt idx="17">
                  <c:v>0.372766159137038</c:v>
                </c:pt>
                <c:pt idx="18">
                  <c:v>0.453046445418956</c:v>
                </c:pt>
                <c:pt idx="19">
                  <c:v>0.473841331634389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logBase val="10"/>
          <c:orientation val="minMax"/>
          <c:max val="2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232957472382806"/>
              <c:y val="0.35196042506412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237116874368"/>
          <c:y val="0.11439114391143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8e9365-f059-4628-9db3-a31593301f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38624005495"/>
          <c:y val="0.0708134847929645"/>
          <c:w val="0.804991128155229"/>
          <c:h val="0.747434957860022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新整理20230209!$M$3:$M$23</c:f>
              <c:numCache>
                <c:formatCode>0.000_ </c:formatCode>
                <c:ptCount val="21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</c:numCache>
            </c:numRef>
          </c:xVal>
          <c:yVal>
            <c:numRef>
              <c:f>新整理20230209!$V$3:$V$23</c:f>
              <c:numCache>
                <c:formatCode>0.00E+00</c:formatCode>
                <c:ptCount val="21"/>
                <c:pt idx="0">
                  <c:v>5.47108899347193e-6</c:v>
                </c:pt>
                <c:pt idx="1">
                  <c:v>6.272868079128e-6</c:v>
                </c:pt>
                <c:pt idx="2">
                  <c:v>9.91760027899953e-6</c:v>
                </c:pt>
                <c:pt idx="3">
                  <c:v>6.70373529765495e-6</c:v>
                </c:pt>
                <c:pt idx="4">
                  <c:v>1.04605276620654e-5</c:v>
                </c:pt>
                <c:pt idx="5">
                  <c:v>1.58828082417014e-5</c:v>
                </c:pt>
                <c:pt idx="6">
                  <c:v>1.07014427283105e-5</c:v>
                </c:pt>
                <c:pt idx="7">
                  <c:v>1.06298901945041e-5</c:v>
                </c:pt>
                <c:pt idx="8">
                  <c:v>1.62736835835216e-5</c:v>
                </c:pt>
                <c:pt idx="9">
                  <c:v>1.62171503913823e-5</c:v>
                </c:pt>
                <c:pt idx="10">
                  <c:v>5.40843537262945e-5</c:v>
                </c:pt>
                <c:pt idx="11">
                  <c:v>2.85851430438428e-5</c:v>
                </c:pt>
                <c:pt idx="12">
                  <c:v>1.85347710173381e-5</c:v>
                </c:pt>
                <c:pt idx="13">
                  <c:v>1.71275130434701e-5</c:v>
                </c:pt>
                <c:pt idx="14">
                  <c:v>1.32375787257458e-5</c:v>
                </c:pt>
                <c:pt idx="15">
                  <c:v>1.30320547342987e-5</c:v>
                </c:pt>
                <c:pt idx="16">
                  <c:v>1.85352316418393e-6</c:v>
                </c:pt>
                <c:pt idx="17">
                  <c:v>0.000174607256566149</c:v>
                </c:pt>
                <c:pt idx="18">
                  <c:v>6.67095653226649e-6</c:v>
                </c:pt>
                <c:pt idx="19">
                  <c:v>5.92204018401557e-6</c:v>
                </c:pt>
                <c:pt idx="20">
                  <c:v>8.18789912233637e-6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新整理20230209!$M$24:$M$31</c:f>
              <c:numCache>
                <c:formatCode>0.000_ </c:formatCode>
                <c:ptCount val="8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</c:numCache>
            </c:numRef>
          </c:xVal>
          <c:yVal>
            <c:numRef>
              <c:f>新整理20230209!$V$24:$V$31</c:f>
              <c:numCache>
                <c:formatCode>0.00E+00</c:formatCode>
                <c:ptCount val="8"/>
                <c:pt idx="0">
                  <c:v>1.95116496738911e-5</c:v>
                </c:pt>
                <c:pt idx="1">
                  <c:v>1.84377376202416e-5</c:v>
                </c:pt>
                <c:pt idx="2">
                  <c:v>2.01656061478616e-5</c:v>
                </c:pt>
                <c:pt idx="3">
                  <c:v>2.02906052857637e-5</c:v>
                </c:pt>
                <c:pt idx="4">
                  <c:v>1.93031807758285e-5</c:v>
                </c:pt>
                <c:pt idx="5">
                  <c:v>2.03907233904465e-5</c:v>
                </c:pt>
                <c:pt idx="6">
                  <c:v>1.70491910860573e-5</c:v>
                </c:pt>
                <c:pt idx="7">
                  <c:v>1.45191027762663e-5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新整理20230209!$M$32:$M$51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新整理20230209!$V$32:$V$51</c:f>
              <c:numCache>
                <c:formatCode>0.00E+00</c:formatCode>
                <c:ptCount val="20"/>
                <c:pt idx="0">
                  <c:v>1.40859156707585e-6</c:v>
                </c:pt>
                <c:pt idx="1">
                  <c:v>2.03659033741589e-6</c:v>
                </c:pt>
                <c:pt idx="2">
                  <c:v>1.93266834721776e-6</c:v>
                </c:pt>
                <c:pt idx="3">
                  <c:v>1.85059203851614e-6</c:v>
                </c:pt>
                <c:pt idx="4">
                  <c:v>2.24268300443671e-6</c:v>
                </c:pt>
                <c:pt idx="5">
                  <c:v>5.26572159991842e-6</c:v>
                </c:pt>
                <c:pt idx="6">
                  <c:v>9.35638069603663e-6</c:v>
                </c:pt>
                <c:pt idx="7">
                  <c:v>8.9169238175639e-6</c:v>
                </c:pt>
                <c:pt idx="8">
                  <c:v>3.60427732629931e-6</c:v>
                </c:pt>
                <c:pt idx="9">
                  <c:v>8.92185482121311e-6</c:v>
                </c:pt>
                <c:pt idx="10">
                  <c:v>4.05017591896795e-6</c:v>
                </c:pt>
                <c:pt idx="11">
                  <c:v>1.70936788806553e-5</c:v>
                </c:pt>
                <c:pt idx="12">
                  <c:v>1.86345291837794e-5</c:v>
                </c:pt>
                <c:pt idx="13">
                  <c:v>1.65370915881288e-5</c:v>
                </c:pt>
                <c:pt idx="14">
                  <c:v>1.70058189036433e-5</c:v>
                </c:pt>
                <c:pt idx="15">
                  <c:v>1.09539355815198e-5</c:v>
                </c:pt>
                <c:pt idx="16">
                  <c:v>1.2339834947442e-5</c:v>
                </c:pt>
                <c:pt idx="17">
                  <c:v>1.19446039584254e-5</c:v>
                </c:pt>
                <c:pt idx="18">
                  <c:v>1.47928666220638e-5</c:v>
                </c:pt>
                <c:pt idx="19">
                  <c:v>1.61944233868507e-5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logBase val="10"/>
          <c:orientation val="minMax"/>
          <c:max val="2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t’-cap/t-drain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232957472382806"/>
              <c:y val="0.35196042506412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237116874368"/>
          <c:y val="0.11439114391143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8c310a-1e77-457b-9449-aab4ada5e8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US" altLang="zh-CN" sz="192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y-t</a:t>
            </a:r>
            <a:endParaRPr sz="192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696338383838"/>
          <c:y val="0.126099706744868"/>
          <c:w val="0.861395202020202"/>
          <c:h val="0.718670576735093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'y-t &amp; v-t 处理表(以46为例)'!$C$2:$C$101</c:f>
              <c:numCache>
                <c:formatCode>General</c:formatCode>
                <c:ptCount val="100"/>
                <c:pt idx="0">
                  <c:v>0.000333333333333333</c:v>
                </c:pt>
                <c:pt idx="1">
                  <c:v>0.00102356902356902</c:v>
                </c:pt>
                <c:pt idx="2">
                  <c:v>0.00171380471380471</c:v>
                </c:pt>
                <c:pt idx="3">
                  <c:v>0.0024040404040404</c:v>
                </c:pt>
                <c:pt idx="4">
                  <c:v>0.00309427609427609</c:v>
                </c:pt>
                <c:pt idx="5">
                  <c:v>0.00378451178451179</c:v>
                </c:pt>
                <c:pt idx="6">
                  <c:v>0.00447474747474748</c:v>
                </c:pt>
                <c:pt idx="7">
                  <c:v>0.00516498316498317</c:v>
                </c:pt>
                <c:pt idx="8">
                  <c:v>0.00585521885521886</c:v>
                </c:pt>
                <c:pt idx="9">
                  <c:v>0.00654545454545455</c:v>
                </c:pt>
                <c:pt idx="10">
                  <c:v>0.00723569023569024</c:v>
                </c:pt>
                <c:pt idx="11">
                  <c:v>0.00792592592592593</c:v>
                </c:pt>
                <c:pt idx="12">
                  <c:v>0.00861616161616162</c:v>
                </c:pt>
                <c:pt idx="13">
                  <c:v>0.00930639730639731</c:v>
                </c:pt>
                <c:pt idx="14">
                  <c:v>0.009996632996633</c:v>
                </c:pt>
                <c:pt idx="15">
                  <c:v>0.0106868686868687</c:v>
                </c:pt>
                <c:pt idx="16">
                  <c:v>0.0113771043771044</c:v>
                </c:pt>
                <c:pt idx="17">
                  <c:v>0.0120673400673401</c:v>
                </c:pt>
                <c:pt idx="18">
                  <c:v>0.0127575757575758</c:v>
                </c:pt>
                <c:pt idx="19">
                  <c:v>0.0134478114478115</c:v>
                </c:pt>
                <c:pt idx="20">
                  <c:v>0.0141380471380471</c:v>
                </c:pt>
                <c:pt idx="21">
                  <c:v>0.0148282828282828</c:v>
                </c:pt>
                <c:pt idx="22">
                  <c:v>0.0155185185185185</c:v>
                </c:pt>
                <c:pt idx="23">
                  <c:v>0.0162087542087542</c:v>
                </c:pt>
                <c:pt idx="24">
                  <c:v>0.0168989898989899</c:v>
                </c:pt>
                <c:pt idx="25">
                  <c:v>0.0175892255892256</c:v>
                </c:pt>
                <c:pt idx="26">
                  <c:v>0.0182794612794613</c:v>
                </c:pt>
                <c:pt idx="27">
                  <c:v>0.018969696969697</c:v>
                </c:pt>
                <c:pt idx="28">
                  <c:v>0.0196599326599327</c:v>
                </c:pt>
                <c:pt idx="29">
                  <c:v>0.0203501683501684</c:v>
                </c:pt>
                <c:pt idx="30">
                  <c:v>0.021040404040404</c:v>
                </c:pt>
                <c:pt idx="31">
                  <c:v>0.0217306397306397</c:v>
                </c:pt>
                <c:pt idx="32">
                  <c:v>0.0224208754208754</c:v>
                </c:pt>
                <c:pt idx="33">
                  <c:v>0.0231111111111111</c:v>
                </c:pt>
                <c:pt idx="34">
                  <c:v>0.0238013468013468</c:v>
                </c:pt>
                <c:pt idx="35">
                  <c:v>0.0244915824915825</c:v>
                </c:pt>
                <c:pt idx="36">
                  <c:v>0.0251818181818182</c:v>
                </c:pt>
                <c:pt idx="37">
                  <c:v>0.0258720538720539</c:v>
                </c:pt>
                <c:pt idx="38">
                  <c:v>0.0265622895622896</c:v>
                </c:pt>
                <c:pt idx="39">
                  <c:v>0.0272525252525253</c:v>
                </c:pt>
                <c:pt idx="40">
                  <c:v>0.027942760942761</c:v>
                </c:pt>
                <c:pt idx="41">
                  <c:v>0.0286329966329966</c:v>
                </c:pt>
                <c:pt idx="42">
                  <c:v>0.0293232323232323</c:v>
                </c:pt>
                <c:pt idx="43">
                  <c:v>0.030013468013468</c:v>
                </c:pt>
                <c:pt idx="44">
                  <c:v>0.0307037037037037</c:v>
                </c:pt>
                <c:pt idx="45">
                  <c:v>0.0313939393939394</c:v>
                </c:pt>
                <c:pt idx="46">
                  <c:v>0.0320841750841751</c:v>
                </c:pt>
                <c:pt idx="47">
                  <c:v>0.0327744107744108</c:v>
                </c:pt>
                <c:pt idx="48">
                  <c:v>0.0334646464646465</c:v>
                </c:pt>
                <c:pt idx="49">
                  <c:v>0.0341548821548822</c:v>
                </c:pt>
                <c:pt idx="50">
                  <c:v>0.0348451178451178</c:v>
                </c:pt>
                <c:pt idx="51">
                  <c:v>0.0355353535353535</c:v>
                </c:pt>
                <c:pt idx="52">
                  <c:v>0.0362255892255892</c:v>
                </c:pt>
                <c:pt idx="53">
                  <c:v>0.0369158249158249</c:v>
                </c:pt>
                <c:pt idx="54">
                  <c:v>0.0376060606060606</c:v>
                </c:pt>
                <c:pt idx="55">
                  <c:v>0.0382962962962963</c:v>
                </c:pt>
                <c:pt idx="56">
                  <c:v>0.038986531986532</c:v>
                </c:pt>
                <c:pt idx="57">
                  <c:v>0.0396767676767677</c:v>
                </c:pt>
                <c:pt idx="58">
                  <c:v>0.0403670033670034</c:v>
                </c:pt>
                <c:pt idx="59">
                  <c:v>0.0410572390572391</c:v>
                </c:pt>
                <c:pt idx="60">
                  <c:v>0.0417474747474748</c:v>
                </c:pt>
                <c:pt idx="61">
                  <c:v>0.0424377104377104</c:v>
                </c:pt>
                <c:pt idx="62">
                  <c:v>0.0431279461279461</c:v>
                </c:pt>
                <c:pt idx="63">
                  <c:v>0.0438181818181818</c:v>
                </c:pt>
                <c:pt idx="64">
                  <c:v>0.0445084175084175</c:v>
                </c:pt>
                <c:pt idx="65">
                  <c:v>0.0451986531986532</c:v>
                </c:pt>
                <c:pt idx="66">
                  <c:v>0.0458888888888889</c:v>
                </c:pt>
                <c:pt idx="67">
                  <c:v>0.0465791245791246</c:v>
                </c:pt>
                <c:pt idx="68">
                  <c:v>0.0472693602693603</c:v>
                </c:pt>
                <c:pt idx="69">
                  <c:v>0.047959595959596</c:v>
                </c:pt>
                <c:pt idx="70">
                  <c:v>0.0486498316498317</c:v>
                </c:pt>
                <c:pt idx="71">
                  <c:v>0.0493400673400673</c:v>
                </c:pt>
                <c:pt idx="72">
                  <c:v>0.050030303030303</c:v>
                </c:pt>
                <c:pt idx="73">
                  <c:v>0.0507205387205387</c:v>
                </c:pt>
                <c:pt idx="74">
                  <c:v>0.0514107744107744</c:v>
                </c:pt>
                <c:pt idx="75">
                  <c:v>0.0521010101010101</c:v>
                </c:pt>
                <c:pt idx="76">
                  <c:v>0.0527912457912458</c:v>
                </c:pt>
                <c:pt idx="77">
                  <c:v>0.0534814814814815</c:v>
                </c:pt>
                <c:pt idx="78">
                  <c:v>0.0541717171717172</c:v>
                </c:pt>
                <c:pt idx="79">
                  <c:v>0.0548619528619529</c:v>
                </c:pt>
                <c:pt idx="80">
                  <c:v>0.0555521885521886</c:v>
                </c:pt>
                <c:pt idx="81">
                  <c:v>0.0562424242424243</c:v>
                </c:pt>
                <c:pt idx="82">
                  <c:v>0.0569326599326599</c:v>
                </c:pt>
                <c:pt idx="83">
                  <c:v>0.0576228956228956</c:v>
                </c:pt>
                <c:pt idx="84">
                  <c:v>0.0583131313131313</c:v>
                </c:pt>
                <c:pt idx="85">
                  <c:v>0.059003367003367</c:v>
                </c:pt>
                <c:pt idx="86">
                  <c:v>0.0596936026936027</c:v>
                </c:pt>
                <c:pt idx="87">
                  <c:v>0.0603838383838384</c:v>
                </c:pt>
                <c:pt idx="88">
                  <c:v>0.0610740740740741</c:v>
                </c:pt>
                <c:pt idx="89">
                  <c:v>0.0617643097643098</c:v>
                </c:pt>
                <c:pt idx="90">
                  <c:v>0.0624545454545455</c:v>
                </c:pt>
                <c:pt idx="91">
                  <c:v>0.0631447811447812</c:v>
                </c:pt>
                <c:pt idx="92">
                  <c:v>0.0638350168350169</c:v>
                </c:pt>
                <c:pt idx="93">
                  <c:v>0.0645252525252525</c:v>
                </c:pt>
                <c:pt idx="94">
                  <c:v>0.0652154882154882</c:v>
                </c:pt>
                <c:pt idx="95">
                  <c:v>0.0659057239057239</c:v>
                </c:pt>
                <c:pt idx="96">
                  <c:v>0.0665959595959596</c:v>
                </c:pt>
                <c:pt idx="97">
                  <c:v>0.0672861952861953</c:v>
                </c:pt>
                <c:pt idx="98">
                  <c:v>0.067976430976431</c:v>
                </c:pt>
                <c:pt idx="99">
                  <c:v>0.0686666666666667</c:v>
                </c:pt>
              </c:numCache>
            </c:numRef>
          </c:xVal>
          <c:yVal>
            <c:numRef>
              <c:f>'y-t &amp; v-t 处理表(以46为例)'!$D$2:$D$101</c:f>
              <c:numCache>
                <c:formatCode>General</c:formatCode>
                <c:ptCount val="100"/>
                <c:pt idx="0">
                  <c:v>0.013377106384185</c:v>
                </c:pt>
                <c:pt idx="1">
                  <c:v>0.0134918539832841</c:v>
                </c:pt>
                <c:pt idx="2">
                  <c:v>0.0136449167264307</c:v>
                </c:pt>
                <c:pt idx="3">
                  <c:v>0.0138294445109941</c:v>
                </c:pt>
                <c:pt idx="4">
                  <c:v>0.0140393292876101</c:v>
                </c:pt>
                <c:pt idx="5">
                  <c:v>0.0142691538160691</c:v>
                </c:pt>
                <c:pt idx="6">
                  <c:v>0.0145141425721863</c:v>
                </c:pt>
                <c:pt idx="7">
                  <c:v>0.0147701147631981</c:v>
                </c:pt>
                <c:pt idx="8">
                  <c:v>0.0150334394092283</c:v>
                </c:pt>
                <c:pt idx="9">
                  <c:v>0.0153009924483677</c:v>
                </c:pt>
                <c:pt idx="10">
                  <c:v>0.0155701158229122</c:v>
                </c:pt>
                <c:pt idx="11">
                  <c:v>0.0158385785043023</c:v>
                </c:pt>
                <c:pt idx="12">
                  <c:v>0.0161045394143089</c:v>
                </c:pt>
                <c:pt idx="13">
                  <c:v>0.016366512200008</c:v>
                </c:pt>
                <c:pt idx="14">
                  <c:v>0.0166233318200901</c:v>
                </c:pt>
                <c:pt idx="15">
                  <c:v>0.016874122900047</c:v>
                </c:pt>
                <c:pt idx="16">
                  <c:v>0.0171182698137796</c:v>
                </c:pt>
                <c:pt idx="17">
                  <c:v>0.0173553884491727</c:v>
                </c:pt>
                <c:pt idx="18">
                  <c:v>0.0175852996151784</c:v>
                </c:pt>
                <c:pt idx="19">
                  <c:v>0.0178080040479533</c:v>
                </c:pt>
                <c:pt idx="20">
                  <c:v>0.0180236589735938</c:v>
                </c:pt>
                <c:pt idx="21">
                  <c:v>0.0182325561850124</c:v>
                </c:pt>
                <c:pt idx="22">
                  <c:v>0.0184351015904998</c:v>
                </c:pt>
                <c:pt idx="23">
                  <c:v>0.0186317961915167</c:v>
                </c:pt>
                <c:pt idx="24">
                  <c:v>0.0188232184472584</c:v>
                </c:pt>
                <c:pt idx="25">
                  <c:v>0.019010007983538</c:v>
                </c:pt>
                <c:pt idx="26">
                  <c:v>0.0191928506035298</c:v>
                </c:pt>
                <c:pt idx="27">
                  <c:v>0.0193724645579193</c:v>
                </c:pt>
                <c:pt idx="28">
                  <c:v>0.0195495880320012</c:v>
                </c:pt>
                <c:pt idx="29">
                  <c:v>0.0197249678072727</c:v>
                </c:pt>
                <c:pt idx="30">
                  <c:v>0.0198993490550619</c:v>
                </c:pt>
                <c:pt idx="31">
                  <c:v>0.0200734662197393</c:v>
                </c:pt>
                <c:pt idx="32">
                  <c:v>0.0202480349490537</c:v>
                </c:pt>
                <c:pt idx="33">
                  <c:v>0.0204237450291379</c:v>
                </c:pt>
                <c:pt idx="34">
                  <c:v>0.0206012542817266</c:v>
                </c:pt>
                <c:pt idx="35">
                  <c:v>0.0207811833811331</c:v>
                </c:pt>
                <c:pt idx="36">
                  <c:v>0.0209641115485259</c:v>
                </c:pt>
                <c:pt idx="37">
                  <c:v>0.0211505730810506</c:v>
                </c:pt>
                <c:pt idx="38">
                  <c:v>0.021341054673342</c:v>
                </c:pt>
                <c:pt idx="39">
                  <c:v>0.0215359934889679</c:v>
                </c:pt>
                <c:pt idx="40">
                  <c:v>0.0217357759393507</c:v>
                </c:pt>
                <c:pt idx="41">
                  <c:v>0.0219407371277103</c:v>
                </c:pt>
                <c:pt idx="42">
                  <c:v>0.0221511609155714</c:v>
                </c:pt>
                <c:pt idx="43">
                  <c:v>0.0223672805693804</c:v>
                </c:pt>
                <c:pt idx="44">
                  <c:v>0.0225892799447748</c:v>
                </c:pt>
                <c:pt idx="45">
                  <c:v>0.0228172951660498</c:v>
                </c:pt>
                <c:pt idx="46">
                  <c:v>0.0230514167583658</c:v>
                </c:pt>
                <c:pt idx="47">
                  <c:v>0.023291692190241</c:v>
                </c:pt>
                <c:pt idx="48">
                  <c:v>0.0235381287838724</c:v>
                </c:pt>
                <c:pt idx="49">
                  <c:v>0.0237906969508301</c:v>
                </c:pt>
                <c:pt idx="50">
                  <c:v>0.0240493337106682</c:v>
                </c:pt>
                <c:pt idx="51">
                  <c:v>0.0243139464499968</c:v>
                </c:pt>
                <c:pt idx="52">
                  <c:v>0.0245844168795582</c:v>
                </c:pt>
                <c:pt idx="53">
                  <c:v>0.0248606051468526</c:v>
                </c:pt>
                <c:pt idx="54">
                  <c:v>0.0251423540618556</c:v>
                </c:pt>
                <c:pt idx="55">
                  <c:v>0.0254294933933736</c:v>
                </c:pt>
                <c:pt idx="56">
                  <c:v>0.0257218441935787</c:v>
                </c:pt>
                <c:pt idx="57">
                  <c:v>0.026019223108269</c:v>
                </c:pt>
                <c:pt idx="58">
                  <c:v>0.0263214466303973</c:v>
                </c:pt>
                <c:pt idx="59">
                  <c:v>0.026628335254412</c:v>
                </c:pt>
                <c:pt idx="60">
                  <c:v>0.0269397174889558</c:v>
                </c:pt>
                <c:pt idx="61">
                  <c:v>0.0272554336854633</c:v>
                </c:pt>
                <c:pt idx="62">
                  <c:v>0.0275753396402041</c:v>
                </c:pt>
                <c:pt idx="63">
                  <c:v>0.0278993099273147</c:v>
                </c:pt>
                <c:pt idx="64">
                  <c:v>0.0282272409203619</c:v>
                </c:pt>
                <c:pt idx="65">
                  <c:v>0.0285590534599832</c:v>
                </c:pt>
                <c:pt idx="66">
                  <c:v>0.028894695125148</c:v>
                </c:pt>
                <c:pt idx="67">
                  <c:v>0.0292341420655821</c:v>
                </c:pt>
                <c:pt idx="68">
                  <c:v>0.0295774003529018</c:v>
                </c:pt>
                <c:pt idx="69">
                  <c:v>0.0299245068079996</c:v>
                </c:pt>
                <c:pt idx="70">
                  <c:v>0.0302755292622262</c:v>
                </c:pt>
                <c:pt idx="71">
                  <c:v>0.0306305662099132</c:v>
                </c:pt>
                <c:pt idx="72">
                  <c:v>0.0309897458097798</c:v>
                </c:pt>
                <c:pt idx="73">
                  <c:v>0.031353224192768</c:v>
                </c:pt>
                <c:pt idx="74">
                  <c:v>0.0317211830338493</c:v>
                </c:pt>
                <c:pt idx="75">
                  <c:v>0.0320938263453486</c:v>
                </c:pt>
                <c:pt idx="76">
                  <c:v>0.0324713764493273</c:v>
                </c:pt>
                <c:pt idx="77">
                  <c:v>0.0328540690865719</c:v>
                </c:pt>
                <c:pt idx="78">
                  <c:v>0.0332421476197284</c:v>
                </c:pt>
                <c:pt idx="79">
                  <c:v>0.0336358562881317</c:v>
                </c:pt>
                <c:pt idx="80">
                  <c:v>0.0340354324718685</c:v>
                </c:pt>
                <c:pt idx="81">
                  <c:v>0.0344410979226219</c:v>
                </c:pt>
                <c:pt idx="82">
                  <c:v>0.0348530489188388</c:v>
                </c:pt>
                <c:pt idx="83">
                  <c:v>0.0352714453027671</c:v>
                </c:pt>
                <c:pt idx="84">
                  <c:v>0.0356963983569019</c:v>
                </c:pt>
                <c:pt idx="85">
                  <c:v>0.0361279574773913</c:v>
                </c:pt>
                <c:pt idx="86">
                  <c:v>0.036566095601938</c:v>
                </c:pt>
                <c:pt idx="87">
                  <c:v>0.0370106933497497</c:v>
                </c:pt>
                <c:pt idx="88">
                  <c:v>0.0374615218310727</c:v>
                </c:pt>
                <c:pt idx="89">
                  <c:v>0.0379182240838593</c:v>
                </c:pt>
                <c:pt idx="90">
                  <c:v>0.0383802950951122</c:v>
                </c:pt>
                <c:pt idx="91">
                  <c:v>0.0388470603644458</c:v>
                </c:pt>
                <c:pt idx="92">
                  <c:v>0.039317652967415</c:v>
                </c:pt>
                <c:pt idx="93">
                  <c:v>0.0397909890761475</c:v>
                </c:pt>
                <c:pt idx="94">
                  <c:v>0.0402657418948315</c:v>
                </c:pt>
                <c:pt idx="95">
                  <c:v>0.0407403139675975</c:v>
                </c:pt>
                <c:pt idx="96">
                  <c:v>0.0412128078163379</c:v>
                </c:pt>
                <c:pt idx="97">
                  <c:v>0.0416809948660144</c:v>
                </c:pt>
                <c:pt idx="98">
                  <c:v>0.0421422826149908</c:v>
                </c:pt>
                <c:pt idx="99">
                  <c:v>0.0425936800079334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'y-t &amp; v-t 处理表(以46为例)'!$G$2:$H$2</c:f>
              <c:numCache>
                <c:formatCode>General</c:formatCode>
                <c:ptCount val="2"/>
                <c:pt idx="0">
                  <c:v>0.002</c:v>
                </c:pt>
                <c:pt idx="1">
                  <c:v>0.0246666666666667</c:v>
                </c:pt>
              </c:numCache>
            </c:numRef>
          </c:xVal>
          <c:yVal>
            <c:numRef>
              <c:f>{0,0}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28323"/>
        <c:axId val="250908715"/>
      </c:scatterChart>
      <c:valAx>
        <c:axId val="2241283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altLang="en-US"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时间</a:t>
                </a:r>
                <a:r>
                  <a:rPr lang="en-US" altLang="zh-CN"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(s)</a:t>
                </a:r>
                <a:endParaRPr lang="en-US" altLang="zh-CN" sz="16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92865678776291"/>
              <c:y val="0.91024601243579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  <a:headEnd type="none"/>
            <a:tailEnd type="triangle"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50908715"/>
        <c:crosses val="autoZero"/>
        <c:crossBetween val="midCat"/>
      </c:valAx>
      <c:valAx>
        <c:axId val="25090871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y</a:t>
                </a:r>
                <a:r>
                  <a:rPr altLang="en-US"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坐标</a:t>
                </a:r>
                <a:r>
                  <a:rPr lang="en-US" altLang="zh-CN"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(m)</a:t>
                </a:r>
                <a:endParaRPr lang="en-US" altLang="zh-CN" sz="16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  <a:tailEnd type="triangle"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241283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db2ab7-e45c-4e3e-b688-b60ed6166fd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6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US" altLang="zh-CN" sz="192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v-t</a:t>
            </a:r>
            <a:endParaRPr sz="192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216825405637"/>
          <c:y val="0.106372953233596"/>
          <c:w val="0.862316424545527"/>
          <c:h val="0.72995641418306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'y-t &amp; v-t 处理表(以46为例)'!$E$2:$E$101</c:f>
              <c:numCache>
                <c:formatCode>General</c:formatCode>
                <c:ptCount val="100"/>
                <c:pt idx="0">
                  <c:v>0.000333333333333333</c:v>
                </c:pt>
                <c:pt idx="1">
                  <c:v>0.00102356902356902</c:v>
                </c:pt>
                <c:pt idx="2">
                  <c:v>0.00171380471380471</c:v>
                </c:pt>
                <c:pt idx="3">
                  <c:v>0.0024040404040404</c:v>
                </c:pt>
                <c:pt idx="4">
                  <c:v>0.00309427609427609</c:v>
                </c:pt>
                <c:pt idx="5">
                  <c:v>0.00378451178451179</c:v>
                </c:pt>
                <c:pt idx="6">
                  <c:v>0.00447474747474748</c:v>
                </c:pt>
                <c:pt idx="7">
                  <c:v>0.00516498316498317</c:v>
                </c:pt>
                <c:pt idx="8">
                  <c:v>0.00585521885521886</c:v>
                </c:pt>
                <c:pt idx="9">
                  <c:v>0.00654545454545455</c:v>
                </c:pt>
                <c:pt idx="10">
                  <c:v>0.00723569023569024</c:v>
                </c:pt>
                <c:pt idx="11">
                  <c:v>0.00792592592592593</c:v>
                </c:pt>
                <c:pt idx="12">
                  <c:v>0.00861616161616162</c:v>
                </c:pt>
                <c:pt idx="13">
                  <c:v>0.00930639730639731</c:v>
                </c:pt>
                <c:pt idx="14">
                  <c:v>0.009996632996633</c:v>
                </c:pt>
                <c:pt idx="15">
                  <c:v>0.0106868686868687</c:v>
                </c:pt>
                <c:pt idx="16">
                  <c:v>0.0113771043771044</c:v>
                </c:pt>
                <c:pt idx="17">
                  <c:v>0.0120673400673401</c:v>
                </c:pt>
                <c:pt idx="18">
                  <c:v>0.0127575757575758</c:v>
                </c:pt>
                <c:pt idx="19">
                  <c:v>0.0134478114478115</c:v>
                </c:pt>
                <c:pt idx="20">
                  <c:v>0.0141380471380471</c:v>
                </c:pt>
                <c:pt idx="21">
                  <c:v>0.0148282828282828</c:v>
                </c:pt>
                <c:pt idx="22">
                  <c:v>0.0155185185185185</c:v>
                </c:pt>
                <c:pt idx="23">
                  <c:v>0.0162087542087542</c:v>
                </c:pt>
                <c:pt idx="24">
                  <c:v>0.0168989898989899</c:v>
                </c:pt>
                <c:pt idx="25">
                  <c:v>0.0175892255892256</c:v>
                </c:pt>
                <c:pt idx="26">
                  <c:v>0.0182794612794613</c:v>
                </c:pt>
                <c:pt idx="27">
                  <c:v>0.018969696969697</c:v>
                </c:pt>
                <c:pt idx="28">
                  <c:v>0.0196599326599327</c:v>
                </c:pt>
                <c:pt idx="29">
                  <c:v>0.0203501683501684</c:v>
                </c:pt>
                <c:pt idx="30">
                  <c:v>0.021040404040404</c:v>
                </c:pt>
                <c:pt idx="31">
                  <c:v>0.0217306397306397</c:v>
                </c:pt>
                <c:pt idx="32">
                  <c:v>0.0224208754208754</c:v>
                </c:pt>
                <c:pt idx="33">
                  <c:v>0.0231111111111111</c:v>
                </c:pt>
                <c:pt idx="34">
                  <c:v>0.0238013468013468</c:v>
                </c:pt>
                <c:pt idx="35">
                  <c:v>0.0244915824915825</c:v>
                </c:pt>
                <c:pt idx="36">
                  <c:v>0.0251818181818182</c:v>
                </c:pt>
                <c:pt idx="37">
                  <c:v>0.0258720538720539</c:v>
                </c:pt>
                <c:pt idx="38">
                  <c:v>0.0265622895622896</c:v>
                </c:pt>
                <c:pt idx="39">
                  <c:v>0.0272525252525253</c:v>
                </c:pt>
                <c:pt idx="40">
                  <c:v>0.027942760942761</c:v>
                </c:pt>
                <c:pt idx="41">
                  <c:v>0.0286329966329966</c:v>
                </c:pt>
                <c:pt idx="42">
                  <c:v>0.0293232323232323</c:v>
                </c:pt>
                <c:pt idx="43">
                  <c:v>0.030013468013468</c:v>
                </c:pt>
                <c:pt idx="44">
                  <c:v>0.0307037037037037</c:v>
                </c:pt>
                <c:pt idx="45">
                  <c:v>0.0313939393939394</c:v>
                </c:pt>
                <c:pt idx="46">
                  <c:v>0.0320841750841751</c:v>
                </c:pt>
                <c:pt idx="47">
                  <c:v>0.0327744107744108</c:v>
                </c:pt>
                <c:pt idx="48">
                  <c:v>0.0334646464646465</c:v>
                </c:pt>
                <c:pt idx="49">
                  <c:v>0.0341548821548822</c:v>
                </c:pt>
                <c:pt idx="50">
                  <c:v>0.0348451178451178</c:v>
                </c:pt>
                <c:pt idx="51">
                  <c:v>0.0355353535353535</c:v>
                </c:pt>
                <c:pt idx="52">
                  <c:v>0.0362255892255892</c:v>
                </c:pt>
                <c:pt idx="53">
                  <c:v>0.0369158249158249</c:v>
                </c:pt>
                <c:pt idx="54">
                  <c:v>0.0376060606060606</c:v>
                </c:pt>
                <c:pt idx="55">
                  <c:v>0.0382962962962963</c:v>
                </c:pt>
                <c:pt idx="56">
                  <c:v>0.038986531986532</c:v>
                </c:pt>
                <c:pt idx="57">
                  <c:v>0.0396767676767677</c:v>
                </c:pt>
                <c:pt idx="58">
                  <c:v>0.0403670033670034</c:v>
                </c:pt>
                <c:pt idx="59">
                  <c:v>0.0410572390572391</c:v>
                </c:pt>
                <c:pt idx="60">
                  <c:v>0.0417474747474748</c:v>
                </c:pt>
                <c:pt idx="61">
                  <c:v>0.0424377104377104</c:v>
                </c:pt>
                <c:pt idx="62">
                  <c:v>0.0431279461279461</c:v>
                </c:pt>
                <c:pt idx="63">
                  <c:v>0.0438181818181818</c:v>
                </c:pt>
                <c:pt idx="64">
                  <c:v>0.0445084175084175</c:v>
                </c:pt>
                <c:pt idx="65">
                  <c:v>0.0451986531986532</c:v>
                </c:pt>
                <c:pt idx="66">
                  <c:v>0.0458888888888889</c:v>
                </c:pt>
                <c:pt idx="67">
                  <c:v>0.0465791245791246</c:v>
                </c:pt>
                <c:pt idx="68">
                  <c:v>0.0472693602693603</c:v>
                </c:pt>
                <c:pt idx="69">
                  <c:v>0.047959595959596</c:v>
                </c:pt>
                <c:pt idx="70">
                  <c:v>0.0486498316498317</c:v>
                </c:pt>
                <c:pt idx="71">
                  <c:v>0.0493400673400673</c:v>
                </c:pt>
                <c:pt idx="72">
                  <c:v>0.050030303030303</c:v>
                </c:pt>
                <c:pt idx="73">
                  <c:v>0.0507205387205387</c:v>
                </c:pt>
                <c:pt idx="74">
                  <c:v>0.0514107744107744</c:v>
                </c:pt>
                <c:pt idx="75">
                  <c:v>0.0521010101010101</c:v>
                </c:pt>
                <c:pt idx="76">
                  <c:v>0.0527912457912458</c:v>
                </c:pt>
                <c:pt idx="77">
                  <c:v>0.0534814814814815</c:v>
                </c:pt>
                <c:pt idx="78">
                  <c:v>0.0541717171717172</c:v>
                </c:pt>
                <c:pt idx="79">
                  <c:v>0.0548619528619529</c:v>
                </c:pt>
                <c:pt idx="80">
                  <c:v>0.0555521885521886</c:v>
                </c:pt>
                <c:pt idx="81">
                  <c:v>0.0562424242424243</c:v>
                </c:pt>
                <c:pt idx="82">
                  <c:v>0.0569326599326599</c:v>
                </c:pt>
                <c:pt idx="83">
                  <c:v>0.0576228956228956</c:v>
                </c:pt>
                <c:pt idx="84">
                  <c:v>0.0583131313131313</c:v>
                </c:pt>
                <c:pt idx="85">
                  <c:v>0.059003367003367</c:v>
                </c:pt>
                <c:pt idx="86">
                  <c:v>0.0596936026936027</c:v>
                </c:pt>
                <c:pt idx="87">
                  <c:v>0.0603838383838384</c:v>
                </c:pt>
                <c:pt idx="88">
                  <c:v>0.0610740740740741</c:v>
                </c:pt>
                <c:pt idx="89">
                  <c:v>0.0617643097643098</c:v>
                </c:pt>
                <c:pt idx="90">
                  <c:v>0.0624545454545455</c:v>
                </c:pt>
                <c:pt idx="91">
                  <c:v>0.0631447811447812</c:v>
                </c:pt>
                <c:pt idx="92">
                  <c:v>0.0638350168350169</c:v>
                </c:pt>
                <c:pt idx="93">
                  <c:v>0.0645252525252525</c:v>
                </c:pt>
                <c:pt idx="94">
                  <c:v>0.0652154882154882</c:v>
                </c:pt>
                <c:pt idx="95">
                  <c:v>0.0659057239057239</c:v>
                </c:pt>
                <c:pt idx="96">
                  <c:v>0.0665959595959596</c:v>
                </c:pt>
                <c:pt idx="97">
                  <c:v>0.0672861952861953</c:v>
                </c:pt>
                <c:pt idx="98">
                  <c:v>0.067976430976431</c:v>
                </c:pt>
                <c:pt idx="99">
                  <c:v>0.0686666666666667</c:v>
                </c:pt>
              </c:numCache>
            </c:numRef>
          </c:xVal>
          <c:yVal>
            <c:numRef>
              <c:f>'y-t &amp; v-t 处理表(以46为例)'!$F$2:$F$101</c:f>
              <c:numCache>
                <c:formatCode>General</c:formatCode>
                <c:ptCount val="100"/>
                <c:pt idx="0">
                  <c:v>0.134896723174257</c:v>
                </c:pt>
                <c:pt idx="1">
                  <c:v>0.195746655083139</c:v>
                </c:pt>
                <c:pt idx="2">
                  <c:v>0.246109217281245</c:v>
                </c:pt>
                <c:pt idx="3">
                  <c:v>0.287097656940604</c:v>
                </c:pt>
                <c:pt idx="4">
                  <c:v>0.319749401110617</c:v>
                </c:pt>
                <c:pt idx="5">
                  <c:v>0.345029203773475</c:v>
                </c:pt>
                <c:pt idx="6">
                  <c:v>0.363832231390118</c:v>
                </c:pt>
                <c:pt idx="7">
                  <c:v>0.376987086936723</c:v>
                </c:pt>
                <c:pt idx="8">
                  <c:v>0.38525877243174</c:v>
                </c:pt>
                <c:pt idx="9">
                  <c:v>0.389351589953466</c:v>
                </c:pt>
                <c:pt idx="10">
                  <c:v>0.389911981148149</c:v>
                </c:pt>
                <c:pt idx="11">
                  <c:v>0.387531305228643</c:v>
                </c:pt>
                <c:pt idx="12">
                  <c:v>0.382748555463588</c:v>
                </c:pt>
                <c:pt idx="13">
                  <c:v>0.376053014157142</c:v>
                </c:pt>
                <c:pt idx="14">
                  <c:v>0.367886846119242</c:v>
                </c:pt>
                <c:pt idx="15">
                  <c:v>0.358647630626405</c:v>
                </c:pt>
                <c:pt idx="16">
                  <c:v>0.348690831873073</c:v>
                </c:pt>
                <c:pt idx="17">
                  <c:v>0.338332207913489</c:v>
                </c:pt>
                <c:pt idx="18">
                  <c:v>0.32785015809412</c:v>
                </c:pt>
                <c:pt idx="19">
                  <c:v>0.317488008976608</c:v>
                </c:pt>
                <c:pt idx="20">
                  <c:v>0.30745623875127</c:v>
                </c:pt>
                <c:pt idx="21">
                  <c:v>0.297934640141129</c:v>
                </c:pt>
                <c:pt idx="22">
                  <c:v>0.28907442179649</c:v>
                </c:pt>
                <c:pt idx="23">
                  <c:v>0.281000248180044</c:v>
                </c:pt>
                <c:pt idx="24">
                  <c:v>0.273812217942529</c:v>
                </c:pt>
                <c:pt idx="25">
                  <c:v>0.267587780788905</c:v>
                </c:pt>
                <c:pt idx="26">
                  <c:v>0.262383592835092</c:v>
                </c:pt>
                <c:pt idx="27">
                  <c:v>0.258237310455227</c:v>
                </c:pt>
                <c:pt idx="28">
                  <c:v>0.255169322619471</c:v>
                </c:pt>
                <c:pt idx="29">
                  <c:v>0.253184421722357</c:v>
                </c:pt>
                <c:pt idx="30">
                  <c:v>0.252273412901656</c:v>
                </c:pt>
                <c:pt idx="31">
                  <c:v>0.252414661847814</c:v>
                </c:pt>
                <c:pt idx="32">
                  <c:v>0.253575581103896</c:v>
                </c:pt>
                <c:pt idx="33">
                  <c:v>0.255714054856092</c:v>
                </c:pt>
                <c:pt idx="34">
                  <c:v>0.258779802214744</c:v>
                </c:pt>
                <c:pt idx="35">
                  <c:v>0.262715678985929</c:v>
                </c:pt>
                <c:pt idx="36">
                  <c:v>0.26745891793356</c:v>
                </c:pt>
                <c:pt idx="37">
                  <c:v>0.272942307532048</c:v>
                </c:pt>
                <c:pt idx="38">
                  <c:v>0.279095309209485</c:v>
                </c:pt>
                <c:pt idx="39">
                  <c:v>0.285845113081369</c:v>
                </c:pt>
                <c:pt idx="40">
                  <c:v>0.293117632174877</c:v>
                </c:pt>
                <c:pt idx="41">
                  <c:v>0.300838435143664</c:v>
                </c:pt>
                <c:pt idx="42">
                  <c:v>0.308933617473217</c:v>
                </c:pt>
                <c:pt idx="43">
                  <c:v>0.317330611176718</c:v>
                </c:pt>
                <c:pt idx="44">
                  <c:v>0.325958932981486</c:v>
                </c:pt>
                <c:pt idx="45">
                  <c:v>0.334750871005919</c:v>
                </c:pt>
                <c:pt idx="46">
                  <c:v>0.343642109927007</c:v>
                </c:pt>
                <c:pt idx="47">
                  <c:v>0.352572294638345</c:v>
                </c:pt>
                <c:pt idx="48">
                  <c:v>0.361485532398738</c:v>
                </c:pt>
                <c:pt idx="49">
                  <c:v>0.370330833471294</c:v>
                </c:pt>
                <c:pt idx="50">
                  <c:v>0.379062490253073</c:v>
                </c:pt>
                <c:pt idx="51">
                  <c:v>0.387640394895297</c:v>
                </c:pt>
                <c:pt idx="52">
                  <c:v>0.396030295414062</c:v>
                </c:pt>
                <c:pt idx="53">
                  <c:v>0.404203990291603</c:v>
                </c:pt>
                <c:pt idx="54">
                  <c:v>0.412139461568119</c:v>
                </c:pt>
                <c:pt idx="55">
                  <c:v>0.419820946424103</c:v>
                </c:pt>
                <c:pt idx="56">
                  <c:v>0.427238947253222</c:v>
                </c:pt>
                <c:pt idx="57">
                  <c:v>0.434390180225745</c:v>
                </c:pt>
                <c:pt idx="58">
                  <c:v>0.441277462342518</c:v>
                </c:pt>
                <c:pt idx="59">
                  <c:v>0.447909536979432</c:v>
                </c:pt>
                <c:pt idx="60">
                  <c:v>0.45430083792248</c:v>
                </c:pt>
                <c:pt idx="61">
                  <c:v>0.460471191893329</c:v>
                </c:pt>
                <c:pt idx="62">
                  <c:v>0.466445459565442</c:v>
                </c:pt>
                <c:pt idx="63">
                  <c:v>0.472253115070709</c:v>
                </c:pt>
                <c:pt idx="64">
                  <c:v>0.477927763996664</c:v>
                </c:pt>
                <c:pt idx="65">
                  <c:v>0.483506599874202</c:v>
                </c:pt>
                <c:pt idx="66">
                  <c:v>0.489029799155848</c:v>
                </c:pt>
                <c:pt idx="67">
                  <c:v>0.494539854684558</c:v>
                </c:pt>
                <c:pt idx="68">
                  <c:v>0.500080847653095</c:v>
                </c:pt>
                <c:pt idx="69">
                  <c:v>0.505697658053865</c:v>
                </c:pt>
                <c:pt idx="70">
                  <c:v>0.511435113619387</c:v>
                </c:pt>
                <c:pt idx="71">
                  <c:v>0.517337077253204</c:v>
                </c:pt>
                <c:pt idx="72">
                  <c:v>0.523445472951448</c:v>
                </c:pt>
                <c:pt idx="73">
                  <c:v>0.529799250214807</c:v>
                </c:pt>
                <c:pt idx="74">
                  <c:v>0.536433286951186</c:v>
                </c:pt>
                <c:pt idx="75">
                  <c:v>0.543377230868692</c:v>
                </c:pt>
                <c:pt idx="76">
                  <c:v>0.550654279359462</c:v>
                </c:pt>
                <c:pt idx="77">
                  <c:v>0.558279897873714</c:v>
                </c:pt>
                <c:pt idx="78">
                  <c:v>0.566260476784515</c:v>
                </c:pt>
                <c:pt idx="79">
                  <c:v>0.574591926743095</c:v>
                </c:pt>
                <c:pt idx="80">
                  <c:v>0.583258212524612</c:v>
                </c:pt>
                <c:pt idx="81">
                  <c:v>0.592229825364499</c:v>
                </c:pt>
                <c:pt idx="82">
                  <c:v>0.601462193785401</c:v>
                </c:pt>
                <c:pt idx="83">
                  <c:v>0.610894032914508</c:v>
                </c:pt>
                <c:pt idx="84">
                  <c:v>0.620445632291598</c:v>
                </c:pt>
                <c:pt idx="85">
                  <c:v>0.630017082167474</c:v>
                </c:pt>
                <c:pt idx="86">
                  <c:v>0.639486438293101</c:v>
                </c:pt>
                <c:pt idx="87">
                  <c:v>0.648707825199075</c:v>
                </c:pt>
                <c:pt idx="88">
                  <c:v>0.657509477965764</c:v>
                </c:pt>
                <c:pt idx="89">
                  <c:v>0.665691722484072</c:v>
                </c:pt>
                <c:pt idx="90">
                  <c:v>0.673024894206411</c:v>
                </c:pt>
                <c:pt idx="91">
                  <c:v>0.679247195388721</c:v>
                </c:pt>
                <c:pt idx="92">
                  <c:v>0.684062490822497</c:v>
                </c:pt>
                <c:pt idx="93">
                  <c:v>0.68713804205765</c:v>
                </c:pt>
                <c:pt idx="94">
                  <c:v>0.68810218011602</c:v>
                </c:pt>
                <c:pt idx="95">
                  <c:v>0.686541916694999</c:v>
                </c:pt>
                <c:pt idx="96">
                  <c:v>0.682000493862241</c:v>
                </c:pt>
                <c:pt idx="97">
                  <c:v>0.673974872240329</c:v>
                </c:pt>
                <c:pt idx="98">
                  <c:v>0.661913157682555</c:v>
                </c:pt>
                <c:pt idx="99">
                  <c:v>0.645211966438707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'y-t &amp; v-t 处理表(以46为例)'!$G$2:$H$2</c:f>
              <c:numCache>
                <c:formatCode>General</c:formatCode>
                <c:ptCount val="2"/>
                <c:pt idx="0">
                  <c:v>0.002</c:v>
                </c:pt>
                <c:pt idx="1">
                  <c:v>0.0246666666666667</c:v>
                </c:pt>
              </c:numCache>
            </c:numRef>
          </c:xVal>
          <c:yVal>
            <c:numRef>
              <c:f>{0,0}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50699"/>
        <c:axId val="999635134"/>
      </c:scatterChart>
      <c:valAx>
        <c:axId val="48205069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时间(s)</a:t>
                </a:r>
                <a:endParaRPr sz="16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96718003699359"/>
              <c:y val="0.912121569089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99635134"/>
        <c:crosses val="autoZero"/>
        <c:crossBetween val="midCat"/>
      </c:valAx>
      <c:valAx>
        <c:axId val="99963513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y</a:t>
                </a:r>
                <a:r>
                  <a:rPr altLang="en-US"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向</a:t>
                </a:r>
                <a:r>
                  <a:rPr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速度</a:t>
                </a:r>
                <a:r>
                  <a:rPr lang="en-US" altLang="zh-CN" sz="16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(m/s)</a:t>
                </a:r>
                <a:endParaRPr lang="en-US" altLang="zh-CN" sz="16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820506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36b5f56-9a09-4a7f-8c93-50248559bb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6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降压产率统计!$B$1:$K$1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降压产率统计!$B$2:$K$2</c:f>
              <c:numCache>
                <c:formatCode>0%</c:formatCode>
                <c:ptCount val="10"/>
                <c:pt idx="0">
                  <c:v>0.523809523809524</c:v>
                </c:pt>
                <c:pt idx="1">
                  <c:v>0.681818181818182</c:v>
                </c:pt>
                <c:pt idx="2">
                  <c:v>0.722222222222222</c:v>
                </c:pt>
                <c:pt idx="3">
                  <c:v>1</c:v>
                </c:pt>
                <c:pt idx="4">
                  <c:v>0.941176470588235</c:v>
                </c:pt>
                <c:pt idx="5">
                  <c:v>0.95</c:v>
                </c:pt>
                <c:pt idx="6" c:formatCode="0.0%">
                  <c:v>0.857142857142857</c:v>
                </c:pt>
                <c:pt idx="7" c:formatCode="0.0%">
                  <c:v>0.882352941176471</c:v>
                </c:pt>
                <c:pt idx="8" c:formatCode="0.0%">
                  <c:v>1</c:v>
                </c:pt>
                <c:pt idx="9" c:formatCode="0.0%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553039"/>
        <c:axId val="334549827"/>
      </c:scatterChart>
      <c:valAx>
        <c:axId val="3565530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549827"/>
        <c:crosses val="autoZero"/>
        <c:crossBetween val="midCat"/>
      </c:valAx>
      <c:valAx>
        <c:axId val="3345498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655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93eb30-862a-4a11-9465-da7bbf25c5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47581945190758"/>
          <c:y val="0.0443252399774139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'补充数据20230215-20230725'!$N$3:$N$69</c:f>
              <c:numCache>
                <c:formatCode>0.000_ </c:formatCode>
                <c:ptCount val="67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0</c:v>
                </c:pt>
                <c:pt idx="43">
                  <c:v>12.149018985606</c:v>
                </c:pt>
                <c:pt idx="44">
                  <c:v>30.4406362286586</c:v>
                </c:pt>
                <c:pt idx="45">
                  <c:v>6.67754112661533</c:v>
                </c:pt>
                <c:pt idx="46">
                  <c:v>0</c:v>
                </c:pt>
                <c:pt idx="47">
                  <c:v>0</c:v>
                </c:pt>
                <c:pt idx="48">
                  <c:v>858.530043063024</c:v>
                </c:pt>
                <c:pt idx="49">
                  <c:v>571.740935491015</c:v>
                </c:pt>
                <c:pt idx="50">
                  <c:v>24.6420438051209</c:v>
                </c:pt>
                <c:pt idx="51">
                  <c:v>23.0739996274934</c:v>
                </c:pt>
                <c:pt idx="52">
                  <c:v>26.6349515388322</c:v>
                </c:pt>
                <c:pt idx="53">
                  <c:v>23.6904115142342</c:v>
                </c:pt>
                <c:pt idx="54">
                  <c:v>15.5829884442118</c:v>
                </c:pt>
                <c:pt idx="55">
                  <c:v>15.5304393374087</c:v>
                </c:pt>
                <c:pt idx="56">
                  <c:v>12.9452596490475</c:v>
                </c:pt>
                <c:pt idx="57">
                  <c:v>13.8266134454377</c:v>
                </c:pt>
                <c:pt idx="58">
                  <c:v>13.5572034802801</c:v>
                </c:pt>
                <c:pt idx="59">
                  <c:v>17.0376579857058</c:v>
                </c:pt>
                <c:pt idx="60">
                  <c:v>12.3072678204838</c:v>
                </c:pt>
                <c:pt idx="61">
                  <c:v>16.6684934782528</c:v>
                </c:pt>
                <c:pt idx="62">
                  <c:v>13.8879335889062</c:v>
                </c:pt>
                <c:pt idx="63">
                  <c:v>18.6020114376394</c:v>
                </c:pt>
                <c:pt idx="64">
                  <c:v>16.1906887423071</c:v>
                </c:pt>
                <c:pt idx="65">
                  <c:v>19.9746945835606</c:v>
                </c:pt>
                <c:pt idx="66">
                  <c:v>37.0352165921172</c:v>
                </c:pt>
              </c:numCache>
            </c:numRef>
          </c:xVal>
          <c:yVal>
            <c:numRef>
              <c:f>'补充数据20230215-20230725'!$O$3:$O$69</c:f>
              <c:numCache>
                <c:formatCode>0.000_ </c:formatCode>
                <c:ptCount val="67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  <c:pt idx="21">
                  <c:v>3.70741266252123</c:v>
                </c:pt>
                <c:pt idx="22">
                  <c:v>6.00131712564687</c:v>
                </c:pt>
                <c:pt idx="23">
                  <c:v>6.29380576901394</c:v>
                </c:pt>
                <c:pt idx="24">
                  <c:v>6.39890961279557</c:v>
                </c:pt>
                <c:pt idx="25">
                  <c:v>5.72233664035863</c:v>
                </c:pt>
                <c:pt idx="26">
                  <c:v>5.67854565921208</c:v>
                </c:pt>
                <c:pt idx="27">
                  <c:v>5.2340971555774</c:v>
                </c:pt>
                <c:pt idx="28">
                  <c:v>5.11471908842709</c:v>
                </c:pt>
                <c:pt idx="29">
                  <c:v>5.22690348585162</c:v>
                </c:pt>
                <c:pt idx="30">
                  <c:v>5.09534738547879</c:v>
                </c:pt>
                <c:pt idx="31">
                  <c:v>6.59942010987446</c:v>
                </c:pt>
                <c:pt idx="32">
                  <c:v>6.13522234921878</c:v>
                </c:pt>
                <c:pt idx="33">
                  <c:v>6.02818213844176</c:v>
                </c:pt>
                <c:pt idx="34">
                  <c:v>6.13598567264896</c:v>
                </c:pt>
                <c:pt idx="35">
                  <c:v>6.09844497129276</c:v>
                </c:pt>
                <c:pt idx="36">
                  <c:v>5.68848995258772</c:v>
                </c:pt>
                <c:pt idx="37">
                  <c:v>5.88439861101181</c:v>
                </c:pt>
                <c:pt idx="38">
                  <c:v>5.72310403223283</c:v>
                </c:pt>
                <c:pt idx="39">
                  <c:v>5.53445712756113</c:v>
                </c:pt>
                <c:pt idx="40">
                  <c:v>5.73473549277107</c:v>
                </c:pt>
                <c:pt idx="41">
                  <c:v>4.89594138999651</c:v>
                </c:pt>
                <c:pt idx="42">
                  <c:v>0</c:v>
                </c:pt>
                <c:pt idx="43">
                  <c:v>5.63323509915774</c:v>
                </c:pt>
                <c:pt idx="44">
                  <c:v>5.83596994192761</c:v>
                </c:pt>
                <c:pt idx="45">
                  <c:v>5.71957775809919</c:v>
                </c:pt>
                <c:pt idx="46">
                  <c:v>0</c:v>
                </c:pt>
                <c:pt idx="47">
                  <c:v>0</c:v>
                </c:pt>
                <c:pt idx="48">
                  <c:v>3.65031010931607</c:v>
                </c:pt>
                <c:pt idx="49">
                  <c:v>3.28953216300107</c:v>
                </c:pt>
                <c:pt idx="50">
                  <c:v>3.69541789777316</c:v>
                </c:pt>
                <c:pt idx="51">
                  <c:v>3.40301561758373</c:v>
                </c:pt>
                <c:pt idx="52">
                  <c:v>3.7162394502436</c:v>
                </c:pt>
                <c:pt idx="53">
                  <c:v>3.44044015118003</c:v>
                </c:pt>
                <c:pt idx="54">
                  <c:v>3.39385250043867</c:v>
                </c:pt>
                <c:pt idx="55">
                  <c:v>3.71051031573697</c:v>
                </c:pt>
                <c:pt idx="56">
                  <c:v>3.74769867772342</c:v>
                </c:pt>
                <c:pt idx="57">
                  <c:v>4.27974033223633</c:v>
                </c:pt>
                <c:pt idx="58">
                  <c:v>4.22247449251643</c:v>
                </c:pt>
                <c:pt idx="59">
                  <c:v>4.13137442169454</c:v>
                </c:pt>
                <c:pt idx="60">
                  <c:v>4.01893799135279</c:v>
                </c:pt>
                <c:pt idx="61">
                  <c:v>4.03168008259807</c:v>
                </c:pt>
                <c:pt idx="62">
                  <c:v>3.64279110340268</c:v>
                </c:pt>
                <c:pt idx="63">
                  <c:v>3.46900195299014</c:v>
                </c:pt>
                <c:pt idx="64">
                  <c:v>3.63232512463612</c:v>
                </c:pt>
                <c:pt idx="65">
                  <c:v>3.65696421850038</c:v>
                </c:pt>
                <c:pt idx="66">
                  <c:v>3.62660684277443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'补充数据20230215-20230725'!$N$111:$N$119</c:f>
              <c:numCache>
                <c:formatCode>0.000_ </c:formatCode>
                <c:ptCount val="9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  <c:pt idx="8">
                  <c:v>635.112698555686</c:v>
                </c:pt>
              </c:numCache>
            </c:numRef>
          </c:xVal>
          <c:yVal>
            <c:numRef>
              <c:f>'补充数据20230215-20230725'!$O$111:$O$119</c:f>
              <c:numCache>
                <c:formatCode>0.000_ </c:formatCode>
                <c:ptCount val="9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  <c:pt idx="8">
                  <c:v>4.44982822350614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'补充数据20230215-20230725'!$N$120:$N$139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'补充数据20230215-20230725'!$O$120:$O$139</c:f>
              <c:numCache>
                <c:formatCode>0.000_ </c:formatCode>
                <c:ptCount val="20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1.70589820848416</c:v>
                </c:pt>
                <c:pt idx="10">
                  <c:v>1.73772162651171</c:v>
                </c:pt>
                <c:pt idx="11">
                  <c:v>1.57362928709765</c:v>
                </c:pt>
                <c:pt idx="12">
                  <c:v>1.79600423030684</c:v>
                </c:pt>
                <c:pt idx="13">
                  <c:v>1.68552385979283</c:v>
                </c:pt>
                <c:pt idx="14">
                  <c:v>1.66627746154534</c:v>
                </c:pt>
                <c:pt idx="15">
                  <c:v>1.64636675554716</c:v>
                </c:pt>
                <c:pt idx="16">
                  <c:v>1.4633328844295</c:v>
                </c:pt>
                <c:pt idx="17">
                  <c:v>1.69673331276319</c:v>
                </c:pt>
                <c:pt idx="18">
                  <c:v>1.63404837615802</c:v>
                </c:pt>
                <c:pt idx="19">
                  <c:v>1.49148551464658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405f58-06bf-4deb-9182-eadc952377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38624005495"/>
          <c:y val="0.0708134847929645"/>
          <c:w val="0.804991128155229"/>
          <c:h val="0.747434957860022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'补充数据20230215-20230725'!$N$3:$N$23</c:f>
              <c:numCache>
                <c:formatCode>0.000_ </c:formatCode>
                <c:ptCount val="21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</c:numCache>
            </c:numRef>
          </c:xVal>
          <c:yVal>
            <c:numRef>
              <c:f>'补充数据20230215-20230725'!$T$3:$T$23</c:f>
              <c:numCache>
                <c:formatCode>0.000_ </c:formatCode>
                <c:ptCount val="21"/>
                <c:pt idx="0">
                  <c:v>0.00427621260396748</c:v>
                </c:pt>
                <c:pt idx="1">
                  <c:v>0.00484612854750996</c:v>
                </c:pt>
                <c:pt idx="2">
                  <c:v>0.00817390033692605</c:v>
                </c:pt>
                <c:pt idx="3">
                  <c:v>0.0050244519566004</c:v>
                </c:pt>
                <c:pt idx="4">
                  <c:v>0.00755705209445291</c:v>
                </c:pt>
                <c:pt idx="5">
                  <c:v>0.0114019249647548</c:v>
                </c:pt>
                <c:pt idx="6">
                  <c:v>0.00720183735542548</c:v>
                </c:pt>
                <c:pt idx="7">
                  <c:v>0.00776071479785525</c:v>
                </c:pt>
                <c:pt idx="8">
                  <c:v>0.0111407525142764</c:v>
                </c:pt>
                <c:pt idx="9">
                  <c:v>0.0113481284026696</c:v>
                </c:pt>
                <c:pt idx="10">
                  <c:v>0.0382138151462743</c:v>
                </c:pt>
                <c:pt idx="11">
                  <c:v>0.0161145903280394</c:v>
                </c:pt>
                <c:pt idx="12">
                  <c:v>0.0104114271061457</c:v>
                </c:pt>
                <c:pt idx="13">
                  <c:v>0.00963669276376733</c:v>
                </c:pt>
                <c:pt idx="14">
                  <c:v>0.00749248045408077</c:v>
                </c:pt>
                <c:pt idx="15">
                  <c:v>0.00736261109012148</c:v>
                </c:pt>
                <c:pt idx="16">
                  <c:v>0.00162236589486994</c:v>
                </c:pt>
                <c:pt idx="17">
                  <c:v>0.151275427743717</c:v>
                </c:pt>
                <c:pt idx="18">
                  <c:v>0.00635198471851543</c:v>
                </c:pt>
                <c:pt idx="19">
                  <c:v>0.00597041649474454</c:v>
                </c:pt>
                <c:pt idx="20">
                  <c:v>0.00887361302517501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'补充数据20230215-20230725'!$N$111:$N$118</c:f>
              <c:numCache>
                <c:formatCode>0.000_ </c:formatCode>
                <c:ptCount val="8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</c:numCache>
            </c:numRef>
          </c:xVal>
          <c:yVal>
            <c:numRef>
              <c:f>'补充数据20230215-20230725'!$T$111:$T$118</c:f>
              <c:numCache>
                <c:formatCode>0.000_ </c:formatCode>
                <c:ptCount val="8"/>
                <c:pt idx="0">
                  <c:v>0.0113020244268877</c:v>
                </c:pt>
                <c:pt idx="1">
                  <c:v>0.0108974141222822</c:v>
                </c:pt>
                <c:pt idx="2">
                  <c:v>0.0117833024029321</c:v>
                </c:pt>
                <c:pt idx="3">
                  <c:v>0.0118326855364578</c:v>
                </c:pt>
                <c:pt idx="4">
                  <c:v>0.0115803644411313</c:v>
                </c:pt>
                <c:pt idx="5">
                  <c:v>0.0117845833039248</c:v>
                </c:pt>
                <c:pt idx="6">
                  <c:v>0.0094053302498839</c:v>
                </c:pt>
                <c:pt idx="7">
                  <c:v>0.00816774289940955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'补充数据20230215-20230725'!$N$120:$N$139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'补充数据20230215-20230725'!$T$120:$T$139</c:f>
              <c:numCache>
                <c:formatCode>0.000_ </c:formatCode>
                <c:ptCount val="20"/>
                <c:pt idx="0">
                  <c:v>0.000934069657184324</c:v>
                </c:pt>
                <c:pt idx="1">
                  <c:v>0.00135792171307921</c:v>
                </c:pt>
                <c:pt idx="2">
                  <c:v>0.00129546769731714</c:v>
                </c:pt>
                <c:pt idx="3">
                  <c:v>0.00124611995963599</c:v>
                </c:pt>
                <c:pt idx="4">
                  <c:v>0.00153711348392582</c:v>
                </c:pt>
                <c:pt idx="5">
                  <c:v>0.0028787982376209</c:v>
                </c:pt>
                <c:pt idx="6">
                  <c:v>0.0052948317847715</c:v>
                </c:pt>
                <c:pt idx="7">
                  <c:v>0.00502975216869313</c:v>
                </c:pt>
                <c:pt idx="8">
                  <c:v>0.00205501655486428</c:v>
                </c:pt>
                <c:pt idx="9">
                  <c:v>0.00511375590636799</c:v>
                </c:pt>
                <c:pt idx="10">
                  <c:v>0.00234299993072518</c:v>
                </c:pt>
                <c:pt idx="11">
                  <c:v>0.00941011739631182</c:v>
                </c:pt>
                <c:pt idx="12">
                  <c:v>0.0109592387339023</c:v>
                </c:pt>
                <c:pt idx="13">
                  <c:v>0.00942182144471973</c:v>
                </c:pt>
                <c:pt idx="14">
                  <c:v>0.00963339782511717</c:v>
                </c:pt>
                <c:pt idx="15">
                  <c:v>0.00616796303241643</c:v>
                </c:pt>
                <c:pt idx="16">
                  <c:v>0.00655072250211512</c:v>
                </c:pt>
                <c:pt idx="17">
                  <c:v>0.00682789499409425</c:v>
                </c:pt>
                <c:pt idx="18">
                  <c:v>0.00829837548539672</c:v>
                </c:pt>
                <c:pt idx="19">
                  <c:v>0.00867927191607545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logBase val="10"/>
          <c:orientation val="minMax"/>
          <c:max val="2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  <c:max val="0.02"/>
          <c:min val="0.001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232957472382806"/>
              <c:y val="0.35196042506412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237116874368"/>
          <c:y val="0.11439114391143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3dc974-e344-437b-bb06-20eabf4d61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98799839978664"/>
          <c:y val="0.0420447382670376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'补充数据20230215-20230725'!$N$3:$N$69</c:f>
              <c:numCache>
                <c:formatCode>0.000_ </c:formatCode>
                <c:ptCount val="67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0</c:v>
                </c:pt>
                <c:pt idx="43">
                  <c:v>12.149018985606</c:v>
                </c:pt>
                <c:pt idx="44">
                  <c:v>30.4406362286586</c:v>
                </c:pt>
                <c:pt idx="45">
                  <c:v>6.67754112661533</c:v>
                </c:pt>
                <c:pt idx="46">
                  <c:v>0</c:v>
                </c:pt>
                <c:pt idx="47">
                  <c:v>0</c:v>
                </c:pt>
                <c:pt idx="48">
                  <c:v>858.530043063024</c:v>
                </c:pt>
                <c:pt idx="49">
                  <c:v>571.740935491015</c:v>
                </c:pt>
                <c:pt idx="50">
                  <c:v>24.6420438051209</c:v>
                </c:pt>
                <c:pt idx="51">
                  <c:v>23.0739996274934</c:v>
                </c:pt>
                <c:pt idx="52">
                  <c:v>26.6349515388322</c:v>
                </c:pt>
                <c:pt idx="53">
                  <c:v>23.6904115142342</c:v>
                </c:pt>
                <c:pt idx="54">
                  <c:v>15.5829884442118</c:v>
                </c:pt>
                <c:pt idx="55">
                  <c:v>15.5304393374087</c:v>
                </c:pt>
                <c:pt idx="56">
                  <c:v>12.9452596490475</c:v>
                </c:pt>
                <c:pt idx="57">
                  <c:v>13.8266134454377</c:v>
                </c:pt>
                <c:pt idx="58">
                  <c:v>13.5572034802801</c:v>
                </c:pt>
                <c:pt idx="59">
                  <c:v>17.0376579857058</c:v>
                </c:pt>
                <c:pt idx="60">
                  <c:v>12.3072678204838</c:v>
                </c:pt>
                <c:pt idx="61">
                  <c:v>16.6684934782528</c:v>
                </c:pt>
                <c:pt idx="62">
                  <c:v>13.8879335889062</c:v>
                </c:pt>
                <c:pt idx="63">
                  <c:v>18.6020114376394</c:v>
                </c:pt>
                <c:pt idx="64">
                  <c:v>16.1906887423071</c:v>
                </c:pt>
                <c:pt idx="65">
                  <c:v>19.9746945835606</c:v>
                </c:pt>
                <c:pt idx="66">
                  <c:v>37.0352165921172</c:v>
                </c:pt>
              </c:numCache>
            </c:numRef>
          </c:xVal>
          <c:yVal>
            <c:numRef>
              <c:f>'补充数据20230215-20230725'!$Q$3:$Q$69</c:f>
              <c:numCache>
                <c:formatCode>0.00E+00</c:formatCode>
                <c:ptCount val="67"/>
                <c:pt idx="0">
                  <c:v>0.00328696554412751</c:v>
                </c:pt>
                <c:pt idx="1">
                  <c:v>0.00330615734748005</c:v>
                </c:pt>
                <c:pt idx="2">
                  <c:v>0.00320093266048912</c:v>
                </c:pt>
                <c:pt idx="3">
                  <c:v>0.00335661851997399</c:v>
                </c:pt>
                <c:pt idx="4">
                  <c:v>0.00341891650457948</c:v>
                </c:pt>
                <c:pt idx="5">
                  <c:v>0.00342974999080417</c:v>
                </c:pt>
                <c:pt idx="6">
                  <c:v>0.00354231695507838</c:v>
                </c:pt>
                <c:pt idx="7">
                  <c:v>0.0034009592946705</c:v>
                </c:pt>
                <c:pt idx="8">
                  <c:v>0.00351215421493562</c:v>
                </c:pt>
                <c:pt idx="9">
                  <c:v>0.00347386596879442</c:v>
                </c:pt>
                <c:pt idx="10">
                  <c:v>0.00345711263750019</c:v>
                </c:pt>
                <c:pt idx="11">
                  <c:v>0.00387033410532832</c:v>
                </c:pt>
                <c:pt idx="12">
                  <c:v>0.00387727306112227</c:v>
                </c:pt>
                <c:pt idx="13">
                  <c:v>0.00387410202352677</c:v>
                </c:pt>
                <c:pt idx="14">
                  <c:v>0.00386259679034906</c:v>
                </c:pt>
                <c:pt idx="15">
                  <c:v>0.00386614754366697</c:v>
                </c:pt>
                <c:pt idx="16">
                  <c:v>0.003106079101532</c:v>
                </c:pt>
                <c:pt idx="17">
                  <c:v>0.00312201407172482</c:v>
                </c:pt>
                <c:pt idx="18">
                  <c:v>0.00297801746048052</c:v>
                </c:pt>
                <c:pt idx="19">
                  <c:v>0.00289415154015791</c:v>
                </c:pt>
                <c:pt idx="20">
                  <c:v>0.00279141177170379</c:v>
                </c:pt>
                <c:pt idx="21">
                  <c:v>0.00316130233155562</c:v>
                </c:pt>
                <c:pt idx="22">
                  <c:v>0.00280267099946471</c:v>
                </c:pt>
                <c:pt idx="23">
                  <c:v>0.00276952589293596</c:v>
                </c:pt>
                <c:pt idx="24">
                  <c:v>0.00275808260967179</c:v>
                </c:pt>
                <c:pt idx="25">
                  <c:v>0.00283622325112467</c:v>
                </c:pt>
                <c:pt idx="26">
                  <c:v>0.00284167550247441</c:v>
                </c:pt>
                <c:pt idx="27">
                  <c:v>0.00290016908596418</c:v>
                </c:pt>
                <c:pt idx="28">
                  <c:v>0.00291694551624121</c:v>
                </c:pt>
                <c:pt idx="29">
                  <c:v>0.00290116643075157</c:v>
                </c:pt>
                <c:pt idx="30">
                  <c:v>0.00291971401344201</c:v>
                </c:pt>
                <c:pt idx="31">
                  <c:v>0.0027368898559315</c:v>
                </c:pt>
                <c:pt idx="32">
                  <c:v>0.00278725168810668</c:v>
                </c:pt>
                <c:pt idx="33">
                  <c:v>0.0027995431928282</c:v>
                </c:pt>
                <c:pt idx="34">
                  <c:v>0.00278716499976139</c:v>
                </c:pt>
                <c:pt idx="35">
                  <c:v>0.00279144442912026</c:v>
                </c:pt>
                <c:pt idx="36">
                  <c:v>0.00284043277378209</c:v>
                </c:pt>
                <c:pt idx="37">
                  <c:v>0.00281649018927655</c:v>
                </c:pt>
                <c:pt idx="38">
                  <c:v>0.00283612817142176</c:v>
                </c:pt>
                <c:pt idx="39">
                  <c:v>0.00285999324238481</c:v>
                </c:pt>
                <c:pt idx="40">
                  <c:v>0.0028346889841504</c:v>
                </c:pt>
                <c:pt idx="41">
                  <c:v>0.00294899958422644</c:v>
                </c:pt>
                <c:pt idx="42">
                  <c:v>0</c:v>
                </c:pt>
                <c:pt idx="43">
                  <c:v>0.00284737255521248</c:v>
                </c:pt>
                <c:pt idx="44">
                  <c:v>0.00282231511901522</c:v>
                </c:pt>
                <c:pt idx="45">
                  <c:v>0.00283656520779337</c:v>
                </c:pt>
                <c:pt idx="46">
                  <c:v>0</c:v>
                </c:pt>
                <c:pt idx="47">
                  <c:v>0</c:v>
                </c:pt>
                <c:pt idx="48">
                  <c:v>0.0031735936870873</c:v>
                </c:pt>
                <c:pt idx="49">
                  <c:v>0.00325724352634232</c:v>
                </c:pt>
                <c:pt idx="50">
                  <c:v>0.00316386449172072</c:v>
                </c:pt>
                <c:pt idx="51">
                  <c:v>0.00322974160687786</c:v>
                </c:pt>
                <c:pt idx="52">
                  <c:v>0.00315942348106532</c:v>
                </c:pt>
                <c:pt idx="53">
                  <c:v>0.00322092240221368</c:v>
                </c:pt>
                <c:pt idx="54">
                  <c:v>0.00323191941103189</c:v>
                </c:pt>
                <c:pt idx="55">
                  <c:v>0.00316064233571336</c:v>
                </c:pt>
                <c:pt idx="56">
                  <c:v>0.00315277223677611</c:v>
                </c:pt>
                <c:pt idx="57">
                  <c:v>0.00304985652323836</c:v>
                </c:pt>
                <c:pt idx="58">
                  <c:v>0.00306014499911138</c:v>
                </c:pt>
                <c:pt idx="59">
                  <c:v>0.00307687692461126</c:v>
                </c:pt>
                <c:pt idx="60">
                  <c:v>0.00309817494518069</c:v>
                </c:pt>
                <c:pt idx="61">
                  <c:v>0.00309572409954836</c:v>
                </c:pt>
                <c:pt idx="62">
                  <c:v>0.00317523005746467</c:v>
                </c:pt>
                <c:pt idx="63">
                  <c:v>0.00321427201979452</c:v>
                </c:pt>
                <c:pt idx="64">
                  <c:v>0.00317751482288777</c:v>
                </c:pt>
                <c:pt idx="65">
                  <c:v>0.00317214905554233</c:v>
                </c:pt>
                <c:pt idx="66">
                  <c:v>0.00317876662605004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'补充数据20230215-20230725'!$N$111:$N$118</c:f>
              <c:numCache>
                <c:formatCode>0.000_ </c:formatCode>
                <c:ptCount val="8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</c:numCache>
            </c:numRef>
          </c:xVal>
          <c:yVal>
            <c:numRef>
              <c:f>'补充数据20230215-20230725'!$Q$111:$Q$118</c:f>
              <c:numCache>
                <c:formatCode>0.00E+00</c:formatCode>
                <c:ptCount val="8"/>
                <c:pt idx="0">
                  <c:v>0.00381818336088664</c:v>
                </c:pt>
                <c:pt idx="1">
                  <c:v>0.00377989724817684</c:v>
                </c:pt>
                <c:pt idx="2">
                  <c:v>0.00380154412112755</c:v>
                </c:pt>
                <c:pt idx="3">
                  <c:v>0.00380534245544928</c:v>
                </c:pt>
                <c:pt idx="4">
                  <c:v>0.00375181341583967</c:v>
                </c:pt>
                <c:pt idx="5">
                  <c:v>0.0038224966010732</c:v>
                </c:pt>
                <c:pt idx="6">
                  <c:v>0.00391248577026571</c:v>
                </c:pt>
                <c:pt idx="7">
                  <c:v>0.00387442061649705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'补充数据20230215-20230725'!$N$120:$N$139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'补充数据20230215-20230725'!$Q$120:$Q$139</c:f>
              <c:numCache>
                <c:formatCode>0.00E+00</c:formatCode>
                <c:ptCount val="20"/>
                <c:pt idx="0">
                  <c:v>0.00356854203183766</c:v>
                </c:pt>
                <c:pt idx="1">
                  <c:v>0.00355879014908045</c:v>
                </c:pt>
                <c:pt idx="2">
                  <c:v>0.00354938638834819</c:v>
                </c:pt>
                <c:pt idx="3">
                  <c:v>0.00354130493947469</c:v>
                </c:pt>
                <c:pt idx="4">
                  <c:v>0.00351009512695278</c:v>
                </c:pt>
                <c:pt idx="5">
                  <c:v>0.00393016912563961</c:v>
                </c:pt>
                <c:pt idx="6">
                  <c:v>0.00386292045373</c:v>
                </c:pt>
                <c:pt idx="7">
                  <c:v>0.00386920857393617</c:v>
                </c:pt>
                <c:pt idx="8">
                  <c:v>0.00384848097645304</c:v>
                </c:pt>
                <c:pt idx="9">
                  <c:v>0.0038383580624394</c:v>
                </c:pt>
                <c:pt idx="10">
                  <c:v>0.0038206628216705</c:v>
                </c:pt>
                <c:pt idx="11">
                  <c:v>0.00391659041224679</c:v>
                </c:pt>
                <c:pt idx="12">
                  <c:v>0.00378928198417215</c:v>
                </c:pt>
                <c:pt idx="13">
                  <c:v>0.00384990521880316</c:v>
                </c:pt>
                <c:pt idx="14">
                  <c:v>0.00386097450490763</c:v>
                </c:pt>
                <c:pt idx="15">
                  <c:v>0.00387259532527898</c:v>
                </c:pt>
                <c:pt idx="16">
                  <c:v>0.00398839332539883</c:v>
                </c:pt>
                <c:pt idx="17">
                  <c:v>0.00384353081400445</c:v>
                </c:pt>
                <c:pt idx="18">
                  <c:v>0.0038798732356899</c:v>
                </c:pt>
                <c:pt idx="19">
                  <c:v>0.00396943782601041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"拟合线"</c15:sqref>
                        </c15:formulaRef>
                      </c:ext>
                    </c:extLst>
                    <c:strCache>
                      <c:ptCount val="1"/>
                      <c:pt idx="0">
                        <c:v>拟合线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f>{10,1}</c:f>
                    <c:numCache>
                      <c:formatCode>General</c:formatCode>
                      <c:ptCount val="2"/>
                      <c:pt idx="0">
                        <c:v>10</c:v>
                      </c:pt>
                      <c:pt idx="1">
                        <c:v>1</c:v>
                      </c:pt>
                    </c:numCache>
                  </c:numRef>
                </c:xVal>
                <c:yVal>
                  <c:numRef>
                    <c:f>{0.013983,0.0002639}</c:f>
                    <c:numCache>
                      <c:formatCode>General</c:formatCode>
                      <c:ptCount val="2"/>
                      <c:pt idx="0">
                        <c:v>0.013983</c:v>
                      </c:pt>
                      <c:pt idx="1">
                        <c:v>0.0002639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78639454"/>
        <c:scaling>
          <c:logBase val="10"/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Oh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550779150994089"/>
              <c:y val="0.4208678381192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106907230376"/>
          <c:y val="0.63536146858440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bc35a4-b7b0-40c4-897b-d41cd89643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38624005495"/>
          <c:y val="0.0708134847929645"/>
          <c:w val="0.804991128155229"/>
          <c:h val="0.747434957860022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'补充数据20230215-20230725'!$N$3:$N$23</c:f>
              <c:numCache>
                <c:formatCode>0.000_ </c:formatCode>
                <c:ptCount val="21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</c:numCache>
            </c:numRef>
          </c:xVal>
          <c:yVal>
            <c:numRef>
              <c:f>'补充数据20230215-20230725'!$V$3:$V$23</c:f>
              <c:numCache>
                <c:formatCode>0.00E+00</c:formatCode>
                <c:ptCount val="21"/>
                <c:pt idx="0">
                  <c:v>5.47108899347193e-6</c:v>
                </c:pt>
                <c:pt idx="1">
                  <c:v>6.272868079128e-6</c:v>
                </c:pt>
                <c:pt idx="2">
                  <c:v>9.91760027899953e-6</c:v>
                </c:pt>
                <c:pt idx="3">
                  <c:v>6.70373529765495e-6</c:v>
                </c:pt>
                <c:pt idx="4">
                  <c:v>1.04605276620654e-5</c:v>
                </c:pt>
                <c:pt idx="5">
                  <c:v>1.58828082417014e-5</c:v>
                </c:pt>
                <c:pt idx="6">
                  <c:v>1.07014427283105e-5</c:v>
                </c:pt>
                <c:pt idx="7">
                  <c:v>1.06298901945041e-5</c:v>
                </c:pt>
                <c:pt idx="8">
                  <c:v>1.62736835835216e-5</c:v>
                </c:pt>
                <c:pt idx="9">
                  <c:v>1.62171503913823e-5</c:v>
                </c:pt>
                <c:pt idx="10">
                  <c:v>5.40843537262945e-5</c:v>
                </c:pt>
                <c:pt idx="11">
                  <c:v>2.85851430438428e-5</c:v>
                </c:pt>
                <c:pt idx="12">
                  <c:v>1.85347710173381e-5</c:v>
                </c:pt>
                <c:pt idx="13">
                  <c:v>1.71275130434701e-5</c:v>
                </c:pt>
                <c:pt idx="14">
                  <c:v>1.32375787257458e-5</c:v>
                </c:pt>
                <c:pt idx="15">
                  <c:v>1.30320547342987e-5</c:v>
                </c:pt>
                <c:pt idx="16">
                  <c:v>1.85352316418393e-6</c:v>
                </c:pt>
                <c:pt idx="17">
                  <c:v>0.000174607256566149</c:v>
                </c:pt>
                <c:pt idx="18">
                  <c:v>6.67095653226649e-6</c:v>
                </c:pt>
                <c:pt idx="19">
                  <c:v>5.92204018401557e-6</c:v>
                </c:pt>
                <c:pt idx="20">
                  <c:v>8.18789912233637e-6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'补充数据20230215-20230725'!$N$111:$N$118</c:f>
              <c:numCache>
                <c:formatCode>0.000_ </c:formatCode>
                <c:ptCount val="8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</c:numCache>
            </c:numRef>
          </c:xVal>
          <c:yVal>
            <c:numRef>
              <c:f>'补充数据20230215-20230725'!$V$111:$V$118</c:f>
              <c:numCache>
                <c:formatCode>0.00E+00</c:formatCode>
                <c:ptCount val="8"/>
                <c:pt idx="0">
                  <c:v>1.95116496738911e-5</c:v>
                </c:pt>
                <c:pt idx="1">
                  <c:v>1.84377376202416e-5</c:v>
                </c:pt>
                <c:pt idx="2">
                  <c:v>2.01656061478616e-5</c:v>
                </c:pt>
                <c:pt idx="3">
                  <c:v>2.02906052857637e-5</c:v>
                </c:pt>
                <c:pt idx="4">
                  <c:v>1.93031807758285e-5</c:v>
                </c:pt>
                <c:pt idx="5">
                  <c:v>2.03907233904465e-5</c:v>
                </c:pt>
                <c:pt idx="6">
                  <c:v>1.70491910860573e-5</c:v>
                </c:pt>
                <c:pt idx="7">
                  <c:v>1.45191027762663e-5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'补充数据20230215-20230725'!$N$120:$N$139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'补充数据20230215-20230725'!$V$120:$V$139</c:f>
              <c:numCache>
                <c:formatCode>0.00E+00</c:formatCode>
                <c:ptCount val="20"/>
                <c:pt idx="0">
                  <c:v>1.40859156707585e-6</c:v>
                </c:pt>
                <c:pt idx="1">
                  <c:v>2.03659033741589e-6</c:v>
                </c:pt>
                <c:pt idx="2">
                  <c:v>1.93266834721776e-6</c:v>
                </c:pt>
                <c:pt idx="3">
                  <c:v>1.85059203851614e-6</c:v>
                </c:pt>
                <c:pt idx="4">
                  <c:v>2.24268300443671e-6</c:v>
                </c:pt>
                <c:pt idx="5">
                  <c:v>5.26572159991842e-6</c:v>
                </c:pt>
                <c:pt idx="6">
                  <c:v>9.35638069603663e-6</c:v>
                </c:pt>
                <c:pt idx="7">
                  <c:v>8.9169238175639e-6</c:v>
                </c:pt>
                <c:pt idx="8">
                  <c:v>3.60427732629931e-6</c:v>
                </c:pt>
                <c:pt idx="9">
                  <c:v>8.92185482121311e-6</c:v>
                </c:pt>
                <c:pt idx="10">
                  <c:v>4.05017591896795e-6</c:v>
                </c:pt>
                <c:pt idx="11">
                  <c:v>1.70936788806553e-5</c:v>
                </c:pt>
                <c:pt idx="12">
                  <c:v>1.86345291837794e-5</c:v>
                </c:pt>
                <c:pt idx="13">
                  <c:v>1.65370915881288e-5</c:v>
                </c:pt>
                <c:pt idx="14">
                  <c:v>1.70058189036433e-5</c:v>
                </c:pt>
                <c:pt idx="15">
                  <c:v>1.09539355815198e-5</c:v>
                </c:pt>
                <c:pt idx="16">
                  <c:v>1.2339834947442e-5</c:v>
                </c:pt>
                <c:pt idx="17">
                  <c:v>1.19446039584254e-5</c:v>
                </c:pt>
                <c:pt idx="18">
                  <c:v>1.47928666220638e-5</c:v>
                </c:pt>
                <c:pt idx="19">
                  <c:v>1.61944233868507e-5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logBase val="10"/>
          <c:orientation val="minMax"/>
          <c:max val="2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t’-cap/t-drain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232957472382806"/>
              <c:y val="0.35196042506412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237116874368"/>
          <c:y val="0.11439114391143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162ef9-29c1-42d1-bc92-a00eeff8b1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47581945190758"/>
          <c:y val="0.0443252399774139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'补充数据20230215-20230725'!$W$3:$W$23</c:f>
              <c:numCache>
                <c:formatCode>0.00E+00</c:formatCode>
                <c:ptCount val="21"/>
                <c:pt idx="0">
                  <c:v>6.63578083128233e-7</c:v>
                </c:pt>
                <c:pt idx="1">
                  <c:v>7.21986544647644e-7</c:v>
                </c:pt>
                <c:pt idx="2">
                  <c:v>1.52718756435507e-6</c:v>
                </c:pt>
                <c:pt idx="3">
                  <c:v>6.73245715367951e-7</c:v>
                </c:pt>
                <c:pt idx="4">
                  <c:v>8.90290538774941e-7</c:v>
                </c:pt>
                <c:pt idx="5">
                  <c:v>1.3138317074706e-6</c:v>
                </c:pt>
                <c:pt idx="6">
                  <c:v>6.61957625598416e-7</c:v>
                </c:pt>
                <c:pt idx="7">
                  <c:v>9.48616099626904e-7</c:v>
                </c:pt>
                <c:pt idx="8">
                  <c:v>1.08717208518789e-6</c:v>
                </c:pt>
                <c:pt idx="9">
                  <c:v>1.19572590811916e-6</c:v>
                </c:pt>
                <c:pt idx="10">
                  <c:v>4.1650910152266e-6</c:v>
                </c:pt>
                <c:pt idx="11">
                  <c:v>7.96854217899883e-7</c:v>
                </c:pt>
                <c:pt idx="12">
                  <c:v>5.08422022621902e-7</c:v>
                </c:pt>
                <c:pt idx="13">
                  <c:v>4.73292304856492e-7</c:v>
                </c:pt>
                <c:pt idx="14">
                  <c:v>3.75723878758349e-7</c:v>
                </c:pt>
                <c:pt idx="15">
                  <c:v>3.66844234776734e-7</c:v>
                </c:pt>
                <c:pt idx="16">
                  <c:v>3.7416230508182e-7</c:v>
                </c:pt>
                <c:pt idx="17">
                  <c:v>3.36607045195473e-5</c:v>
                </c:pt>
                <c:pt idx="18">
                  <c:v>1.96705983980724e-6</c:v>
                </c:pt>
                <c:pt idx="19">
                  <c:v>2.2581592295742e-6</c:v>
                </c:pt>
                <c:pt idx="20">
                  <c:v>4.3224696373897e-6</c:v>
                </c:pt>
              </c:numCache>
            </c:numRef>
          </c:xVal>
          <c:yVal>
            <c:numRef>
              <c:f>'补充数据20230215-20230725'!$O$3:$O$23</c:f>
              <c:numCache>
                <c:formatCode>0.000_ </c:formatCode>
                <c:ptCount val="21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'补充数据20230215-20230725'!$W$111:$W$118</c:f>
              <c:numCache>
                <c:formatCode>0.00E+00</c:formatCode>
                <c:ptCount val="8"/>
                <c:pt idx="0">
                  <c:v>6.14550507974784e-7</c:v>
                </c:pt>
                <c:pt idx="1">
                  <c:v>6.3586116428126e-7</c:v>
                </c:pt>
                <c:pt idx="2">
                  <c:v>6.60610666262525e-7</c:v>
                </c:pt>
                <c:pt idx="3">
                  <c:v>6.58758000977752e-7</c:v>
                </c:pt>
                <c:pt idx="4">
                  <c:v>7.1192199092908e-7</c:v>
                </c:pt>
                <c:pt idx="5">
                  <c:v>6.35745479389712e-7</c:v>
                </c:pt>
                <c:pt idx="6">
                  <c:v>4.3112524855787e-7</c:v>
                </c:pt>
                <c:pt idx="7">
                  <c:v>4.00916098248102e-7</c:v>
                </c:pt>
              </c:numCache>
            </c:numRef>
          </c:xVal>
          <c:yVal>
            <c:numRef>
              <c:f>'补充数据20230215-20230725'!$O$111:$O$118</c:f>
              <c:numCache>
                <c:formatCode>0.000_ </c:formatCode>
                <c:ptCount val="8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'补充数据20230215-20230725'!$W$120:$W$139</c:f>
              <c:numCache>
                <c:formatCode>0.00E+00</c:formatCode>
                <c:ptCount val="20"/>
                <c:pt idx="0">
                  <c:v>8.15346769495046e-8</c:v>
                </c:pt>
                <c:pt idx="1">
                  <c:v>1.20825021157823e-7</c:v>
                </c:pt>
                <c:pt idx="2">
                  <c:v>1.17422801394432e-7</c:v>
                </c:pt>
                <c:pt idx="3">
                  <c:v>1.14766564518766e-7</c:v>
                </c:pt>
                <c:pt idx="4">
                  <c:v>1.50616493553e-7</c:v>
                </c:pt>
                <c:pt idx="5">
                  <c:v>1.27859015516281e-7</c:v>
                </c:pt>
                <c:pt idx="6">
                  <c:v>2.65363151755402e-7</c:v>
                </c:pt>
                <c:pt idx="7">
                  <c:v>2.49224309622715e-7</c:v>
                </c:pt>
                <c:pt idx="8">
                  <c:v>1.0572768457934e-7</c:v>
                </c:pt>
                <c:pt idx="9">
                  <c:v>2.67991117935809e-7</c:v>
                </c:pt>
                <c:pt idx="10">
                  <c:v>1.26823605222819e-7</c:v>
                </c:pt>
                <c:pt idx="11">
                  <c:v>4.28190228100053e-7</c:v>
                </c:pt>
                <c:pt idx="12">
                  <c:v>6.28464452105989e-7</c:v>
                </c:pt>
                <c:pt idx="13">
                  <c:v>4.83485452294105e-7</c:v>
                </c:pt>
                <c:pt idx="14">
                  <c:v>4.84506674036147e-7</c:v>
                </c:pt>
                <c:pt idx="15">
                  <c:v>3.03756618438244e-7</c:v>
                </c:pt>
                <c:pt idx="16">
                  <c:v>2.62483580970042e-7</c:v>
                </c:pt>
                <c:pt idx="17">
                  <c:v>3.54464762650041e-7</c:v>
                </c:pt>
                <c:pt idx="18">
                  <c:v>4.03337992381623e-7</c:v>
                </c:pt>
                <c:pt idx="19">
                  <c:v>3.59566375887138e-7</c:v>
                </c:pt>
              </c:numCache>
            </c:numRef>
          </c:xVal>
          <c:yVal>
            <c:numRef>
              <c:f>'补充数据20230215-20230725'!$O$120:$O$139</c:f>
              <c:numCache>
                <c:formatCode>0.000_ </c:formatCode>
                <c:ptCount val="20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1.70589820848416</c:v>
                </c:pt>
                <c:pt idx="10">
                  <c:v>1.73772162651171</c:v>
                </c:pt>
                <c:pt idx="11">
                  <c:v>1.57362928709765</c:v>
                </c:pt>
                <c:pt idx="12">
                  <c:v>1.79600423030684</c:v>
                </c:pt>
                <c:pt idx="13">
                  <c:v>1.68552385979283</c:v>
                </c:pt>
                <c:pt idx="14">
                  <c:v>1.66627746154534</c:v>
                </c:pt>
                <c:pt idx="15">
                  <c:v>1.64636675554716</c:v>
                </c:pt>
                <c:pt idx="16">
                  <c:v>1.4633328844295</c:v>
                </c:pt>
                <c:pt idx="17">
                  <c:v>1.69673331276319</c:v>
                </c:pt>
                <c:pt idx="18">
                  <c:v>1.63404837615802</c:v>
                </c:pt>
                <c:pt idx="19">
                  <c:v>1.49148551464658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2e-6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Ek/J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97b4ad-8ed8-404f-9a22-8022cf9e0d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18617442338"/>
          <c:y val="0.0505706477658048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'补充数据20230215-20230725'!$N$3:$N$69</c:f>
              <c:numCache>
                <c:formatCode>0.000_ </c:formatCode>
                <c:ptCount val="67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0</c:v>
                </c:pt>
                <c:pt idx="43">
                  <c:v>12.149018985606</c:v>
                </c:pt>
                <c:pt idx="44">
                  <c:v>30.4406362286586</c:v>
                </c:pt>
                <c:pt idx="45">
                  <c:v>6.67754112661533</c:v>
                </c:pt>
                <c:pt idx="46">
                  <c:v>0</c:v>
                </c:pt>
                <c:pt idx="47">
                  <c:v>0</c:v>
                </c:pt>
                <c:pt idx="48">
                  <c:v>858.530043063024</c:v>
                </c:pt>
                <c:pt idx="49">
                  <c:v>571.740935491015</c:v>
                </c:pt>
                <c:pt idx="50">
                  <c:v>24.6420438051209</c:v>
                </c:pt>
                <c:pt idx="51">
                  <c:v>23.0739996274934</c:v>
                </c:pt>
                <c:pt idx="52">
                  <c:v>26.6349515388322</c:v>
                </c:pt>
                <c:pt idx="53">
                  <c:v>23.6904115142342</c:v>
                </c:pt>
                <c:pt idx="54">
                  <c:v>15.5829884442118</c:v>
                </c:pt>
                <c:pt idx="55">
                  <c:v>15.5304393374087</c:v>
                </c:pt>
                <c:pt idx="56">
                  <c:v>12.9452596490475</c:v>
                </c:pt>
                <c:pt idx="57">
                  <c:v>13.8266134454377</c:v>
                </c:pt>
                <c:pt idx="58">
                  <c:v>13.5572034802801</c:v>
                </c:pt>
                <c:pt idx="59">
                  <c:v>17.0376579857058</c:v>
                </c:pt>
                <c:pt idx="60">
                  <c:v>12.3072678204838</c:v>
                </c:pt>
                <c:pt idx="61">
                  <c:v>16.6684934782528</c:v>
                </c:pt>
                <c:pt idx="62">
                  <c:v>13.8879335889062</c:v>
                </c:pt>
                <c:pt idx="63">
                  <c:v>18.6020114376394</c:v>
                </c:pt>
                <c:pt idx="64">
                  <c:v>16.1906887423071</c:v>
                </c:pt>
                <c:pt idx="65">
                  <c:v>19.9746945835606</c:v>
                </c:pt>
                <c:pt idx="66">
                  <c:v>37.0352165921172</c:v>
                </c:pt>
              </c:numCache>
            </c:numRef>
          </c:xVal>
          <c:yVal>
            <c:numRef>
              <c:f>'补充数据20230215-20230725'!$M$3:$M$69</c:f>
              <c:numCache>
                <c:formatCode>0.000000_ </c:formatCode>
                <c:ptCount val="67"/>
                <c:pt idx="0">
                  <c:v>0.00156320345330512</c:v>
                </c:pt>
                <c:pt idx="1">
                  <c:v>0.00154510775179051</c:v>
                </c:pt>
                <c:pt idx="2">
                  <c:v>0.0016483625286319</c:v>
                </c:pt>
                <c:pt idx="3">
                  <c:v>0.0014990007014024</c:v>
                </c:pt>
                <c:pt idx="4">
                  <c:v>0.00144487015160013</c:v>
                </c:pt>
                <c:pt idx="5">
                  <c:v>0.00143575679958388</c:v>
                </c:pt>
                <c:pt idx="6">
                  <c:v>0.0013459563421992</c:v>
                </c:pt>
                <c:pt idx="7">
                  <c:v>0.0014601683847812</c:v>
                </c:pt>
                <c:pt idx="8">
                  <c:v>0.00136917403574902</c:v>
                </c:pt>
                <c:pt idx="9">
                  <c:v>0.00139952188008319</c:v>
                </c:pt>
                <c:pt idx="10">
                  <c:v>0.00141311904509994</c:v>
                </c:pt>
                <c:pt idx="11">
                  <c:v>0.00112748012513518</c:v>
                </c:pt>
                <c:pt idx="12">
                  <c:v>0.00112344815011812</c:v>
                </c:pt>
                <c:pt idx="13">
                  <c:v>0.00112528803677558</c:v>
                </c:pt>
                <c:pt idx="14">
                  <c:v>0.00113200164611805</c:v>
                </c:pt>
                <c:pt idx="15">
                  <c:v>0.00112992329148895</c:v>
                </c:pt>
                <c:pt idx="16">
                  <c:v>0.00175057525713118</c:v>
                </c:pt>
                <c:pt idx="17">
                  <c:v>0.00173275075410634</c:v>
                </c:pt>
                <c:pt idx="18">
                  <c:v>0.00190436999185702</c:v>
                </c:pt>
                <c:pt idx="19">
                  <c:v>0.00201633771782216</c:v>
                </c:pt>
                <c:pt idx="20">
                  <c:v>0.00216749446777331</c:v>
                </c:pt>
                <c:pt idx="21">
                  <c:v>0.00168994957274352</c:v>
                </c:pt>
                <c:pt idx="22">
                  <c:v>0.00215011440859963</c:v>
                </c:pt>
                <c:pt idx="23">
                  <c:v>0.00220188660414056</c:v>
                </c:pt>
                <c:pt idx="24">
                  <c:v>0.00222019576052202</c:v>
                </c:pt>
                <c:pt idx="25">
                  <c:v>0.00209954401146699</c:v>
                </c:pt>
                <c:pt idx="26">
                  <c:v>0.00209149505591736</c:v>
                </c:pt>
                <c:pt idx="27">
                  <c:v>0.00200797902117415</c:v>
                </c:pt>
                <c:pt idx="28">
                  <c:v>0.00198494818465063</c:v>
                </c:pt>
                <c:pt idx="29">
                  <c:v>0.00200659867762683</c:v>
                </c:pt>
                <c:pt idx="30">
                  <c:v>0.00198118568043834</c:v>
                </c:pt>
                <c:pt idx="31">
                  <c:v>0.00225471248226262</c:v>
                </c:pt>
                <c:pt idx="32">
                  <c:v>0.00217396943901787</c:v>
                </c:pt>
                <c:pt idx="33">
                  <c:v>0.00215492154926932</c:v>
                </c:pt>
                <c:pt idx="34">
                  <c:v>0.00217410467374145</c:v>
                </c:pt>
                <c:pt idx="35">
                  <c:v>0.00216744375255596</c:v>
                </c:pt>
                <c:pt idx="36">
                  <c:v>0.00209332557239659</c:v>
                </c:pt>
                <c:pt idx="37">
                  <c:v>0.00212906697460238</c:v>
                </c:pt>
                <c:pt idx="38">
                  <c:v>0.00209968478604059</c:v>
                </c:pt>
                <c:pt idx="39">
                  <c:v>0.00206478955683072</c:v>
                </c:pt>
                <c:pt idx="40">
                  <c:v>0.00210181737041734</c:v>
                </c:pt>
                <c:pt idx="41">
                  <c:v>0.00194203202032561</c:v>
                </c:pt>
                <c:pt idx="42">
                  <c:v>0</c:v>
                </c:pt>
                <c:pt idx="43">
                  <c:v>0.00208313405838845</c:v>
                </c:pt>
                <c:pt idx="44">
                  <c:v>0.00212028775100982</c:v>
                </c:pt>
                <c:pt idx="45">
                  <c:v>0.0020990378289909</c:v>
                </c:pt>
                <c:pt idx="46">
                  <c:v>0</c:v>
                </c:pt>
                <c:pt idx="47">
                  <c:v>0</c:v>
                </c:pt>
                <c:pt idx="48">
                  <c:v>0.00167688454397818</c:v>
                </c:pt>
                <c:pt idx="49">
                  <c:v>0.00159186175839385</c:v>
                </c:pt>
                <c:pt idx="50">
                  <c:v>0.00168721357171723</c:v>
                </c:pt>
                <c:pt idx="51">
                  <c:v>0.00161908724819553</c:v>
                </c:pt>
                <c:pt idx="52">
                  <c:v>0.00169196013366231</c:v>
                </c:pt>
                <c:pt idx="53">
                  <c:v>0.00162796582940207</c:v>
                </c:pt>
                <c:pt idx="54">
                  <c:v>0.00161690596426855</c:v>
                </c:pt>
                <c:pt idx="55">
                  <c:v>0.00169065542682392</c:v>
                </c:pt>
                <c:pt idx="56">
                  <c:v>0.00169910654954558</c:v>
                </c:pt>
                <c:pt idx="57">
                  <c:v>0.00181571211357364</c:v>
                </c:pt>
                <c:pt idx="58">
                  <c:v>0.00180352347097735</c:v>
                </c:pt>
                <c:pt idx="59">
                  <c:v>0.00178396183621097</c:v>
                </c:pt>
                <c:pt idx="60">
                  <c:v>0.00175951889087487</c:v>
                </c:pt>
                <c:pt idx="61">
                  <c:v>0.00176230597140938</c:v>
                </c:pt>
                <c:pt idx="62">
                  <c:v>0.00167515660800102</c:v>
                </c:pt>
                <c:pt idx="63">
                  <c:v>0.00163470937535416</c:v>
                </c:pt>
                <c:pt idx="64">
                  <c:v>0.00167274845943137</c:v>
                </c:pt>
                <c:pt idx="65">
                  <c:v>0.00167841223506656</c:v>
                </c:pt>
                <c:pt idx="66">
                  <c:v>0.00167143125703386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'补充数据20230215-20230725'!$N$111:$N$118</c:f>
              <c:numCache>
                <c:formatCode>0.000_ </c:formatCode>
                <c:ptCount val="8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</c:numCache>
            </c:numRef>
          </c:xVal>
          <c:yVal>
            <c:numRef>
              <c:f>'补充数据20230215-20230725'!$M$111:$M$118</c:f>
              <c:numCache>
                <c:formatCode>0.000000_ </c:formatCode>
                <c:ptCount val="8"/>
                <c:pt idx="0">
                  <c:v>0.00115848988842918</c:v>
                </c:pt>
                <c:pt idx="1">
                  <c:v>0.00118207714490075</c:v>
                </c:pt>
                <c:pt idx="2">
                  <c:v>0.00116865343065144</c:v>
                </c:pt>
                <c:pt idx="3">
                  <c:v>0.00116632159265942</c:v>
                </c:pt>
                <c:pt idx="4">
                  <c:v>0.00119984002384025</c:v>
                </c:pt>
                <c:pt idx="5">
                  <c:v>0.00115587692288015</c:v>
                </c:pt>
                <c:pt idx="6">
                  <c:v>0.00110331689080258</c:v>
                </c:pt>
                <c:pt idx="7">
                  <c:v>0.00112510297988399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'补充数据20230215-20230725'!$N$120:$N$139</c:f>
              <c:numCache>
                <c:formatCode>0.000_ </c:formatCode>
                <c:ptCount val="20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2.99576515695992</c:v>
                </c:pt>
                <c:pt idx="11">
                  <c:v>11.1692033723287</c:v>
                </c:pt>
                <c:pt idx="12">
                  <c:v>14.3635317606801</c:v>
                </c:pt>
                <c:pt idx="13">
                  <c:v>11.7743348628131</c:v>
                </c:pt>
                <c:pt idx="14">
                  <c:v>11.9354918465566</c:v>
                </c:pt>
                <c:pt idx="15">
                  <c:v>7.57333273586413</c:v>
                </c:pt>
                <c:pt idx="16">
                  <c:v>7.3628658312843</c:v>
                </c:pt>
                <c:pt idx="17">
                  <c:v>8.57526122054116</c:v>
                </c:pt>
                <c:pt idx="18">
                  <c:v>10.1319280992112</c:v>
                </c:pt>
                <c:pt idx="19">
                  <c:v>9.89573164790353</c:v>
                </c:pt>
              </c:numCache>
            </c:numRef>
          </c:xVal>
          <c:yVal>
            <c:numRef>
              <c:f>'补充数据20230215-20230725'!$M$120:$M$139</c:f>
              <c:numCache>
                <c:formatCode>0.000000_ </c:formatCode>
                <c:ptCount val="20"/>
                <c:pt idx="0">
                  <c:v>0.00132624627183222</c:v>
                </c:pt>
                <c:pt idx="1">
                  <c:v>0.00133352465454805</c:v>
                </c:pt>
                <c:pt idx="2">
                  <c:v>0.00134060010780647</c:v>
                </c:pt>
                <c:pt idx="3">
                  <c:v>0.00134672573284728</c:v>
                </c:pt>
                <c:pt idx="4">
                  <c:v>0.00137078087352064</c:v>
                </c:pt>
                <c:pt idx="5">
                  <c:v>0.00109341072557482</c:v>
                </c:pt>
                <c:pt idx="6">
                  <c:v>0.0011318119595143</c:v>
                </c:pt>
                <c:pt idx="7">
                  <c:v>0.00112813617601754</c:v>
                </c:pt>
                <c:pt idx="8">
                  <c:v>0.00114032099576215</c:v>
                </c:pt>
                <c:pt idx="9">
                  <c:v>0.00114634367154445</c:v>
                </c:pt>
                <c:pt idx="10">
                  <c:v>0.0011569867470459</c:v>
                </c:pt>
                <c:pt idx="11">
                  <c:v>0.001101005519293</c:v>
                </c:pt>
                <c:pt idx="12">
                  <c:v>0.00117622920609573</c:v>
                </c:pt>
                <c:pt idx="13">
                  <c:v>0.00113947744614092</c:v>
                </c:pt>
                <c:pt idx="14">
                  <c:v>0.00113295312383379</c:v>
                </c:pt>
                <c:pt idx="15">
                  <c:v>0.00112616383153143</c:v>
                </c:pt>
                <c:pt idx="16">
                  <c:v>0.00106171963077562</c:v>
                </c:pt>
                <c:pt idx="17">
                  <c:v>0.00114326017302198</c:v>
                </c:pt>
                <c:pt idx="18">
                  <c:v>0.00112194285224198</c:v>
                </c:pt>
                <c:pt idx="19">
                  <c:v>0.00107188403177389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R/m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00_);[Red]\(#,##0.0000\)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65163839182"/>
          <c:y val="0.316724834680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0afd58-bdf3-495c-9153-57d1138b77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37015907454909"/>
          <c:y val="0.0423672478093826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总表20230726!$AC$3:$AC$146</c:f>
              <c:numCache>
                <c:formatCode>0.000_ </c:formatCode>
                <c:ptCount val="110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0</c:v>
                </c:pt>
                <c:pt idx="46">
                  <c:v>0</c:v>
                </c:pt>
                <c:pt idx="47">
                  <c:v>858.530043063024</c:v>
                </c:pt>
                <c:pt idx="48">
                  <c:v>571.740935491015</c:v>
                </c:pt>
                <c:pt idx="49">
                  <c:v>24.6420438051209</c:v>
                </c:pt>
                <c:pt idx="50">
                  <c:v>23.0739996274934</c:v>
                </c:pt>
                <c:pt idx="51">
                  <c:v>26.6349515388322</c:v>
                </c:pt>
                <c:pt idx="52">
                  <c:v>23.6904115142342</c:v>
                </c:pt>
                <c:pt idx="53">
                  <c:v>15.5829884442118</c:v>
                </c:pt>
                <c:pt idx="54">
                  <c:v>15.5304393374087</c:v>
                </c:pt>
                <c:pt idx="55">
                  <c:v>12.9452596490475</c:v>
                </c:pt>
                <c:pt idx="56">
                  <c:v>13.8266134454377</c:v>
                </c:pt>
                <c:pt idx="57">
                  <c:v>13.5572034802801</c:v>
                </c:pt>
                <c:pt idx="58">
                  <c:v>17.0376579857058</c:v>
                </c:pt>
                <c:pt idx="59">
                  <c:v>12.3072678204838</c:v>
                </c:pt>
                <c:pt idx="60">
                  <c:v>16.6684934782528</c:v>
                </c:pt>
                <c:pt idx="61">
                  <c:v>13.8879335889062</c:v>
                </c:pt>
                <c:pt idx="62">
                  <c:v>18.6020114376394</c:v>
                </c:pt>
                <c:pt idx="63">
                  <c:v>16.1906887423071</c:v>
                </c:pt>
                <c:pt idx="64">
                  <c:v>19.9746945835606</c:v>
                </c:pt>
                <c:pt idx="65">
                  <c:v>37.0352165921172</c:v>
                </c:pt>
                <c:pt idx="66">
                  <c:v>10.7284768211921</c:v>
                </c:pt>
                <c:pt idx="67">
                  <c:v>58.4105960264901</c:v>
                </c:pt>
                <c:pt idx="68">
                  <c:v>55.444923712212</c:v>
                </c:pt>
                <c:pt idx="69">
                  <c:v>32.6196151074485</c:v>
                </c:pt>
                <c:pt idx="70">
                  <c:v>73.1477259148072</c:v>
                </c:pt>
                <c:pt idx="71">
                  <c:v>49.0263599167785</c:v>
                </c:pt>
                <c:pt idx="72">
                  <c:v>34.1842813220638</c:v>
                </c:pt>
                <c:pt idx="73">
                  <c:v>45.7512450044818</c:v>
                </c:pt>
                <c:pt idx="74">
                  <c:v>47.2830231818111</c:v>
                </c:pt>
                <c:pt idx="75">
                  <c:v>45.8443161857168</c:v>
                </c:pt>
                <c:pt idx="76">
                  <c:v>64.987355172409</c:v>
                </c:pt>
                <c:pt idx="77">
                  <c:v>68.4627284988786</c:v>
                </c:pt>
                <c:pt idx="78">
                  <c:v>69.1265353349016</c:v>
                </c:pt>
                <c:pt idx="79">
                  <c:v>62.9209449284804</c:v>
                </c:pt>
                <c:pt idx="80">
                  <c:v>46.0150222639026</c:v>
                </c:pt>
                <c:pt idx="81">
                  <c:v>72.6567184524275</c:v>
                </c:pt>
                <c:pt idx="82">
                  <c:v>68.9477864182706</c:v>
                </c:pt>
                <c:pt idx="83">
                  <c:v>48.1166293082462</c:v>
                </c:pt>
                <c:pt idx="84">
                  <c:v>62.0419577538728</c:v>
                </c:pt>
                <c:pt idx="85">
                  <c:v>59.8381665890039</c:v>
                </c:pt>
                <c:pt idx="86">
                  <c:v>0</c:v>
                </c:pt>
                <c:pt idx="87">
                  <c:v>26.3266580613044</c:v>
                </c:pt>
                <c:pt idx="88">
                  <c:v>13.4218686186445</c:v>
                </c:pt>
                <c:pt idx="89">
                  <c:v>18.8914230753295</c:v>
                </c:pt>
                <c:pt idx="90">
                  <c:v>34.0753244730079</c:v>
                </c:pt>
                <c:pt idx="91">
                  <c:v>49.3959454344645</c:v>
                </c:pt>
                <c:pt idx="92">
                  <c:v>71.4132368412993</c:v>
                </c:pt>
                <c:pt idx="93">
                  <c:v>47.3636150846312</c:v>
                </c:pt>
                <c:pt idx="94">
                  <c:v>47.1910977027488</c:v>
                </c:pt>
                <c:pt idx="95">
                  <c:v>66.2254171305913</c:v>
                </c:pt>
                <c:pt idx="96">
                  <c:v>65.235457889892</c:v>
                </c:pt>
                <c:pt idx="97">
                  <c:v>44.3629963048309</c:v>
                </c:pt>
                <c:pt idx="98">
                  <c:v>48.3030343267227</c:v>
                </c:pt>
                <c:pt idx="99">
                  <c:v>76.444712506169</c:v>
                </c:pt>
                <c:pt idx="100">
                  <c:v>66.8708298533672</c:v>
                </c:pt>
                <c:pt idx="101">
                  <c:v>63.3328594930313</c:v>
                </c:pt>
                <c:pt idx="102">
                  <c:v>4.67332200319995</c:v>
                </c:pt>
                <c:pt idx="103">
                  <c:v>4.80712365952613</c:v>
                </c:pt>
                <c:pt idx="104">
                  <c:v>10.4614615211083</c:v>
                </c:pt>
                <c:pt idx="105">
                  <c:v>5.81124053144785</c:v>
                </c:pt>
                <c:pt idx="106">
                  <c:v>21.0154697093438</c:v>
                </c:pt>
                <c:pt idx="107">
                  <c:v>12.2958788861858</c:v>
                </c:pt>
                <c:pt idx="108">
                  <c:v>11.7567537180253</c:v>
                </c:pt>
                <c:pt idx="109">
                  <c:v>4.70058338927306</c:v>
                </c:pt>
              </c:numCache>
            </c:numRef>
          </c:xVal>
          <c:yVal>
            <c:numRef>
              <c:f>总表20230726!$AD$3:$AD$146</c:f>
              <c:numCache>
                <c:formatCode>0.000_ </c:formatCode>
                <c:ptCount val="110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  <c:pt idx="21">
                  <c:v>3.70741266252123</c:v>
                </c:pt>
                <c:pt idx="22">
                  <c:v>6.00131712564687</c:v>
                </c:pt>
                <c:pt idx="23">
                  <c:v>6.29380576901394</c:v>
                </c:pt>
                <c:pt idx="24">
                  <c:v>6.39890961279557</c:v>
                </c:pt>
                <c:pt idx="25">
                  <c:v>5.72233664035863</c:v>
                </c:pt>
                <c:pt idx="26">
                  <c:v>5.67854565921208</c:v>
                </c:pt>
                <c:pt idx="27">
                  <c:v>5.2340971555774</c:v>
                </c:pt>
                <c:pt idx="28">
                  <c:v>5.11471908842709</c:v>
                </c:pt>
                <c:pt idx="29">
                  <c:v>5.22690348585162</c:v>
                </c:pt>
                <c:pt idx="30">
                  <c:v>5.09534738547879</c:v>
                </c:pt>
                <c:pt idx="31">
                  <c:v>6.59942010987446</c:v>
                </c:pt>
                <c:pt idx="32">
                  <c:v>6.13522234921878</c:v>
                </c:pt>
                <c:pt idx="33">
                  <c:v>6.02818213844176</c:v>
                </c:pt>
                <c:pt idx="34">
                  <c:v>6.13598567264896</c:v>
                </c:pt>
                <c:pt idx="35">
                  <c:v>6.09844497129276</c:v>
                </c:pt>
                <c:pt idx="36">
                  <c:v>5.68848995258772</c:v>
                </c:pt>
                <c:pt idx="37">
                  <c:v>5.88439861101181</c:v>
                </c:pt>
                <c:pt idx="38">
                  <c:v>5.72310403223283</c:v>
                </c:pt>
                <c:pt idx="39">
                  <c:v>5.53445712756113</c:v>
                </c:pt>
                <c:pt idx="40">
                  <c:v>5.73473549277107</c:v>
                </c:pt>
                <c:pt idx="41">
                  <c:v>4.89594138999651</c:v>
                </c:pt>
                <c:pt idx="42">
                  <c:v>5.63323509915774</c:v>
                </c:pt>
                <c:pt idx="43">
                  <c:v>5.83596994192761</c:v>
                </c:pt>
                <c:pt idx="44">
                  <c:v>5.71957775809919</c:v>
                </c:pt>
                <c:pt idx="45">
                  <c:v>0</c:v>
                </c:pt>
                <c:pt idx="46">
                  <c:v>0</c:v>
                </c:pt>
                <c:pt idx="47">
                  <c:v>3.65031010931607</c:v>
                </c:pt>
                <c:pt idx="48">
                  <c:v>3.28953216300107</c:v>
                </c:pt>
                <c:pt idx="49">
                  <c:v>3.69541789777316</c:v>
                </c:pt>
                <c:pt idx="50">
                  <c:v>3.40301561758373</c:v>
                </c:pt>
                <c:pt idx="51">
                  <c:v>3.7162394502436</c:v>
                </c:pt>
                <c:pt idx="52">
                  <c:v>3.44044015118003</c:v>
                </c:pt>
                <c:pt idx="53">
                  <c:v>3.39385250043867</c:v>
                </c:pt>
                <c:pt idx="54">
                  <c:v>3.71051031573697</c:v>
                </c:pt>
                <c:pt idx="55">
                  <c:v>3.74769867772342</c:v>
                </c:pt>
                <c:pt idx="56">
                  <c:v>4.27974033223633</c:v>
                </c:pt>
                <c:pt idx="57">
                  <c:v>4.22247449251643</c:v>
                </c:pt>
                <c:pt idx="58">
                  <c:v>4.13137442169454</c:v>
                </c:pt>
                <c:pt idx="59">
                  <c:v>4.01893799135279</c:v>
                </c:pt>
                <c:pt idx="60">
                  <c:v>4.03168008259807</c:v>
                </c:pt>
                <c:pt idx="61">
                  <c:v>3.64279110340268</c:v>
                </c:pt>
                <c:pt idx="62">
                  <c:v>3.46900195299014</c:v>
                </c:pt>
                <c:pt idx="63">
                  <c:v>3.63232512463612</c:v>
                </c:pt>
                <c:pt idx="64">
                  <c:v>3.65696421850038</c:v>
                </c:pt>
                <c:pt idx="65">
                  <c:v>3.62660684277443</c:v>
                </c:pt>
                <c:pt idx="66">
                  <c:v>4.20599205298013</c:v>
                </c:pt>
                <c:pt idx="67">
                  <c:v>4.20599205298013</c:v>
                </c:pt>
                <c:pt idx="68">
                  <c:v>6.58312424658697</c:v>
                </c:pt>
                <c:pt idx="69">
                  <c:v>7.11300471076456</c:v>
                </c:pt>
                <c:pt idx="70">
                  <c:v>7.2762600350121</c:v>
                </c:pt>
                <c:pt idx="71">
                  <c:v>6.43295333070307</c:v>
                </c:pt>
                <c:pt idx="72">
                  <c:v>7.2108202465386</c:v>
                </c:pt>
                <c:pt idx="73">
                  <c:v>6.94127948647555</c:v>
                </c:pt>
                <c:pt idx="74">
                  <c:v>7.02815833468254</c:v>
                </c:pt>
                <c:pt idx="75">
                  <c:v>6.39395494771192</c:v>
                </c:pt>
                <c:pt idx="76">
                  <c:v>6.51366972349799</c:v>
                </c:pt>
                <c:pt idx="77">
                  <c:v>6.63055943897094</c:v>
                </c:pt>
                <c:pt idx="78">
                  <c:v>6.27566754880175</c:v>
                </c:pt>
                <c:pt idx="79">
                  <c:v>5.63137278550661</c:v>
                </c:pt>
                <c:pt idx="80">
                  <c:v>7.75168812175796</c:v>
                </c:pt>
                <c:pt idx="81">
                  <c:v>7.91449116079493</c:v>
                </c:pt>
                <c:pt idx="82">
                  <c:v>7.474058542192</c:v>
                </c:pt>
                <c:pt idx="83">
                  <c:v>5.36805725901979</c:v>
                </c:pt>
                <c:pt idx="84">
                  <c:v>6.81472771164367</c:v>
                </c:pt>
                <c:pt idx="85">
                  <c:v>6.76663792663672</c:v>
                </c:pt>
                <c:pt idx="86">
                  <c:v>0</c:v>
                </c:pt>
                <c:pt idx="87">
                  <c:v>5.48563184196025</c:v>
                </c:pt>
                <c:pt idx="88">
                  <c:v>5.42567148527428</c:v>
                </c:pt>
                <c:pt idx="89">
                  <c:v>5.72022284969779</c:v>
                </c:pt>
                <c:pt idx="90">
                  <c:v>6.76101336288738</c:v>
                </c:pt>
                <c:pt idx="91">
                  <c:v>5.70787523311862</c:v>
                </c:pt>
                <c:pt idx="92">
                  <c:v>6.37546226757295</c:v>
                </c:pt>
                <c:pt idx="93">
                  <c:v>4.26482773119845</c:v>
                </c:pt>
                <c:pt idx="94">
                  <c:v>5.92210564108781</c:v>
                </c:pt>
                <c:pt idx="95">
                  <c:v>7.16397738755529</c:v>
                </c:pt>
                <c:pt idx="96">
                  <c:v>7.24056671583387</c:v>
                </c:pt>
                <c:pt idx="97">
                  <c:v>4.1172167318314</c:v>
                </c:pt>
                <c:pt idx="98">
                  <c:v>5.40903826920729</c:v>
                </c:pt>
                <c:pt idx="99">
                  <c:v>7.23886517323909</c:v>
                </c:pt>
                <c:pt idx="100">
                  <c:v>6.80767066541797</c:v>
                </c:pt>
                <c:pt idx="101">
                  <c:v>5.63178216429892</c:v>
                </c:pt>
                <c:pt idx="102">
                  <c:v>4.65870772563559</c:v>
                </c:pt>
                <c:pt idx="103">
                  <c:v>4.28586796304164</c:v>
                </c:pt>
                <c:pt idx="104">
                  <c:v>4.78534819310389</c:v>
                </c:pt>
                <c:pt idx="105">
                  <c:v>5.34628446694607</c:v>
                </c:pt>
                <c:pt idx="106">
                  <c:v>5.3536430805485</c:v>
                </c:pt>
                <c:pt idx="107">
                  <c:v>5.89714147165139</c:v>
                </c:pt>
                <c:pt idx="108">
                  <c:v>3.95587142181358</c:v>
                </c:pt>
                <c:pt idx="109">
                  <c:v>6.46849295543211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总表20230726!$AC$147:$AC$173</c:f>
              <c:numCache>
                <c:formatCode>0.000_ </c:formatCode>
                <c:ptCount val="27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  <c:pt idx="8">
                  <c:v>635.112698555686</c:v>
                </c:pt>
                <c:pt idx="9">
                  <c:v>17.6762620221036</c:v>
                </c:pt>
                <c:pt idx="10">
                  <c:v>66.5084317002728</c:v>
                </c:pt>
                <c:pt idx="11">
                  <c:v>57.1667728221044</c:v>
                </c:pt>
                <c:pt idx="12">
                  <c:v>55.2063118459332</c:v>
                </c:pt>
                <c:pt idx="13">
                  <c:v>29.8637919741131</c:v>
                </c:pt>
                <c:pt idx="14">
                  <c:v>40.0582750048141</c:v>
                </c:pt>
                <c:pt idx="15">
                  <c:v>62.8297848137785</c:v>
                </c:pt>
                <c:pt idx="16">
                  <c:v>43.8152142185353</c:v>
                </c:pt>
                <c:pt idx="17">
                  <c:v>49.224402746734</c:v>
                </c:pt>
                <c:pt idx="18">
                  <c:v>51.5170645732932</c:v>
                </c:pt>
                <c:pt idx="19">
                  <c:v>50.1483830024946</c:v>
                </c:pt>
                <c:pt idx="20">
                  <c:v>67.7240322972302</c:v>
                </c:pt>
                <c:pt idx="21">
                  <c:v>44.8088866456813</c:v>
                </c:pt>
                <c:pt idx="22">
                  <c:v>7.77047472875209</c:v>
                </c:pt>
                <c:pt idx="23">
                  <c:v>0</c:v>
                </c:pt>
                <c:pt idx="24">
                  <c:v>17.8943470098128</c:v>
                </c:pt>
                <c:pt idx="25">
                  <c:v>11.0021101286247</c:v>
                </c:pt>
                <c:pt idx="26">
                  <c:v>17.3515157394854</c:v>
                </c:pt>
              </c:numCache>
            </c:numRef>
          </c:xVal>
          <c:yVal>
            <c:numRef>
              <c:f>总表20230726!$AD$147:$AD$173</c:f>
              <c:numCache>
                <c:formatCode>0.000_ </c:formatCode>
                <c:ptCount val="27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  <c:pt idx="8">
                  <c:v>4.44982822350614</c:v>
                </c:pt>
                <c:pt idx="9">
                  <c:v>6.28570007921685</c:v>
                </c:pt>
                <c:pt idx="10">
                  <c:v>5.15956443208434</c:v>
                </c:pt>
                <c:pt idx="11">
                  <c:v>6.15732946917909</c:v>
                </c:pt>
                <c:pt idx="12">
                  <c:v>6.91796593064418</c:v>
                </c:pt>
                <c:pt idx="13">
                  <c:v>3.30482516991645</c:v>
                </c:pt>
                <c:pt idx="14">
                  <c:v>3.26019705018494</c:v>
                </c:pt>
                <c:pt idx="15">
                  <c:v>7.3598406624916</c:v>
                </c:pt>
                <c:pt idx="16">
                  <c:v>3.85543873631613</c:v>
                </c:pt>
                <c:pt idx="17">
                  <c:v>3.85010850895821</c:v>
                </c:pt>
                <c:pt idx="18">
                  <c:v>4.57347821492015</c:v>
                </c:pt>
                <c:pt idx="19">
                  <c:v>4.2741678599179</c:v>
                </c:pt>
                <c:pt idx="20">
                  <c:v>7.18716979071478</c:v>
                </c:pt>
                <c:pt idx="21">
                  <c:v>3.79658296628963</c:v>
                </c:pt>
                <c:pt idx="22">
                  <c:v>4.89584972917858</c:v>
                </c:pt>
                <c:pt idx="23">
                  <c:v>0</c:v>
                </c:pt>
                <c:pt idx="24">
                  <c:v>6.53933829633019</c:v>
                </c:pt>
                <c:pt idx="25">
                  <c:v>5.43954882457774</c:v>
                </c:pt>
                <c:pt idx="26">
                  <c:v>5.53949865128933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总表20230726!$AC$174:$AC$218</c:f>
              <c:numCache>
                <c:formatCode>0.000_ </c:formatCode>
                <c:ptCount val="45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11.1692033723287</c:v>
                </c:pt>
                <c:pt idx="10">
                  <c:v>14.3635317606801</c:v>
                </c:pt>
                <c:pt idx="11">
                  <c:v>11.7743348628131</c:v>
                </c:pt>
                <c:pt idx="12">
                  <c:v>11.9354918465566</c:v>
                </c:pt>
                <c:pt idx="13">
                  <c:v>7.57333273586413</c:v>
                </c:pt>
                <c:pt idx="14">
                  <c:v>7.3628658312843</c:v>
                </c:pt>
                <c:pt idx="15">
                  <c:v>8.57526122054116</c:v>
                </c:pt>
                <c:pt idx="16">
                  <c:v>10.1319280992112</c:v>
                </c:pt>
                <c:pt idx="17">
                  <c:v>9.89573164790353</c:v>
                </c:pt>
                <c:pt idx="18">
                  <c:v>0</c:v>
                </c:pt>
                <c:pt idx="19">
                  <c:v>8.82620931709272</c:v>
                </c:pt>
                <c:pt idx="20">
                  <c:v>7.4685765857068</c:v>
                </c:pt>
                <c:pt idx="21">
                  <c:v>6.88423933298256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15.5148094154257</c:v>
                </c:pt>
                <c:pt idx="29">
                  <c:v>5.0898037752343</c:v>
                </c:pt>
                <c:pt idx="30">
                  <c:v>0</c:v>
                </c:pt>
                <c:pt idx="31">
                  <c:v>13.461670782126</c:v>
                </c:pt>
                <c:pt idx="32">
                  <c:v>0</c:v>
                </c:pt>
                <c:pt idx="33">
                  <c:v>14.711417622086</c:v>
                </c:pt>
                <c:pt idx="34">
                  <c:v>10.3023808355658</c:v>
                </c:pt>
                <c:pt idx="35">
                  <c:v>19.9028834285661</c:v>
                </c:pt>
                <c:pt idx="36">
                  <c:v>4.25837465938043</c:v>
                </c:pt>
                <c:pt idx="37">
                  <c:v>9.03118301341914</c:v>
                </c:pt>
                <c:pt idx="38">
                  <c:v>17.5952534122701</c:v>
                </c:pt>
                <c:pt idx="39">
                  <c:v>14.5158445484009</c:v>
                </c:pt>
                <c:pt idx="40">
                  <c:v>25.7068249437963</c:v>
                </c:pt>
                <c:pt idx="41">
                  <c:v>23.3386904345037</c:v>
                </c:pt>
                <c:pt idx="42">
                  <c:v>15.2230878931005</c:v>
                </c:pt>
                <c:pt idx="43">
                  <c:v>6.44844743369992</c:v>
                </c:pt>
                <c:pt idx="44">
                  <c:v>2.99576515695992</c:v>
                </c:pt>
              </c:numCache>
            </c:numRef>
          </c:xVal>
          <c:yVal>
            <c:numRef>
              <c:f>总表20230726!$AD$174:$AD$218</c:f>
              <c:numCache>
                <c:formatCode>0.000_ </c:formatCode>
                <c:ptCount val="45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1.57362928709765</c:v>
                </c:pt>
                <c:pt idx="10">
                  <c:v>1.79600423030684</c:v>
                </c:pt>
                <c:pt idx="11">
                  <c:v>1.68552385979283</c:v>
                </c:pt>
                <c:pt idx="12">
                  <c:v>1.66627746154534</c:v>
                </c:pt>
                <c:pt idx="13">
                  <c:v>1.64636675554716</c:v>
                </c:pt>
                <c:pt idx="14">
                  <c:v>1.4633328844295</c:v>
                </c:pt>
                <c:pt idx="15">
                  <c:v>1.69673331276319</c:v>
                </c:pt>
                <c:pt idx="16">
                  <c:v>1.63404837615802</c:v>
                </c:pt>
                <c:pt idx="17">
                  <c:v>1.49148551464658</c:v>
                </c:pt>
                <c:pt idx="18">
                  <c:v>0</c:v>
                </c:pt>
                <c:pt idx="19">
                  <c:v>3.14683940653703</c:v>
                </c:pt>
                <c:pt idx="20">
                  <c:v>3.50334349817808</c:v>
                </c:pt>
                <c:pt idx="21">
                  <c:v>3.26444724461408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5.72691665765607</c:v>
                </c:pt>
                <c:pt idx="29">
                  <c:v>4.94587045399771</c:v>
                </c:pt>
                <c:pt idx="30">
                  <c:v>0</c:v>
                </c:pt>
                <c:pt idx="31">
                  <c:v>5.11956626921921</c:v>
                </c:pt>
                <c:pt idx="32">
                  <c:v>0</c:v>
                </c:pt>
                <c:pt idx="33">
                  <c:v>5.63906642370967</c:v>
                </c:pt>
                <c:pt idx="34">
                  <c:v>5.64576078760546</c:v>
                </c:pt>
                <c:pt idx="35">
                  <c:v>4.71340297631085</c:v>
                </c:pt>
                <c:pt idx="36">
                  <c:v>4.25880647190897</c:v>
                </c:pt>
                <c:pt idx="37">
                  <c:v>5.16391494798663</c:v>
                </c:pt>
                <c:pt idx="38">
                  <c:v>5.85086639651386</c:v>
                </c:pt>
                <c:pt idx="39">
                  <c:v>5.19011733989259</c:v>
                </c:pt>
                <c:pt idx="40">
                  <c:v>6.67840918668214</c:v>
                </c:pt>
                <c:pt idx="41">
                  <c:v>6.39012679972256</c:v>
                </c:pt>
                <c:pt idx="42">
                  <c:v>6.65609803648866</c:v>
                </c:pt>
                <c:pt idx="43">
                  <c:v>1.70589820848416</c:v>
                </c:pt>
                <c:pt idx="44">
                  <c:v>1.73772162651171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7d01c2-a51d-494c-a4b3-0decb2e4b1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38624005495"/>
          <c:y val="0.0708134847929645"/>
          <c:w val="0.804991128155229"/>
          <c:h val="0.747434957860022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总表20230726!$AC$3:$AC$112</c:f>
              <c:numCache>
                <c:formatCode>0.000_ </c:formatCode>
                <c:ptCount val="76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0</c:v>
                </c:pt>
                <c:pt idx="46">
                  <c:v>0</c:v>
                </c:pt>
                <c:pt idx="47">
                  <c:v>858.530043063024</c:v>
                </c:pt>
                <c:pt idx="48">
                  <c:v>571.740935491015</c:v>
                </c:pt>
                <c:pt idx="49">
                  <c:v>24.6420438051209</c:v>
                </c:pt>
                <c:pt idx="50">
                  <c:v>23.0739996274934</c:v>
                </c:pt>
                <c:pt idx="51">
                  <c:v>26.6349515388322</c:v>
                </c:pt>
                <c:pt idx="52">
                  <c:v>23.6904115142342</c:v>
                </c:pt>
                <c:pt idx="53">
                  <c:v>15.5829884442118</c:v>
                </c:pt>
                <c:pt idx="54">
                  <c:v>15.5304393374087</c:v>
                </c:pt>
                <c:pt idx="55">
                  <c:v>12.9452596490475</c:v>
                </c:pt>
                <c:pt idx="56">
                  <c:v>13.8266134454377</c:v>
                </c:pt>
                <c:pt idx="57">
                  <c:v>13.5572034802801</c:v>
                </c:pt>
                <c:pt idx="58">
                  <c:v>17.0376579857058</c:v>
                </c:pt>
                <c:pt idx="59">
                  <c:v>12.3072678204838</c:v>
                </c:pt>
                <c:pt idx="60">
                  <c:v>16.6684934782528</c:v>
                </c:pt>
                <c:pt idx="61">
                  <c:v>13.8879335889062</c:v>
                </c:pt>
                <c:pt idx="62">
                  <c:v>18.6020114376394</c:v>
                </c:pt>
                <c:pt idx="63">
                  <c:v>16.1906887423071</c:v>
                </c:pt>
                <c:pt idx="64">
                  <c:v>19.9746945835606</c:v>
                </c:pt>
                <c:pt idx="65">
                  <c:v>37.0352165921172</c:v>
                </c:pt>
                <c:pt idx="66">
                  <c:v>10.7284768211921</c:v>
                </c:pt>
                <c:pt idx="67">
                  <c:v>58.4105960264901</c:v>
                </c:pt>
                <c:pt idx="68">
                  <c:v>55.444923712212</c:v>
                </c:pt>
                <c:pt idx="69">
                  <c:v>32.6196151074485</c:v>
                </c:pt>
                <c:pt idx="70">
                  <c:v>73.1477259148072</c:v>
                </c:pt>
                <c:pt idx="71">
                  <c:v>49.0263599167785</c:v>
                </c:pt>
                <c:pt idx="72">
                  <c:v>34.1842813220638</c:v>
                </c:pt>
                <c:pt idx="73">
                  <c:v>45.7512450044818</c:v>
                </c:pt>
                <c:pt idx="74">
                  <c:v>47.2830231818111</c:v>
                </c:pt>
                <c:pt idx="75">
                  <c:v>45.8443161857168</c:v>
                </c:pt>
              </c:numCache>
            </c:numRef>
          </c:xVal>
          <c:yVal>
            <c:numRef>
              <c:f>总表20230726!$AX$3:$AX$112</c:f>
              <c:numCache>
                <c:formatCode>0.000_ </c:formatCode>
                <c:ptCount val="76"/>
                <c:pt idx="0">
                  <c:v>0.330159602093124</c:v>
                </c:pt>
                <c:pt idx="1">
                  <c:v>0.374161909408699</c:v>
                </c:pt>
                <c:pt idx="2">
                  <c:v>0.63109389843819</c:v>
                </c:pt>
                <c:pt idx="3">
                  <c:v>0.387929977379539</c:v>
                </c:pt>
                <c:pt idx="4">
                  <c:v>0.583468022657874</c:v>
                </c:pt>
                <c:pt idx="5">
                  <c:v>0.880324567110261</c:v>
                </c:pt>
                <c:pt idx="6">
                  <c:v>0.556042455279372</c:v>
                </c:pt>
                <c:pt idx="7">
                  <c:v>0.599192497407829</c:v>
                </c:pt>
                <c:pt idx="8">
                  <c:v>0.860159855877793</c:v>
                </c:pt>
                <c:pt idx="9">
                  <c:v>0.876171019759605</c:v>
                </c:pt>
                <c:pt idx="10">
                  <c:v>2.95042814088531</c:v>
                </c:pt>
                <c:pt idx="11">
                  <c:v>1.2441819954562</c:v>
                </c:pt>
                <c:pt idx="12">
                  <c:v>0.803849796288749</c:v>
                </c:pt>
                <c:pt idx="13">
                  <c:v>0.744033784809289</c:v>
                </c:pt>
                <c:pt idx="14">
                  <c:v>0.57848254857925</c:v>
                </c:pt>
                <c:pt idx="15">
                  <c:v>0.568455540687007</c:v>
                </c:pt>
                <c:pt idx="16">
                  <c:v>0.125260301090443</c:v>
                </c:pt>
                <c:pt idx="17">
                  <c:v>11.679736172143</c:v>
                </c:pt>
                <c:pt idx="18">
                  <c:v>0.490426679258394</c:v>
                </c:pt>
                <c:pt idx="19">
                  <c:v>0.460966401063924</c:v>
                </c:pt>
                <c:pt idx="20">
                  <c:v>0.685117606828518</c:v>
                </c:pt>
                <c:pt idx="21">
                  <c:v>0.160307668035049</c:v>
                </c:pt>
                <c:pt idx="22">
                  <c:v>1.3666355450194</c:v>
                </c:pt>
                <c:pt idx="23">
                  <c:v>2.2509670377423</c:v>
                </c:pt>
                <c:pt idx="24">
                  <c:v>1.24393287517423</c:v>
                </c:pt>
                <c:pt idx="25">
                  <c:v>2.46768264926978</c:v>
                </c:pt>
                <c:pt idx="26">
                  <c:v>1.21701704330583</c:v>
                </c:pt>
                <c:pt idx="27">
                  <c:v>1.33659620617291</c:v>
                </c:pt>
                <c:pt idx="28">
                  <c:v>4.88904344120413</c:v>
                </c:pt>
                <c:pt idx="29">
                  <c:v>1.82536452326973</c:v>
                </c:pt>
                <c:pt idx="30">
                  <c:v>1.87848524110253</c:v>
                </c:pt>
                <c:pt idx="31">
                  <c:v>0.64425769476532</c:v>
                </c:pt>
                <c:pt idx="32">
                  <c:v>0.704556599934181</c:v>
                </c:pt>
                <c:pt idx="33">
                  <c:v>3.11578905507854</c:v>
                </c:pt>
                <c:pt idx="34">
                  <c:v>1.01498071367777</c:v>
                </c:pt>
                <c:pt idx="35">
                  <c:v>1.51083226652162</c:v>
                </c:pt>
                <c:pt idx="36">
                  <c:v>1.01668187527794</c:v>
                </c:pt>
                <c:pt idx="37">
                  <c:v>0.775241962528414</c:v>
                </c:pt>
                <c:pt idx="38">
                  <c:v>0.9493132923863</c:v>
                </c:pt>
                <c:pt idx="39">
                  <c:v>0.779474474811788</c:v>
                </c:pt>
                <c:pt idx="40">
                  <c:v>0.79312861630632</c:v>
                </c:pt>
                <c:pt idx="41">
                  <c:v>0.496183662563217</c:v>
                </c:pt>
                <c:pt idx="42">
                  <c:v>0.30365966707548</c:v>
                </c:pt>
                <c:pt idx="43">
                  <c:v>0.740940354276662</c:v>
                </c:pt>
                <c:pt idx="44">
                  <c:v>0.165009102929571</c:v>
                </c:pt>
                <c:pt idx="45">
                  <c:v>0</c:v>
                </c:pt>
                <c:pt idx="46">
                  <c:v>0</c:v>
                </c:pt>
                <c:pt idx="47">
                  <c:v>29.7113567920692</c:v>
                </c:pt>
                <c:pt idx="48">
                  <c:v>21.392571559767</c:v>
                </c:pt>
                <c:pt idx="49">
                  <c:v>0.844974037488999</c:v>
                </c:pt>
                <c:pt idx="50">
                  <c:v>0.84166493238654</c:v>
                </c:pt>
                <c:pt idx="51">
                  <c:v>0.909470155583729</c:v>
                </c:pt>
                <c:pt idx="52">
                  <c:v>0.857089959232866</c:v>
                </c:pt>
                <c:pt idx="53">
                  <c:v>0.569567675766704</c:v>
                </c:pt>
                <c:pt idx="54">
                  <c:v>0.53091233700304</c:v>
                </c:pt>
                <c:pt idx="55">
                  <c:v>0.43923968844217</c:v>
                </c:pt>
                <c:pt idx="56">
                  <c:v>0.424685139881356</c:v>
                </c:pt>
                <c:pt idx="57">
                  <c:v>0.420638622581237</c:v>
                </c:pt>
                <c:pt idx="58">
                  <c:v>0.537345092558396</c:v>
                </c:pt>
                <c:pt idx="59">
                  <c:v>0.396271173131141</c:v>
                </c:pt>
                <c:pt idx="60">
                  <c:v>0.535421874689521</c:v>
                </c:pt>
                <c:pt idx="61">
                  <c:v>0.481366916728863</c:v>
                </c:pt>
                <c:pt idx="62">
                  <c:v>0.668837795944863</c:v>
                </c:pt>
                <c:pt idx="63">
                  <c:v>0.562394540377423</c:v>
                </c:pt>
                <c:pt idx="64">
                  <c:v>0.69032551025812</c:v>
                </c:pt>
                <c:pt idx="65">
                  <c:v>1.2879643423301</c:v>
                </c:pt>
                <c:pt idx="66">
                  <c:v>0.333849737938365</c:v>
                </c:pt>
                <c:pt idx="67">
                  <c:v>1.81762635099776</c:v>
                </c:pt>
                <c:pt idx="68">
                  <c:v>1.2329687222647</c:v>
                </c:pt>
                <c:pt idx="69">
                  <c:v>0.684468266898268</c:v>
                </c:pt>
                <c:pt idx="70">
                  <c:v>1.50898172005055</c:v>
                </c:pt>
                <c:pt idx="71">
                  <c:v>1.10926716265665</c:v>
                </c:pt>
                <c:pt idx="72">
                  <c:v>0.709990046046265</c:v>
                </c:pt>
                <c:pt idx="73">
                  <c:v>0.977771955179391</c:v>
                </c:pt>
                <c:pt idx="74">
                  <c:v>1.00112519711741</c:v>
                </c:pt>
                <c:pt idx="75">
                  <c:v>1.04201177950765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总表20230726!$AC$113:$AC$123</c:f>
              <c:numCache>
                <c:formatCode>0.000_ </c:formatCode>
                <c:ptCount val="11"/>
                <c:pt idx="0">
                  <c:v>64.987355172409</c:v>
                </c:pt>
                <c:pt idx="1">
                  <c:v>68.4627284988786</c:v>
                </c:pt>
                <c:pt idx="2">
                  <c:v>69.1265353349016</c:v>
                </c:pt>
                <c:pt idx="3">
                  <c:v>62.9209449284804</c:v>
                </c:pt>
                <c:pt idx="4">
                  <c:v>46.0150222639026</c:v>
                </c:pt>
                <c:pt idx="5">
                  <c:v>72.6567184524275</c:v>
                </c:pt>
                <c:pt idx="6">
                  <c:v>68.9477864182706</c:v>
                </c:pt>
                <c:pt idx="7">
                  <c:v>48.1166293082462</c:v>
                </c:pt>
                <c:pt idx="8">
                  <c:v>62.0419577538728</c:v>
                </c:pt>
                <c:pt idx="9">
                  <c:v>59.8381665890039</c:v>
                </c:pt>
                <c:pt idx="10">
                  <c:v>0</c:v>
                </c:pt>
              </c:numCache>
            </c:numRef>
          </c:xVal>
          <c:yVal>
            <c:numRef>
              <c:f>总表20230726!$AX$113:$AX$123</c:f>
              <c:numCache>
                <c:formatCode>0.000_ </c:formatCode>
                <c:ptCount val="11"/>
                <c:pt idx="0">
                  <c:v>1.45671257902337</c:v>
                </c:pt>
                <c:pt idx="1">
                  <c:v>1.51427893939156</c:v>
                </c:pt>
                <c:pt idx="2">
                  <c:v>1.59336088603186</c:v>
                </c:pt>
                <c:pt idx="3">
                  <c:v>1.57307285190635</c:v>
                </c:pt>
                <c:pt idx="4">
                  <c:v>0.905246233195466</c:v>
                </c:pt>
                <c:pt idx="5">
                  <c:v>1.40725512337182</c:v>
                </c:pt>
                <c:pt idx="6">
                  <c:v>1.39401441428922</c:v>
                </c:pt>
                <c:pt idx="7">
                  <c:v>1.24694313857666</c:v>
                </c:pt>
                <c:pt idx="8">
                  <c:v>1.34435331048848</c:v>
                </c:pt>
                <c:pt idx="9">
                  <c:v>1.30350554446275</c:v>
                </c:pt>
                <c:pt idx="10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总表20230726!$AC$124:$AC$158</c:f>
              <c:numCache>
                <c:formatCode>0.000_ </c:formatCode>
                <c:ptCount val="35"/>
                <c:pt idx="0">
                  <c:v>26.3266580613044</c:v>
                </c:pt>
                <c:pt idx="1">
                  <c:v>13.4218686186445</c:v>
                </c:pt>
                <c:pt idx="2">
                  <c:v>18.8914230753295</c:v>
                </c:pt>
                <c:pt idx="3">
                  <c:v>34.0753244730079</c:v>
                </c:pt>
                <c:pt idx="4">
                  <c:v>49.3959454344645</c:v>
                </c:pt>
                <c:pt idx="5">
                  <c:v>71.4132368412993</c:v>
                </c:pt>
                <c:pt idx="6">
                  <c:v>47.3636150846312</c:v>
                </c:pt>
                <c:pt idx="7">
                  <c:v>47.1910977027488</c:v>
                </c:pt>
                <c:pt idx="8">
                  <c:v>66.2254171305913</c:v>
                </c:pt>
                <c:pt idx="9">
                  <c:v>65.235457889892</c:v>
                </c:pt>
                <c:pt idx="10">
                  <c:v>44.3629963048309</c:v>
                </c:pt>
                <c:pt idx="11">
                  <c:v>48.3030343267227</c:v>
                </c:pt>
                <c:pt idx="12">
                  <c:v>76.444712506169</c:v>
                </c:pt>
                <c:pt idx="13">
                  <c:v>66.8708298533672</c:v>
                </c:pt>
                <c:pt idx="14">
                  <c:v>63.3328594930313</c:v>
                </c:pt>
                <c:pt idx="15">
                  <c:v>4.67332200319995</c:v>
                </c:pt>
                <c:pt idx="16">
                  <c:v>4.80712365952613</c:v>
                </c:pt>
                <c:pt idx="17">
                  <c:v>10.4614615211083</c:v>
                </c:pt>
                <c:pt idx="18">
                  <c:v>5.81124053144785</c:v>
                </c:pt>
                <c:pt idx="19">
                  <c:v>21.0154697093438</c:v>
                </c:pt>
                <c:pt idx="20">
                  <c:v>12.2958788861858</c:v>
                </c:pt>
                <c:pt idx="21">
                  <c:v>11.7567537180253</c:v>
                </c:pt>
                <c:pt idx="22">
                  <c:v>4.70058338927306</c:v>
                </c:pt>
                <c:pt idx="23">
                  <c:v>14.4789652575441</c:v>
                </c:pt>
                <c:pt idx="24">
                  <c:v>14.3891486459918</c:v>
                </c:pt>
                <c:pt idx="25">
                  <c:v>15.2946148145581</c:v>
                </c:pt>
                <c:pt idx="26">
                  <c:v>15.3127682605018</c:v>
                </c:pt>
                <c:pt idx="27">
                  <c:v>15.6368819536553</c:v>
                </c:pt>
                <c:pt idx="28">
                  <c:v>15.0461204276626</c:v>
                </c:pt>
                <c:pt idx="29">
                  <c:v>11.198693617463</c:v>
                </c:pt>
                <c:pt idx="30">
                  <c:v>10.0145948528705</c:v>
                </c:pt>
                <c:pt idx="31">
                  <c:v>635.112698555686</c:v>
                </c:pt>
                <c:pt idx="32">
                  <c:v>17.6762620221036</c:v>
                </c:pt>
                <c:pt idx="33">
                  <c:v>66.5084317002728</c:v>
                </c:pt>
                <c:pt idx="34">
                  <c:v>57.1667728221044</c:v>
                </c:pt>
              </c:numCache>
            </c:numRef>
          </c:xVal>
          <c:yVal>
            <c:numRef>
              <c:f>总表20230726!$AX$124:$AX$158</c:f>
              <c:numCache>
                <c:formatCode>0.000_ </c:formatCode>
                <c:ptCount val="35"/>
                <c:pt idx="0">
                  <c:v>0.671258886122131</c:v>
                </c:pt>
                <c:pt idx="1">
                  <c:v>0.345054083007476</c:v>
                </c:pt>
                <c:pt idx="2">
                  <c:v>0.466787557440596</c:v>
                </c:pt>
                <c:pt idx="3">
                  <c:v>0.742754792149541</c:v>
                </c:pt>
                <c:pt idx="4">
                  <c:v>1.22250250270711</c:v>
                </c:pt>
                <c:pt idx="5">
                  <c:v>1.62670674169203</c:v>
                </c:pt>
                <c:pt idx="6">
                  <c:v>1.45858932643497</c:v>
                </c:pt>
                <c:pt idx="7">
                  <c:v>1.13610187096159</c:v>
                </c:pt>
                <c:pt idx="8">
                  <c:v>1.38220785246592</c:v>
                </c:pt>
                <c:pt idx="9">
                  <c:v>1.35073018004669</c:v>
                </c:pt>
                <c:pt idx="10">
                  <c:v>1.40275679935641</c:v>
                </c:pt>
                <c:pt idx="11">
                  <c:v>1.24465411996188</c:v>
                </c:pt>
                <c:pt idx="12">
                  <c:v>1.58310198737128</c:v>
                </c:pt>
                <c:pt idx="13">
                  <c:v>1.45011390738082</c:v>
                </c:pt>
                <c:pt idx="14">
                  <c:v>1.58328471512409</c:v>
                </c:pt>
                <c:pt idx="15">
                  <c:v>0.134691725189391</c:v>
                </c:pt>
                <c:pt idx="16">
                  <c:v>0.147492695240178</c:v>
                </c:pt>
                <c:pt idx="17">
                  <c:v>0.295509544562795</c:v>
                </c:pt>
                <c:pt idx="18">
                  <c:v>0.151058132906366</c:v>
                </c:pt>
                <c:pt idx="19">
                  <c:v>0.545715574967723</c:v>
                </c:pt>
                <c:pt idx="20">
                  <c:v>0.296956424222367</c:v>
                </c:pt>
                <c:pt idx="21">
                  <c:v>0.383062909936896</c:v>
                </c:pt>
                <c:pt idx="22">
                  <c:v>0.105916528424022</c:v>
                </c:pt>
                <c:pt idx="23">
                  <c:v>0.872611404813205</c:v>
                </c:pt>
                <c:pt idx="24">
                  <c:v>0.841372084053665</c:v>
                </c:pt>
                <c:pt idx="25">
                  <c:v>0.909770115051233</c:v>
                </c:pt>
                <c:pt idx="26">
                  <c:v>0.913582908573194</c:v>
                </c:pt>
                <c:pt idx="27">
                  <c:v>0.89410159645242</c:v>
                </c:pt>
                <c:pt idx="28">
                  <c:v>0.909869011388067</c:v>
                </c:pt>
                <c:pt idx="29">
                  <c:v>0.726170651565599</c:v>
                </c:pt>
                <c:pt idx="30">
                  <c:v>0.630618492440257</c:v>
                </c:pt>
                <c:pt idx="31">
                  <c:v>18.9455697235412</c:v>
                </c:pt>
                <c:pt idx="32">
                  <c:v>0.406948542811851</c:v>
                </c:pt>
                <c:pt idx="33">
                  <c:v>1.7755431662415</c:v>
                </c:pt>
                <c:pt idx="34">
                  <c:v>1.33663764953341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  <c:max val="1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232957472382806"/>
              <c:y val="0.35196042506412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344380339539"/>
          <c:y val="0.55473479254824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3de7b6-b01d-4e4c-b338-98f6943d42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98799839978664"/>
          <c:y val="0.0420447382670376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总表20230726!$AC$3:$AC$68</c:f>
              <c:numCache>
                <c:formatCode>0.000_ </c:formatCode>
                <c:ptCount val="66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0</c:v>
                </c:pt>
                <c:pt idx="46">
                  <c:v>0</c:v>
                </c:pt>
                <c:pt idx="47">
                  <c:v>858.530043063024</c:v>
                </c:pt>
                <c:pt idx="48">
                  <c:v>571.740935491015</c:v>
                </c:pt>
                <c:pt idx="49">
                  <c:v>24.6420438051209</c:v>
                </c:pt>
                <c:pt idx="50">
                  <c:v>23.0739996274934</c:v>
                </c:pt>
                <c:pt idx="51">
                  <c:v>26.6349515388322</c:v>
                </c:pt>
                <c:pt idx="52">
                  <c:v>23.6904115142342</c:v>
                </c:pt>
                <c:pt idx="53">
                  <c:v>15.5829884442118</c:v>
                </c:pt>
                <c:pt idx="54">
                  <c:v>15.5304393374087</c:v>
                </c:pt>
                <c:pt idx="55">
                  <c:v>12.9452596490475</c:v>
                </c:pt>
                <c:pt idx="56">
                  <c:v>13.8266134454377</c:v>
                </c:pt>
                <c:pt idx="57">
                  <c:v>13.5572034802801</c:v>
                </c:pt>
                <c:pt idx="58">
                  <c:v>17.0376579857058</c:v>
                </c:pt>
                <c:pt idx="59">
                  <c:v>12.3072678204838</c:v>
                </c:pt>
                <c:pt idx="60">
                  <c:v>16.6684934782528</c:v>
                </c:pt>
                <c:pt idx="61">
                  <c:v>13.8879335889062</c:v>
                </c:pt>
                <c:pt idx="62">
                  <c:v>18.6020114376394</c:v>
                </c:pt>
                <c:pt idx="63">
                  <c:v>16.1906887423071</c:v>
                </c:pt>
                <c:pt idx="64">
                  <c:v>19.9746945835606</c:v>
                </c:pt>
                <c:pt idx="65">
                  <c:v>37.0352165921172</c:v>
                </c:pt>
              </c:numCache>
            </c:numRef>
          </c:xVal>
          <c:yVal>
            <c:numRef>
              <c:f>总表20230726!$AN$3:$AN$68</c:f>
              <c:numCache>
                <c:formatCode>0.00E+00</c:formatCode>
                <c:ptCount val="66"/>
                <c:pt idx="0">
                  <c:v>8.5145265498838e-5</c:v>
                </c:pt>
                <c:pt idx="1">
                  <c:v>8.56424082798974e-5</c:v>
                </c:pt>
                <c:pt idx="2">
                  <c:v>8.29166772703704e-5</c:v>
                </c:pt>
                <c:pt idx="3">
                  <c:v>8.69495500408005e-5</c:v>
                </c:pt>
                <c:pt idx="4">
                  <c:v>8.85633115384693e-5</c:v>
                </c:pt>
                <c:pt idx="5">
                  <c:v>8.88439412099691e-5</c:v>
                </c:pt>
                <c:pt idx="6">
                  <c:v>9.17598659225508e-5</c:v>
                </c:pt>
                <c:pt idx="7">
                  <c:v>8.80981495570637e-5</c:v>
                </c:pt>
                <c:pt idx="8">
                  <c:v>9.09785329626674e-5</c:v>
                </c:pt>
                <c:pt idx="9">
                  <c:v>8.99867176121835e-5</c:v>
                </c:pt>
                <c:pt idx="10">
                  <c:v>8.95527407962152e-5</c:v>
                </c:pt>
                <c:pt idx="11">
                  <c:v>0.000100256793246934</c:v>
                </c:pt>
                <c:pt idx="12">
                  <c:v>0.000100436539345708</c:v>
                </c:pt>
                <c:pt idx="13">
                  <c:v>0.000100354397067564</c:v>
                </c:pt>
                <c:pt idx="14">
                  <c:v>0.00010005636652225</c:v>
                </c:pt>
                <c:pt idx="15">
                  <c:v>0.000100148344922972</c:v>
                </c:pt>
                <c:pt idx="16">
                  <c:v>8.04595990465531e-5</c:v>
                </c:pt>
                <c:pt idx="17">
                  <c:v>8.08723771087411e-5</c:v>
                </c:pt>
                <c:pt idx="18">
                  <c:v>7.71423015935798e-5</c:v>
                </c:pt>
                <c:pt idx="19">
                  <c:v>7.49698461916876e-5</c:v>
                </c:pt>
                <c:pt idx="20">
                  <c:v>7.23084842927337e-5</c:v>
                </c:pt>
                <c:pt idx="21">
                  <c:v>8.18900967256253e-5</c:v>
                </c:pt>
                <c:pt idx="22">
                  <c:v>7.26001423354315e-5</c:v>
                </c:pt>
                <c:pt idx="23">
                  <c:v>7.17415544197718e-5</c:v>
                </c:pt>
                <c:pt idx="24">
                  <c:v>7.14451286195542e-5</c:v>
                </c:pt>
                <c:pt idx="25">
                  <c:v>7.34692769026542e-5</c:v>
                </c:pt>
                <c:pt idx="26">
                  <c:v>7.36105115406531e-5</c:v>
                </c:pt>
                <c:pt idx="27">
                  <c:v>7.51257241674216e-5</c:v>
                </c:pt>
                <c:pt idx="28">
                  <c:v>7.55602993374026e-5</c:v>
                </c:pt>
                <c:pt idx="29">
                  <c:v>7.51515592988146e-5</c:v>
                </c:pt>
                <c:pt idx="30">
                  <c:v>7.5632014244672e-5</c:v>
                </c:pt>
                <c:pt idx="31">
                  <c:v>7.08961533961622e-5</c:v>
                </c:pt>
                <c:pt idx="32">
                  <c:v>7.22007218542115e-5</c:v>
                </c:pt>
                <c:pt idx="33">
                  <c:v>7.25191199082357e-5</c:v>
                </c:pt>
                <c:pt idx="34">
                  <c:v>7.21984762869622e-5</c:v>
                </c:pt>
                <c:pt idx="35">
                  <c:v>7.23093302475691e-5</c:v>
                </c:pt>
                <c:pt idx="36">
                  <c:v>7.35783200062334e-5</c:v>
                </c:pt>
                <c:pt idx="37">
                  <c:v>7.2958113409272e-5</c:v>
                </c:pt>
                <c:pt idx="38">
                  <c:v>7.34668139664173e-5</c:v>
                </c:pt>
                <c:pt idx="39">
                  <c:v>7.40850126594119e-5</c:v>
                </c:pt>
                <c:pt idx="40">
                  <c:v>7.34295333862965e-5</c:v>
                </c:pt>
                <c:pt idx="41">
                  <c:v>7.63906250868758e-5</c:v>
                </c:pt>
                <c:pt idx="42">
                  <c:v>7.37580874922207e-5</c:v>
                </c:pt>
                <c:pt idx="43">
                  <c:v>7.31090018753823e-5</c:v>
                </c:pt>
                <c:pt idx="44">
                  <c:v>7.3478134918035e-5</c:v>
                </c:pt>
                <c:pt idx="45">
                  <c:v>0</c:v>
                </c:pt>
                <c:pt idx="46">
                  <c:v>0</c:v>
                </c:pt>
                <c:pt idx="47">
                  <c:v>8.22084909150488e-5</c:v>
                </c:pt>
                <c:pt idx="48">
                  <c:v>8.43753489720272e-5</c:v>
                </c:pt>
                <c:pt idx="49">
                  <c:v>8.19564666965237e-5</c:v>
                </c:pt>
                <c:pt idx="50">
                  <c:v>8.36629416762731e-5</c:v>
                </c:pt>
                <c:pt idx="51">
                  <c:v>8.18414271482652e-5</c:v>
                </c:pt>
                <c:pt idx="52">
                  <c:v>8.3434489776629e-5</c:v>
                </c:pt>
                <c:pt idx="53">
                  <c:v>8.37193553229663e-5</c:v>
                </c:pt>
                <c:pt idx="54">
                  <c:v>8.18730002515482e-5</c:v>
                </c:pt>
                <c:pt idx="55">
                  <c:v>8.16691339029303e-5</c:v>
                </c:pt>
                <c:pt idx="56">
                  <c:v>7.90032143380508e-5</c:v>
                </c:pt>
                <c:pt idx="57">
                  <c:v>7.92697261094784e-5</c:v>
                </c:pt>
                <c:pt idx="58">
                  <c:v>7.97031484316377e-5</c:v>
                </c:pt>
                <c:pt idx="59">
                  <c:v>8.02548504776856e-5</c:v>
                </c:pt>
                <c:pt idx="60">
                  <c:v>8.01913639886245e-5</c:v>
                </c:pt>
                <c:pt idx="61">
                  <c:v>8.22508793089535e-5</c:v>
                </c:pt>
                <c:pt idx="62">
                  <c:v>8.32622188570997e-5</c:v>
                </c:pt>
                <c:pt idx="63">
                  <c:v>8.23100636709253e-5</c:v>
                </c:pt>
                <c:pt idx="64">
                  <c:v>8.21710693069446e-5</c:v>
                </c:pt>
                <c:pt idx="65">
                  <c:v>8.23424902696141e-5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总表20230726!$AC$105:$AC$112</c:f>
              <c:numCache>
                <c:formatCode>0.000_ </c:formatCode>
                <c:ptCount val="8"/>
                <c:pt idx="0">
                  <c:v>55.444923712212</c:v>
                </c:pt>
                <c:pt idx="1">
                  <c:v>32.6196151074485</c:v>
                </c:pt>
                <c:pt idx="2">
                  <c:v>73.1477259148072</c:v>
                </c:pt>
                <c:pt idx="3">
                  <c:v>49.0263599167785</c:v>
                </c:pt>
                <c:pt idx="4">
                  <c:v>34.1842813220638</c:v>
                </c:pt>
                <c:pt idx="5">
                  <c:v>45.7512450044818</c:v>
                </c:pt>
                <c:pt idx="6">
                  <c:v>47.2830231818111</c:v>
                </c:pt>
                <c:pt idx="7">
                  <c:v>45.8443161857168</c:v>
                </c:pt>
              </c:numCache>
            </c:numRef>
          </c:xVal>
          <c:yVal>
            <c:numRef>
              <c:f>总表20230726!$AN$105:$AN$112</c:f>
              <c:numCache>
                <c:formatCode>0.00E+00</c:formatCode>
                <c:ptCount val="8"/>
                <c:pt idx="0">
                  <c:v>7.09399868055406e-5</c:v>
                </c:pt>
                <c:pt idx="1">
                  <c:v>6.9580227155486e-5</c:v>
                </c:pt>
                <c:pt idx="2">
                  <c:v>6.91866118966401e-5</c:v>
                </c:pt>
                <c:pt idx="3">
                  <c:v>7.13504170801889e-5</c:v>
                </c:pt>
                <c:pt idx="4">
                  <c:v>6.93430514533912e-5</c:v>
                </c:pt>
                <c:pt idx="5">
                  <c:v>7.00066399163488e-5</c:v>
                </c:pt>
                <c:pt idx="6">
                  <c:v>6.97892822877738e-5</c:v>
                </c:pt>
                <c:pt idx="7">
                  <c:v>7.14589652773681e-5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总表20230726!$AC$114:$AC$133</c:f>
              <c:numCache>
                <c:formatCode>0.000_ </c:formatCode>
                <c:ptCount val="20"/>
                <c:pt idx="0">
                  <c:v>68.4627284988786</c:v>
                </c:pt>
                <c:pt idx="1">
                  <c:v>69.1265353349016</c:v>
                </c:pt>
                <c:pt idx="2">
                  <c:v>62.9209449284804</c:v>
                </c:pt>
                <c:pt idx="3">
                  <c:v>46.0150222639026</c:v>
                </c:pt>
                <c:pt idx="4">
                  <c:v>72.6567184524275</c:v>
                </c:pt>
                <c:pt idx="5">
                  <c:v>68.9477864182706</c:v>
                </c:pt>
                <c:pt idx="6">
                  <c:v>48.1166293082462</c:v>
                </c:pt>
                <c:pt idx="7">
                  <c:v>62.0419577538728</c:v>
                </c:pt>
                <c:pt idx="8">
                  <c:v>59.8381665890039</c:v>
                </c:pt>
                <c:pt idx="9">
                  <c:v>0</c:v>
                </c:pt>
                <c:pt idx="10">
                  <c:v>26.3266580613044</c:v>
                </c:pt>
                <c:pt idx="11">
                  <c:v>13.4218686186445</c:v>
                </c:pt>
                <c:pt idx="12">
                  <c:v>18.8914230753295</c:v>
                </c:pt>
                <c:pt idx="13">
                  <c:v>34.0753244730079</c:v>
                </c:pt>
                <c:pt idx="14">
                  <c:v>49.3959454344645</c:v>
                </c:pt>
                <c:pt idx="15">
                  <c:v>71.4132368412993</c:v>
                </c:pt>
                <c:pt idx="16">
                  <c:v>47.3636150846312</c:v>
                </c:pt>
                <c:pt idx="17">
                  <c:v>47.1910977027488</c:v>
                </c:pt>
                <c:pt idx="18">
                  <c:v>66.2254171305913</c:v>
                </c:pt>
                <c:pt idx="19">
                  <c:v>65.235457889892</c:v>
                </c:pt>
              </c:numCache>
            </c:numRef>
          </c:xVal>
          <c:yVal>
            <c:numRef>
              <c:f>总表20230726!$AN$114:$AN$133</c:f>
              <c:numCache>
                <c:formatCode>0.00E+00</c:formatCode>
                <c:ptCount val="20"/>
                <c:pt idx="0">
                  <c:v>7.08127683770454e-5</c:v>
                </c:pt>
                <c:pt idx="1">
                  <c:v>7.17933360075728e-5</c:v>
                </c:pt>
                <c:pt idx="2">
                  <c:v>7.37641847471496e-5</c:v>
                </c:pt>
                <c:pt idx="3">
                  <c:v>6.81004596958956e-5</c:v>
                </c:pt>
                <c:pt idx="4">
                  <c:v>6.77475145220129e-5</c:v>
                </c:pt>
                <c:pt idx="5">
                  <c:v>6.87242473888932e-5</c:v>
                </c:pt>
                <c:pt idx="6">
                  <c:v>7.46525816894815e-5</c:v>
                </c:pt>
                <c:pt idx="7">
                  <c:v>7.03294124692695e-5</c:v>
                </c:pt>
                <c:pt idx="8">
                  <c:v>7.04540367617128e-5</c:v>
                </c:pt>
                <c:pt idx="9">
                  <c:v>0</c:v>
                </c:pt>
                <c:pt idx="10">
                  <c:v>7.42493151066524e-5</c:v>
                </c:pt>
                <c:pt idx="11">
                  <c:v>7.44536070259266e-5</c:v>
                </c:pt>
                <c:pt idx="12">
                  <c:v>7.34760632272349e-5</c:v>
                </c:pt>
                <c:pt idx="13">
                  <c:v>7.04686850709155e-5</c:v>
                </c:pt>
                <c:pt idx="14">
                  <c:v>7.35157679843399e-5</c:v>
                </c:pt>
                <c:pt idx="15">
                  <c:v>7.15107275169176e-5</c:v>
                </c:pt>
                <c:pt idx="16">
                  <c:v>7.90721855721471e-5</c:v>
                </c:pt>
                <c:pt idx="17">
                  <c:v>7.28417009769217e-5</c:v>
                </c:pt>
                <c:pt idx="18">
                  <c:v>6.94561273397528e-5</c:v>
                </c:pt>
                <c:pt idx="19">
                  <c:v>6.92717208340898e-5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"拟合线"</c15:sqref>
                        </c15:formulaRef>
                      </c:ext>
                    </c:extLst>
                    <c:strCache>
                      <c:ptCount val="1"/>
                      <c:pt idx="0">
                        <c:v>拟合线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f>{10,1}</c:f>
                    <c:numCache>
                      <c:formatCode>General</c:formatCode>
                      <c:ptCount val="2"/>
                      <c:pt idx="0">
                        <c:v>10</c:v>
                      </c:pt>
                      <c:pt idx="1">
                        <c:v>1</c:v>
                      </c:pt>
                    </c:numCache>
                  </c:numRef>
                </c:xVal>
                <c:yVal>
                  <c:numRef>
                    <c:f>{0.013983,0.0002639}</c:f>
                    <c:numCache>
                      <c:formatCode>General</c:formatCode>
                      <c:ptCount val="2"/>
                      <c:pt idx="0">
                        <c:v>0.013983</c:v>
                      </c:pt>
                      <c:pt idx="1">
                        <c:v>0.0002639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78639454"/>
        <c:scaling>
          <c:logBase val="10"/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Oh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550779150994089"/>
              <c:y val="0.4208678381192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106907230376"/>
          <c:y val="0.63536146858440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508aaa-0255-4701-8e30-624760a409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38624005495"/>
          <c:y val="0.0708134847929645"/>
          <c:w val="0.804991128155229"/>
          <c:h val="0.747434957860022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总表20230726!$AC$3:$AC$23</c:f>
              <c:numCache>
                <c:formatCode>0.000_ </c:formatCode>
                <c:ptCount val="21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</c:numCache>
            </c:numRef>
          </c:xVal>
          <c:yVal>
            <c:numRef>
              <c:f>总表20230726!$AZ$3:$AZ$23</c:f>
              <c:numCache>
                <c:formatCode>0.00E+00</c:formatCode>
                <c:ptCount val="21"/>
                <c:pt idx="0">
                  <c:v>0.000844828231143066</c:v>
                </c:pt>
                <c:pt idx="1">
                  <c:v>0.000968636417687015</c:v>
                </c:pt>
                <c:pt idx="2">
                  <c:v>0.00153144441826637</c:v>
                </c:pt>
                <c:pt idx="3">
                  <c:v>0.00103516956867761</c:v>
                </c:pt>
                <c:pt idx="4">
                  <c:v>0.00161528154488265</c:v>
                </c:pt>
                <c:pt idx="5">
                  <c:v>0.00245257293537569</c:v>
                </c:pt>
                <c:pt idx="6">
                  <c:v>0.00165248288624529</c:v>
                </c:pt>
                <c:pt idx="7">
                  <c:v>0.00164143397063789</c:v>
                </c:pt>
                <c:pt idx="8">
                  <c:v>0.00251293066745086</c:v>
                </c:pt>
                <c:pt idx="9">
                  <c:v>0.00250420099100566</c:v>
                </c:pt>
                <c:pt idx="10">
                  <c:v>0.00835153457485714</c:v>
                </c:pt>
                <c:pt idx="11">
                  <c:v>0.00441402723726781</c:v>
                </c:pt>
                <c:pt idx="12">
                  <c:v>0.00286208062634393</c:v>
                </c:pt>
                <c:pt idx="13">
                  <c:v>0.00264477630790871</c:v>
                </c:pt>
                <c:pt idx="14">
                  <c:v>0.0020441049730379</c:v>
                </c:pt>
                <c:pt idx="15">
                  <c:v>0.00201236860933428</c:v>
                </c:pt>
                <c:pt idx="16">
                  <c:v>0.000286215175452024</c:v>
                </c:pt>
                <c:pt idx="17">
                  <c:v>0.0269622994408489</c:v>
                </c:pt>
                <c:pt idx="18">
                  <c:v>0.00103010797556238</c:v>
                </c:pt>
                <c:pt idx="19">
                  <c:v>0.00091446268547079</c:v>
                </c:pt>
                <c:pt idx="20">
                  <c:v>0.00126434944497431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总表20230726!$AC$105:$AC$112</c:f>
              <c:numCache>
                <c:formatCode>0.000_ </c:formatCode>
                <c:ptCount val="8"/>
                <c:pt idx="0">
                  <c:v>55.444923712212</c:v>
                </c:pt>
                <c:pt idx="1">
                  <c:v>32.6196151074485</c:v>
                </c:pt>
                <c:pt idx="2">
                  <c:v>73.1477259148072</c:v>
                </c:pt>
                <c:pt idx="3">
                  <c:v>49.0263599167785</c:v>
                </c:pt>
                <c:pt idx="4">
                  <c:v>34.1842813220638</c:v>
                </c:pt>
                <c:pt idx="5">
                  <c:v>45.7512450044818</c:v>
                </c:pt>
                <c:pt idx="6">
                  <c:v>47.2830231818111</c:v>
                </c:pt>
                <c:pt idx="7">
                  <c:v>45.8443161857168</c:v>
                </c:pt>
              </c:numCache>
            </c:numRef>
          </c:xVal>
          <c:yVal>
            <c:numRef>
              <c:f>总表20230726!$AZ$105:$AZ$112</c:f>
              <c:numCache>
                <c:formatCode>0.00E+00</c:formatCode>
                <c:ptCount val="8"/>
                <c:pt idx="0">
                  <c:v>0.00219006872744332</c:v>
                </c:pt>
                <c:pt idx="1">
                  <c:v>0.00116962994944527</c:v>
                </c:pt>
                <c:pt idx="2">
                  <c:v>0.00254947984630368</c:v>
                </c:pt>
                <c:pt idx="3">
                  <c:v>0.00199320820663164</c:v>
                </c:pt>
                <c:pt idx="4">
                  <c:v>0.00120498498521208</c:v>
                </c:pt>
                <c:pt idx="5">
                  <c:v>0.00169137349627646</c:v>
                </c:pt>
                <c:pt idx="6">
                  <c:v>0.00172103353894017</c:v>
                </c:pt>
                <c:pt idx="7">
                  <c:v>0.00187806038811799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总表20230726!$AC$114:$AC$133</c:f>
              <c:numCache>
                <c:formatCode>0.000_ </c:formatCode>
                <c:ptCount val="20"/>
                <c:pt idx="0">
                  <c:v>68.4627284988786</c:v>
                </c:pt>
                <c:pt idx="1">
                  <c:v>69.1265353349016</c:v>
                </c:pt>
                <c:pt idx="2">
                  <c:v>62.9209449284804</c:v>
                </c:pt>
                <c:pt idx="3">
                  <c:v>46.0150222639026</c:v>
                </c:pt>
                <c:pt idx="4">
                  <c:v>72.6567184524275</c:v>
                </c:pt>
                <c:pt idx="5">
                  <c:v>68.9477864182706</c:v>
                </c:pt>
                <c:pt idx="6">
                  <c:v>48.1166293082462</c:v>
                </c:pt>
                <c:pt idx="7">
                  <c:v>62.0419577538728</c:v>
                </c:pt>
                <c:pt idx="8">
                  <c:v>59.8381665890039</c:v>
                </c:pt>
                <c:pt idx="9">
                  <c:v>0</c:v>
                </c:pt>
                <c:pt idx="10">
                  <c:v>26.3266580613044</c:v>
                </c:pt>
                <c:pt idx="11">
                  <c:v>13.4218686186445</c:v>
                </c:pt>
                <c:pt idx="12">
                  <c:v>18.8914230753295</c:v>
                </c:pt>
                <c:pt idx="13">
                  <c:v>34.0753244730079</c:v>
                </c:pt>
                <c:pt idx="14">
                  <c:v>49.3959454344645</c:v>
                </c:pt>
                <c:pt idx="15">
                  <c:v>71.4132368412993</c:v>
                </c:pt>
                <c:pt idx="16">
                  <c:v>47.3636150846312</c:v>
                </c:pt>
                <c:pt idx="17">
                  <c:v>47.1910977027488</c:v>
                </c:pt>
                <c:pt idx="18">
                  <c:v>66.2254171305913</c:v>
                </c:pt>
                <c:pt idx="19">
                  <c:v>65.235457889892</c:v>
                </c:pt>
              </c:numCache>
            </c:numRef>
          </c:xVal>
          <c:yVal>
            <c:numRef>
              <c:f>总表20230726!$AZ$114:$AZ$133</c:f>
              <c:numCache>
                <c:formatCode>0.00E+00</c:formatCode>
                <c:ptCount val="20"/>
                <c:pt idx="0">
                  <c:v>0.00268010930171279</c:v>
                </c:pt>
                <c:pt idx="1">
                  <c:v>0.00289871753389278</c:v>
                </c:pt>
                <c:pt idx="2">
                  <c:v>0.00302108821901952</c:v>
                </c:pt>
                <c:pt idx="3">
                  <c:v>0.0014818023898758</c:v>
                </c:pt>
                <c:pt idx="4">
                  <c:v>0.00227972808418754</c:v>
                </c:pt>
                <c:pt idx="5">
                  <c:v>0.00232386410054014</c:v>
                </c:pt>
                <c:pt idx="6">
                  <c:v>0.00245278674242632</c:v>
                </c:pt>
                <c:pt idx="7">
                  <c:v>0.00234698804348824</c:v>
                </c:pt>
                <c:pt idx="8">
                  <c:v>0.00228374770320415</c:v>
                </c:pt>
                <c:pt idx="9">
                  <c:v>0</c:v>
                </c:pt>
                <c:pt idx="10">
                  <c:v>0.0013061661643233</c:v>
                </c:pt>
                <c:pt idx="11">
                  <c:v>0.000675121802871218</c:v>
                </c:pt>
                <c:pt idx="12">
                  <c:v>0.000889476558325863</c:v>
                </c:pt>
                <c:pt idx="13">
                  <c:v>0.0013018509833023</c:v>
                </c:pt>
                <c:pt idx="14">
                  <c:v>0.00233203052759557</c:v>
                </c:pt>
                <c:pt idx="15">
                  <c:v>0.00293612902850315</c:v>
                </c:pt>
                <c:pt idx="16">
                  <c:v>0.00321887413072388</c:v>
                </c:pt>
                <c:pt idx="17">
                  <c:v>0.0021276535386033</c:v>
                </c:pt>
                <c:pt idx="18">
                  <c:v>0.00235352037709515</c:v>
                </c:pt>
                <c:pt idx="19">
                  <c:v>0.00228772613696559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logBase val="10"/>
          <c:orientation val="minMax"/>
          <c:max val="2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t’-cap/t-drain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232957472382806"/>
              <c:y val="0.35196042506412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237116874368"/>
          <c:y val="0.11439114391143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2e28b9-14cb-4d94-9ab7-39e3787602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47581945190758"/>
          <c:y val="0.0443252399774139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总表20230726!$BA$3:$BA$23</c:f>
              <c:numCache>
                <c:formatCode>0.00E+00</c:formatCode>
                <c:ptCount val="21"/>
                <c:pt idx="0">
                  <c:v>6.63578083128233e-7</c:v>
                </c:pt>
                <c:pt idx="1">
                  <c:v>7.21986544647644e-7</c:v>
                </c:pt>
                <c:pt idx="2">
                  <c:v>1.52718756435507e-6</c:v>
                </c:pt>
                <c:pt idx="3">
                  <c:v>6.73245715367951e-7</c:v>
                </c:pt>
                <c:pt idx="4">
                  <c:v>8.90290538774941e-7</c:v>
                </c:pt>
                <c:pt idx="5">
                  <c:v>1.3138317074706e-6</c:v>
                </c:pt>
                <c:pt idx="6">
                  <c:v>6.61957625598416e-7</c:v>
                </c:pt>
                <c:pt idx="7">
                  <c:v>9.48616099626904e-7</c:v>
                </c:pt>
                <c:pt idx="8">
                  <c:v>1.08717208518789e-6</c:v>
                </c:pt>
                <c:pt idx="9">
                  <c:v>1.19572590811916e-6</c:v>
                </c:pt>
                <c:pt idx="10">
                  <c:v>4.1650910152266e-6</c:v>
                </c:pt>
                <c:pt idx="11">
                  <c:v>7.96854217899883e-7</c:v>
                </c:pt>
                <c:pt idx="12">
                  <c:v>5.08422022621902e-7</c:v>
                </c:pt>
                <c:pt idx="13">
                  <c:v>4.73292304856492e-7</c:v>
                </c:pt>
                <c:pt idx="14">
                  <c:v>3.75723878758349e-7</c:v>
                </c:pt>
                <c:pt idx="15">
                  <c:v>3.66844234776734e-7</c:v>
                </c:pt>
                <c:pt idx="16">
                  <c:v>3.7416230508182e-7</c:v>
                </c:pt>
                <c:pt idx="17">
                  <c:v>3.36607045195473e-5</c:v>
                </c:pt>
                <c:pt idx="18">
                  <c:v>1.96705983980724e-6</c:v>
                </c:pt>
                <c:pt idx="19">
                  <c:v>2.2581592295742e-6</c:v>
                </c:pt>
                <c:pt idx="20">
                  <c:v>4.3224696373897e-6</c:v>
                </c:pt>
              </c:numCache>
            </c:numRef>
          </c:xVal>
          <c:yVal>
            <c:numRef>
              <c:f>总表20230726!$AD$3:$AD$23</c:f>
              <c:numCache>
                <c:formatCode>0.000_ </c:formatCode>
                <c:ptCount val="21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总表20230726!$BA$105:$BA$112</c:f>
              <c:numCache>
                <c:formatCode>0.00E+00</c:formatCode>
                <c:ptCount val="8"/>
                <c:pt idx="0">
                  <c:v>8.89213331964858e-6</c:v>
                </c:pt>
                <c:pt idx="1">
                  <c:v>5.65254530639622e-6</c:v>
                </c:pt>
                <c:pt idx="2">
                  <c:v>1.29664522044014e-5</c:v>
                </c:pt>
                <c:pt idx="3">
                  <c:v>7.68337753152634e-6</c:v>
                </c:pt>
                <c:pt idx="4">
                  <c:v>6.00514152102573e-6</c:v>
                </c:pt>
                <c:pt idx="5">
                  <c:v>7.73667888342094e-6</c:v>
                </c:pt>
                <c:pt idx="6">
                  <c:v>8.09578371293021e-6</c:v>
                </c:pt>
                <c:pt idx="7">
                  <c:v>7.14113419619735e-6</c:v>
                </c:pt>
              </c:numCache>
            </c:numRef>
          </c:xVal>
          <c:yVal>
            <c:numRef>
              <c:f>总表20230726!$AD$105:$AD$112</c:f>
              <c:numCache>
                <c:formatCode>0.000_ </c:formatCode>
                <c:ptCount val="8"/>
                <c:pt idx="0">
                  <c:v>6.58312424658697</c:v>
                </c:pt>
                <c:pt idx="1">
                  <c:v>7.11300471076456</c:v>
                </c:pt>
                <c:pt idx="2">
                  <c:v>7.2762600350121</c:v>
                </c:pt>
                <c:pt idx="3">
                  <c:v>6.43295333070307</c:v>
                </c:pt>
                <c:pt idx="4">
                  <c:v>7.2108202465386</c:v>
                </c:pt>
                <c:pt idx="5">
                  <c:v>6.94127948647555</c:v>
                </c:pt>
                <c:pt idx="6">
                  <c:v>7.02815833468254</c:v>
                </c:pt>
                <c:pt idx="7">
                  <c:v>6.39395494771192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总表20230726!$BA$114:$BA$133</c:f>
              <c:numCache>
                <c:formatCode>0.00E+00</c:formatCode>
                <c:ptCount val="20"/>
                <c:pt idx="0">
                  <c:v>1.10590163310074e-5</c:v>
                </c:pt>
                <c:pt idx="1">
                  <c:v>1.05685849503558e-5</c:v>
                </c:pt>
                <c:pt idx="2">
                  <c:v>8.63220284622442e-6</c:v>
                </c:pt>
                <c:pt idx="3">
                  <c:v>8.68976538372684e-6</c:v>
                </c:pt>
                <c:pt idx="4">
                  <c:v>1.40091214636604e-5</c:v>
                </c:pt>
                <c:pt idx="5">
                  <c:v>1.25541972002306e-5</c:v>
                </c:pt>
                <c:pt idx="6">
                  <c:v>6.29251789525801e-6</c:v>
                </c:pt>
                <c:pt idx="7">
                  <c:v>1.03002110854659e-5</c:v>
                </c:pt>
                <c:pt idx="8">
                  <c:v>9.86423341865257e-6</c:v>
                </c:pt>
                <c:pt idx="9">
                  <c:v>0</c:v>
                </c:pt>
                <c:pt idx="10">
                  <c:v>3.51831332765248e-6</c:v>
                </c:pt>
                <c:pt idx="11">
                  <c:v>1.77410206417326e-6</c:v>
                </c:pt>
                <c:pt idx="12">
                  <c:v>2.63262951540622e-6</c:v>
                </c:pt>
                <c:pt idx="13">
                  <c:v>5.61259774766907e-6</c:v>
                </c:pt>
                <c:pt idx="14">
                  <c:v>6.8687529611976e-6</c:v>
                </c:pt>
                <c:pt idx="15">
                  <c:v>1.10918125453808e-5</c:v>
                </c:pt>
                <c:pt idx="16">
                  <c:v>4.92105772960229e-6</c:v>
                </c:pt>
                <c:pt idx="17">
                  <c:v>6.808451578485e-6</c:v>
                </c:pt>
                <c:pt idx="18">
                  <c:v>1.15582220114142e-5</c:v>
                </c:pt>
                <c:pt idx="19">
                  <c:v>1.15071665246487e-5</c:v>
                </c:pt>
              </c:numCache>
            </c:numRef>
          </c:xVal>
          <c:yVal>
            <c:numRef>
              <c:f>总表20230726!$AD$114:$AD$133</c:f>
              <c:numCache>
                <c:formatCode>0.000_ </c:formatCode>
                <c:ptCount val="20"/>
                <c:pt idx="0">
                  <c:v>6.63055943897094</c:v>
                </c:pt>
                <c:pt idx="1">
                  <c:v>6.27566754880175</c:v>
                </c:pt>
                <c:pt idx="2">
                  <c:v>5.63137278550661</c:v>
                </c:pt>
                <c:pt idx="3">
                  <c:v>7.75168812175796</c:v>
                </c:pt>
                <c:pt idx="4">
                  <c:v>7.91449116079493</c:v>
                </c:pt>
                <c:pt idx="5">
                  <c:v>7.474058542192</c:v>
                </c:pt>
                <c:pt idx="6">
                  <c:v>5.36805725901979</c:v>
                </c:pt>
                <c:pt idx="7">
                  <c:v>6.81472771164367</c:v>
                </c:pt>
                <c:pt idx="8">
                  <c:v>6.76663792663672</c:v>
                </c:pt>
                <c:pt idx="9">
                  <c:v>0</c:v>
                </c:pt>
                <c:pt idx="10">
                  <c:v>5.48563184196025</c:v>
                </c:pt>
                <c:pt idx="11">
                  <c:v>5.42567148527428</c:v>
                </c:pt>
                <c:pt idx="12">
                  <c:v>5.72022284969779</c:v>
                </c:pt>
                <c:pt idx="13">
                  <c:v>6.76101336288738</c:v>
                </c:pt>
                <c:pt idx="14">
                  <c:v>5.70787523311862</c:v>
                </c:pt>
                <c:pt idx="15">
                  <c:v>6.37546226757295</c:v>
                </c:pt>
                <c:pt idx="16">
                  <c:v>4.26482773119845</c:v>
                </c:pt>
                <c:pt idx="17">
                  <c:v>5.92210564108781</c:v>
                </c:pt>
                <c:pt idx="18">
                  <c:v>7.16397738755529</c:v>
                </c:pt>
                <c:pt idx="19">
                  <c:v>7.24056671583387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2e-6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Ek/J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@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5683da-0bdf-49e8-b0b3-cc4dc3c990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18617442338"/>
          <c:y val="0.0505706477658048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总表20230726!$AC$3:$AC$68</c:f>
              <c:numCache>
                <c:formatCode>0.000_ </c:formatCode>
                <c:ptCount val="66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0</c:v>
                </c:pt>
                <c:pt idx="46">
                  <c:v>0</c:v>
                </c:pt>
                <c:pt idx="47">
                  <c:v>858.530043063024</c:v>
                </c:pt>
                <c:pt idx="48">
                  <c:v>571.740935491015</c:v>
                </c:pt>
                <c:pt idx="49">
                  <c:v>24.6420438051209</c:v>
                </c:pt>
                <c:pt idx="50">
                  <c:v>23.0739996274934</c:v>
                </c:pt>
                <c:pt idx="51">
                  <c:v>26.6349515388322</c:v>
                </c:pt>
                <c:pt idx="52">
                  <c:v>23.6904115142342</c:v>
                </c:pt>
                <c:pt idx="53">
                  <c:v>15.5829884442118</c:v>
                </c:pt>
                <c:pt idx="54">
                  <c:v>15.5304393374087</c:v>
                </c:pt>
                <c:pt idx="55">
                  <c:v>12.9452596490475</c:v>
                </c:pt>
                <c:pt idx="56">
                  <c:v>13.8266134454377</c:v>
                </c:pt>
                <c:pt idx="57">
                  <c:v>13.5572034802801</c:v>
                </c:pt>
                <c:pt idx="58">
                  <c:v>17.0376579857058</c:v>
                </c:pt>
                <c:pt idx="59">
                  <c:v>12.3072678204838</c:v>
                </c:pt>
                <c:pt idx="60">
                  <c:v>16.6684934782528</c:v>
                </c:pt>
                <c:pt idx="61">
                  <c:v>13.8879335889062</c:v>
                </c:pt>
                <c:pt idx="62">
                  <c:v>18.6020114376394</c:v>
                </c:pt>
                <c:pt idx="63">
                  <c:v>16.1906887423071</c:v>
                </c:pt>
                <c:pt idx="64">
                  <c:v>19.9746945835606</c:v>
                </c:pt>
                <c:pt idx="65">
                  <c:v>37.0352165921172</c:v>
                </c:pt>
              </c:numCache>
            </c:numRef>
          </c:xVal>
          <c:yVal>
            <c:numRef>
              <c:f>总表20230726!$AA$3:$AA$68</c:f>
              <c:numCache>
                <c:formatCode>0.000000_ </c:formatCode>
                <c:ptCount val="66"/>
                <c:pt idx="0">
                  <c:v>0.00156320345330512</c:v>
                </c:pt>
                <c:pt idx="1">
                  <c:v>0.00154510775179051</c:v>
                </c:pt>
                <c:pt idx="2">
                  <c:v>0.0016483625286319</c:v>
                </c:pt>
                <c:pt idx="3">
                  <c:v>0.0014990007014024</c:v>
                </c:pt>
                <c:pt idx="4">
                  <c:v>0.00144487015160013</c:v>
                </c:pt>
                <c:pt idx="5">
                  <c:v>0.00143575679958388</c:v>
                </c:pt>
                <c:pt idx="6">
                  <c:v>0.0013459563421992</c:v>
                </c:pt>
                <c:pt idx="7">
                  <c:v>0.0014601683847812</c:v>
                </c:pt>
                <c:pt idx="8">
                  <c:v>0.00136917403574902</c:v>
                </c:pt>
                <c:pt idx="9">
                  <c:v>0.00139952188008319</c:v>
                </c:pt>
                <c:pt idx="10">
                  <c:v>0.00141311904509994</c:v>
                </c:pt>
                <c:pt idx="11">
                  <c:v>0.00112748012513518</c:v>
                </c:pt>
                <c:pt idx="12">
                  <c:v>0.00112344815011812</c:v>
                </c:pt>
                <c:pt idx="13">
                  <c:v>0.00112528803677558</c:v>
                </c:pt>
                <c:pt idx="14">
                  <c:v>0.00113200164611805</c:v>
                </c:pt>
                <c:pt idx="15">
                  <c:v>0.00112992329148895</c:v>
                </c:pt>
                <c:pt idx="16">
                  <c:v>0.00175057525713118</c:v>
                </c:pt>
                <c:pt idx="17">
                  <c:v>0.00173275075410634</c:v>
                </c:pt>
                <c:pt idx="18">
                  <c:v>0.00190436999185702</c:v>
                </c:pt>
                <c:pt idx="19">
                  <c:v>0.00201633771782216</c:v>
                </c:pt>
                <c:pt idx="20">
                  <c:v>0.00216749446777331</c:v>
                </c:pt>
                <c:pt idx="21">
                  <c:v>0.00168994957274352</c:v>
                </c:pt>
                <c:pt idx="22">
                  <c:v>0.00215011440859963</c:v>
                </c:pt>
                <c:pt idx="23">
                  <c:v>0.00220188660414056</c:v>
                </c:pt>
                <c:pt idx="24">
                  <c:v>0.00222019576052202</c:v>
                </c:pt>
                <c:pt idx="25">
                  <c:v>0.00209954401146699</c:v>
                </c:pt>
                <c:pt idx="26">
                  <c:v>0.00209149505591736</c:v>
                </c:pt>
                <c:pt idx="27">
                  <c:v>0.00200797902117415</c:v>
                </c:pt>
                <c:pt idx="28">
                  <c:v>0.00198494818465063</c:v>
                </c:pt>
                <c:pt idx="29">
                  <c:v>0.00200659867762683</c:v>
                </c:pt>
                <c:pt idx="30">
                  <c:v>0.00198118568043834</c:v>
                </c:pt>
                <c:pt idx="31">
                  <c:v>0.00225471248226262</c:v>
                </c:pt>
                <c:pt idx="32">
                  <c:v>0.00217396943901787</c:v>
                </c:pt>
                <c:pt idx="33">
                  <c:v>0.00215492154926932</c:v>
                </c:pt>
                <c:pt idx="34">
                  <c:v>0.00217410467374145</c:v>
                </c:pt>
                <c:pt idx="35">
                  <c:v>0.00216744375255596</c:v>
                </c:pt>
                <c:pt idx="36">
                  <c:v>0.00209332557239659</c:v>
                </c:pt>
                <c:pt idx="37">
                  <c:v>0.00212906697460238</c:v>
                </c:pt>
                <c:pt idx="38">
                  <c:v>0.00209968478604059</c:v>
                </c:pt>
                <c:pt idx="39">
                  <c:v>0.00206478955683072</c:v>
                </c:pt>
                <c:pt idx="40">
                  <c:v>0.00210181737041734</c:v>
                </c:pt>
                <c:pt idx="41">
                  <c:v>0.00194203202032561</c:v>
                </c:pt>
                <c:pt idx="42">
                  <c:v>0.00208313405838845</c:v>
                </c:pt>
                <c:pt idx="43">
                  <c:v>0.00212028775100982</c:v>
                </c:pt>
                <c:pt idx="44">
                  <c:v>0.0020990378289909</c:v>
                </c:pt>
                <c:pt idx="45">
                  <c:v>0</c:v>
                </c:pt>
                <c:pt idx="46">
                  <c:v>0</c:v>
                </c:pt>
                <c:pt idx="47">
                  <c:v>0.00167688454397818</c:v>
                </c:pt>
                <c:pt idx="48">
                  <c:v>0.00159186175839385</c:v>
                </c:pt>
                <c:pt idx="49">
                  <c:v>0.00168721357171723</c:v>
                </c:pt>
                <c:pt idx="50">
                  <c:v>0.00161908724819553</c:v>
                </c:pt>
                <c:pt idx="51">
                  <c:v>0.00169196013366231</c:v>
                </c:pt>
                <c:pt idx="52">
                  <c:v>0.00162796582940207</c:v>
                </c:pt>
                <c:pt idx="53">
                  <c:v>0.00161690596426855</c:v>
                </c:pt>
                <c:pt idx="54">
                  <c:v>0.00169065542682392</c:v>
                </c:pt>
                <c:pt idx="55">
                  <c:v>0.00169910654954558</c:v>
                </c:pt>
                <c:pt idx="56">
                  <c:v>0.00181571211357364</c:v>
                </c:pt>
                <c:pt idx="57">
                  <c:v>0.00180352347097735</c:v>
                </c:pt>
                <c:pt idx="58">
                  <c:v>0.00178396183621097</c:v>
                </c:pt>
                <c:pt idx="59">
                  <c:v>0.00175951889087487</c:v>
                </c:pt>
                <c:pt idx="60">
                  <c:v>0.00176230597140938</c:v>
                </c:pt>
                <c:pt idx="61">
                  <c:v>0.00167515660800102</c:v>
                </c:pt>
                <c:pt idx="62">
                  <c:v>0.00163470937535416</c:v>
                </c:pt>
                <c:pt idx="63">
                  <c:v>0.00167274845943137</c:v>
                </c:pt>
                <c:pt idx="64">
                  <c:v>0.00167841223506656</c:v>
                </c:pt>
                <c:pt idx="65">
                  <c:v>0.00167143125703386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总表20230726!$AC$105:$AC$112</c:f>
              <c:numCache>
                <c:formatCode>0.000_ </c:formatCode>
                <c:ptCount val="8"/>
                <c:pt idx="0">
                  <c:v>55.444923712212</c:v>
                </c:pt>
                <c:pt idx="1">
                  <c:v>32.6196151074485</c:v>
                </c:pt>
                <c:pt idx="2">
                  <c:v>73.1477259148072</c:v>
                </c:pt>
                <c:pt idx="3">
                  <c:v>49.0263599167785</c:v>
                </c:pt>
                <c:pt idx="4">
                  <c:v>34.1842813220638</c:v>
                </c:pt>
                <c:pt idx="5">
                  <c:v>45.7512450044818</c:v>
                </c:pt>
                <c:pt idx="6">
                  <c:v>47.2830231818111</c:v>
                </c:pt>
                <c:pt idx="7">
                  <c:v>45.8443161857168</c:v>
                </c:pt>
              </c:numCache>
            </c:numRef>
          </c:xVal>
          <c:yVal>
            <c:numRef>
              <c:f>总表20230726!$AA$105:$AA$112</c:f>
              <c:numCache>
                <c:formatCode>0.000000_ </c:formatCode>
                <c:ptCount val="8"/>
                <c:pt idx="0">
                  <c:v>0.00225192699537618</c:v>
                </c:pt>
                <c:pt idx="1">
                  <c:v>0.00234080280595721</c:v>
                </c:pt>
                <c:pt idx="2">
                  <c:v>0.00236751307877695</c:v>
                </c:pt>
                <c:pt idx="3">
                  <c:v>0.00222609391024175</c:v>
                </c:pt>
                <c:pt idx="4">
                  <c:v>0.00235684279807455</c:v>
                </c:pt>
                <c:pt idx="5">
                  <c:v>0.00231237383660544</c:v>
                </c:pt>
                <c:pt idx="6">
                  <c:v>0.00232679997098468</c:v>
                </c:pt>
                <c:pt idx="7">
                  <c:v>0.00221933604712648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总表20230726!$AC$114:$AC$133</c:f>
              <c:numCache>
                <c:formatCode>0.000_ </c:formatCode>
                <c:ptCount val="20"/>
                <c:pt idx="0">
                  <c:v>68.4627284988786</c:v>
                </c:pt>
                <c:pt idx="1">
                  <c:v>69.1265353349016</c:v>
                </c:pt>
                <c:pt idx="2">
                  <c:v>62.9209449284804</c:v>
                </c:pt>
                <c:pt idx="3">
                  <c:v>46.0150222639026</c:v>
                </c:pt>
                <c:pt idx="4">
                  <c:v>72.6567184524275</c:v>
                </c:pt>
                <c:pt idx="5">
                  <c:v>68.9477864182706</c:v>
                </c:pt>
                <c:pt idx="6">
                  <c:v>48.1166293082462</c:v>
                </c:pt>
                <c:pt idx="7">
                  <c:v>62.0419577538728</c:v>
                </c:pt>
                <c:pt idx="8">
                  <c:v>59.8381665890039</c:v>
                </c:pt>
                <c:pt idx="9">
                  <c:v>0</c:v>
                </c:pt>
                <c:pt idx="10">
                  <c:v>26.3266580613044</c:v>
                </c:pt>
                <c:pt idx="11">
                  <c:v>13.4218686186445</c:v>
                </c:pt>
                <c:pt idx="12">
                  <c:v>18.8914230753295</c:v>
                </c:pt>
                <c:pt idx="13">
                  <c:v>34.0753244730079</c:v>
                </c:pt>
                <c:pt idx="14">
                  <c:v>49.3959454344645</c:v>
                </c:pt>
                <c:pt idx="15">
                  <c:v>71.4132368412993</c:v>
                </c:pt>
                <c:pt idx="16">
                  <c:v>47.3636150846312</c:v>
                </c:pt>
                <c:pt idx="17">
                  <c:v>47.1910977027488</c:v>
                </c:pt>
                <c:pt idx="18">
                  <c:v>66.2254171305913</c:v>
                </c:pt>
                <c:pt idx="19">
                  <c:v>65.235457889892</c:v>
                </c:pt>
              </c:numCache>
            </c:numRef>
          </c:xVal>
          <c:yVal>
            <c:numRef>
              <c:f>总表20230726!$AA$114:$AA$133</c:f>
              <c:numCache>
                <c:formatCode>0.000000_ </c:formatCode>
                <c:ptCount val="20"/>
                <c:pt idx="0">
                  <c:v>0.00226002564660153</c:v>
                </c:pt>
                <c:pt idx="1">
                  <c:v>0.00219871148865214</c:v>
                </c:pt>
                <c:pt idx="2">
                  <c:v>0.002082789694128</c:v>
                </c:pt>
                <c:pt idx="3">
                  <c:v>0.00244363550600385</c:v>
                </c:pt>
                <c:pt idx="4">
                  <c:v>0.00246916311314968</c:v>
                </c:pt>
                <c:pt idx="5">
                  <c:v>0.00239947665436238</c:v>
                </c:pt>
                <c:pt idx="6">
                  <c:v>0.00203351252191321</c:v>
                </c:pt>
                <c:pt idx="7">
                  <c:v>0.00229119754439041</c:v>
                </c:pt>
                <c:pt idx="8">
                  <c:v>0.00228309903521111</c:v>
                </c:pt>
                <c:pt idx="9">
                  <c:v>0</c:v>
                </c:pt>
                <c:pt idx="10">
                  <c:v>0.00205566153666183</c:v>
                </c:pt>
                <c:pt idx="11">
                  <c:v>0.00204439602773899</c:v>
                </c:pt>
                <c:pt idx="12">
                  <c:v>0.00209915619729952</c:v>
                </c:pt>
                <c:pt idx="13">
                  <c:v>0.00228214995933084</c:v>
                </c:pt>
                <c:pt idx="14">
                  <c:v>0.00209688936442451</c:v>
                </c:pt>
                <c:pt idx="15">
                  <c:v>0.00221612432682678</c:v>
                </c:pt>
                <c:pt idx="16">
                  <c:v>0.00181254596135072</c:v>
                </c:pt>
                <c:pt idx="17">
                  <c:v>0.00213587757658587</c:v>
                </c:pt>
                <c:pt idx="18">
                  <c:v>0.00234917507563188</c:v>
                </c:pt>
                <c:pt idx="19">
                  <c:v>0.00236169908315737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R/m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00_);[Red]\(#,##0.0000\)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65163839182"/>
          <c:y val="0.316724834680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6c5aee-bcdb-45ab-a0ef-e06c80d27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37015907454909"/>
          <c:y val="0.0423668992261232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总表20230726!$AC$3:$AC$146</c:f>
              <c:numCache>
                <c:formatCode>0.000_ </c:formatCode>
                <c:ptCount val="110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0</c:v>
                </c:pt>
                <c:pt idx="46">
                  <c:v>0</c:v>
                </c:pt>
                <c:pt idx="47">
                  <c:v>858.530043063024</c:v>
                </c:pt>
                <c:pt idx="48">
                  <c:v>571.740935491015</c:v>
                </c:pt>
                <c:pt idx="49">
                  <c:v>24.6420438051209</c:v>
                </c:pt>
                <c:pt idx="50">
                  <c:v>23.0739996274934</c:v>
                </c:pt>
                <c:pt idx="51">
                  <c:v>26.6349515388322</c:v>
                </c:pt>
                <c:pt idx="52">
                  <c:v>23.6904115142342</c:v>
                </c:pt>
                <c:pt idx="53">
                  <c:v>15.5829884442118</c:v>
                </c:pt>
                <c:pt idx="54">
                  <c:v>15.5304393374087</c:v>
                </c:pt>
                <c:pt idx="55">
                  <c:v>12.9452596490475</c:v>
                </c:pt>
                <c:pt idx="56">
                  <c:v>13.8266134454377</c:v>
                </c:pt>
                <c:pt idx="57">
                  <c:v>13.5572034802801</c:v>
                </c:pt>
                <c:pt idx="58">
                  <c:v>17.0376579857058</c:v>
                </c:pt>
                <c:pt idx="59">
                  <c:v>12.3072678204838</c:v>
                </c:pt>
                <c:pt idx="60">
                  <c:v>16.6684934782528</c:v>
                </c:pt>
                <c:pt idx="61">
                  <c:v>13.8879335889062</c:v>
                </c:pt>
                <c:pt idx="62">
                  <c:v>18.6020114376394</c:v>
                </c:pt>
                <c:pt idx="63">
                  <c:v>16.1906887423071</c:v>
                </c:pt>
                <c:pt idx="64">
                  <c:v>19.9746945835606</c:v>
                </c:pt>
                <c:pt idx="65">
                  <c:v>37.0352165921172</c:v>
                </c:pt>
                <c:pt idx="66">
                  <c:v>10.7284768211921</c:v>
                </c:pt>
                <c:pt idx="67">
                  <c:v>58.4105960264901</c:v>
                </c:pt>
                <c:pt idx="68">
                  <c:v>55.444923712212</c:v>
                </c:pt>
                <c:pt idx="69">
                  <c:v>32.6196151074485</c:v>
                </c:pt>
                <c:pt idx="70">
                  <c:v>73.1477259148072</c:v>
                </c:pt>
                <c:pt idx="71">
                  <c:v>49.0263599167785</c:v>
                </c:pt>
                <c:pt idx="72">
                  <c:v>34.1842813220638</c:v>
                </c:pt>
                <c:pt idx="73">
                  <c:v>45.7512450044818</c:v>
                </c:pt>
                <c:pt idx="74">
                  <c:v>47.2830231818111</c:v>
                </c:pt>
                <c:pt idx="75">
                  <c:v>45.8443161857168</c:v>
                </c:pt>
                <c:pt idx="76">
                  <c:v>64.987355172409</c:v>
                </c:pt>
                <c:pt idx="77">
                  <c:v>68.4627284988786</c:v>
                </c:pt>
                <c:pt idx="78">
                  <c:v>69.1265353349016</c:v>
                </c:pt>
                <c:pt idx="79">
                  <c:v>62.9209449284804</c:v>
                </c:pt>
                <c:pt idx="80">
                  <c:v>46.0150222639026</c:v>
                </c:pt>
                <c:pt idx="81">
                  <c:v>72.6567184524275</c:v>
                </c:pt>
                <c:pt idx="82">
                  <c:v>68.9477864182706</c:v>
                </c:pt>
                <c:pt idx="83">
                  <c:v>48.1166293082462</c:v>
                </c:pt>
                <c:pt idx="84">
                  <c:v>62.0419577538728</c:v>
                </c:pt>
                <c:pt idx="85">
                  <c:v>59.8381665890039</c:v>
                </c:pt>
                <c:pt idx="86">
                  <c:v>0</c:v>
                </c:pt>
                <c:pt idx="87">
                  <c:v>26.3266580613044</c:v>
                </c:pt>
                <c:pt idx="88">
                  <c:v>13.4218686186445</c:v>
                </c:pt>
                <c:pt idx="89">
                  <c:v>18.8914230753295</c:v>
                </c:pt>
                <c:pt idx="90">
                  <c:v>34.0753244730079</c:v>
                </c:pt>
                <c:pt idx="91">
                  <c:v>49.3959454344645</c:v>
                </c:pt>
                <c:pt idx="92">
                  <c:v>71.4132368412993</c:v>
                </c:pt>
                <c:pt idx="93">
                  <c:v>47.3636150846312</c:v>
                </c:pt>
                <c:pt idx="94">
                  <c:v>47.1910977027488</c:v>
                </c:pt>
                <c:pt idx="95">
                  <c:v>66.2254171305913</c:v>
                </c:pt>
                <c:pt idx="96">
                  <c:v>65.235457889892</c:v>
                </c:pt>
                <c:pt idx="97">
                  <c:v>44.3629963048309</c:v>
                </c:pt>
                <c:pt idx="98">
                  <c:v>48.3030343267227</c:v>
                </c:pt>
                <c:pt idx="99">
                  <c:v>76.444712506169</c:v>
                </c:pt>
                <c:pt idx="100">
                  <c:v>66.8708298533672</c:v>
                </c:pt>
                <c:pt idx="101">
                  <c:v>63.3328594930313</c:v>
                </c:pt>
                <c:pt idx="102">
                  <c:v>4.67332200319995</c:v>
                </c:pt>
                <c:pt idx="103">
                  <c:v>4.80712365952613</c:v>
                </c:pt>
                <c:pt idx="104">
                  <c:v>10.4614615211083</c:v>
                </c:pt>
                <c:pt idx="105">
                  <c:v>5.81124053144785</c:v>
                </c:pt>
                <c:pt idx="106">
                  <c:v>21.0154697093438</c:v>
                </c:pt>
                <c:pt idx="107">
                  <c:v>12.2958788861858</c:v>
                </c:pt>
                <c:pt idx="108">
                  <c:v>11.7567537180253</c:v>
                </c:pt>
                <c:pt idx="109">
                  <c:v>4.70058338927306</c:v>
                </c:pt>
              </c:numCache>
            </c:numRef>
          </c:xVal>
          <c:yVal>
            <c:numRef>
              <c:f>总表20230726!$AD$3:$AD$146</c:f>
              <c:numCache>
                <c:formatCode>0.000_ </c:formatCode>
                <c:ptCount val="110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  <c:pt idx="21">
                  <c:v>3.70741266252123</c:v>
                </c:pt>
                <c:pt idx="22">
                  <c:v>6.00131712564687</c:v>
                </c:pt>
                <c:pt idx="23">
                  <c:v>6.29380576901394</c:v>
                </c:pt>
                <c:pt idx="24">
                  <c:v>6.39890961279557</c:v>
                </c:pt>
                <c:pt idx="25">
                  <c:v>5.72233664035863</c:v>
                </c:pt>
                <c:pt idx="26">
                  <c:v>5.67854565921208</c:v>
                </c:pt>
                <c:pt idx="27">
                  <c:v>5.2340971555774</c:v>
                </c:pt>
                <c:pt idx="28">
                  <c:v>5.11471908842709</c:v>
                </c:pt>
                <c:pt idx="29">
                  <c:v>5.22690348585162</c:v>
                </c:pt>
                <c:pt idx="30">
                  <c:v>5.09534738547879</c:v>
                </c:pt>
                <c:pt idx="31">
                  <c:v>6.59942010987446</c:v>
                </c:pt>
                <c:pt idx="32">
                  <c:v>6.13522234921878</c:v>
                </c:pt>
                <c:pt idx="33">
                  <c:v>6.02818213844176</c:v>
                </c:pt>
                <c:pt idx="34">
                  <c:v>6.13598567264896</c:v>
                </c:pt>
                <c:pt idx="35">
                  <c:v>6.09844497129276</c:v>
                </c:pt>
                <c:pt idx="36">
                  <c:v>5.68848995258772</c:v>
                </c:pt>
                <c:pt idx="37">
                  <c:v>5.88439861101181</c:v>
                </c:pt>
                <c:pt idx="38">
                  <c:v>5.72310403223283</c:v>
                </c:pt>
                <c:pt idx="39">
                  <c:v>5.53445712756113</c:v>
                </c:pt>
                <c:pt idx="40">
                  <c:v>5.73473549277107</c:v>
                </c:pt>
                <c:pt idx="41">
                  <c:v>4.89594138999651</c:v>
                </c:pt>
                <c:pt idx="42">
                  <c:v>5.63323509915774</c:v>
                </c:pt>
                <c:pt idx="43">
                  <c:v>5.83596994192761</c:v>
                </c:pt>
                <c:pt idx="44">
                  <c:v>5.71957775809919</c:v>
                </c:pt>
                <c:pt idx="45">
                  <c:v>0</c:v>
                </c:pt>
                <c:pt idx="46">
                  <c:v>0</c:v>
                </c:pt>
                <c:pt idx="47">
                  <c:v>3.65031010931607</c:v>
                </c:pt>
                <c:pt idx="48">
                  <c:v>3.28953216300107</c:v>
                </c:pt>
                <c:pt idx="49">
                  <c:v>3.69541789777316</c:v>
                </c:pt>
                <c:pt idx="50">
                  <c:v>3.40301561758373</c:v>
                </c:pt>
                <c:pt idx="51">
                  <c:v>3.7162394502436</c:v>
                </c:pt>
                <c:pt idx="52">
                  <c:v>3.44044015118003</c:v>
                </c:pt>
                <c:pt idx="53">
                  <c:v>3.39385250043867</c:v>
                </c:pt>
                <c:pt idx="54">
                  <c:v>3.71051031573697</c:v>
                </c:pt>
                <c:pt idx="55">
                  <c:v>3.74769867772342</c:v>
                </c:pt>
                <c:pt idx="56">
                  <c:v>4.27974033223633</c:v>
                </c:pt>
                <c:pt idx="57">
                  <c:v>4.22247449251643</c:v>
                </c:pt>
                <c:pt idx="58">
                  <c:v>4.13137442169454</c:v>
                </c:pt>
                <c:pt idx="59">
                  <c:v>4.01893799135279</c:v>
                </c:pt>
                <c:pt idx="60">
                  <c:v>4.03168008259807</c:v>
                </c:pt>
                <c:pt idx="61">
                  <c:v>3.64279110340268</c:v>
                </c:pt>
                <c:pt idx="62">
                  <c:v>3.46900195299014</c:v>
                </c:pt>
                <c:pt idx="63">
                  <c:v>3.63232512463612</c:v>
                </c:pt>
                <c:pt idx="64">
                  <c:v>3.65696421850038</c:v>
                </c:pt>
                <c:pt idx="65">
                  <c:v>3.62660684277443</c:v>
                </c:pt>
                <c:pt idx="66">
                  <c:v>4.20599205298013</c:v>
                </c:pt>
                <c:pt idx="67">
                  <c:v>4.20599205298013</c:v>
                </c:pt>
                <c:pt idx="68">
                  <c:v>6.58312424658697</c:v>
                </c:pt>
                <c:pt idx="69">
                  <c:v>7.11300471076456</c:v>
                </c:pt>
                <c:pt idx="70">
                  <c:v>7.2762600350121</c:v>
                </c:pt>
                <c:pt idx="71">
                  <c:v>6.43295333070307</c:v>
                </c:pt>
                <c:pt idx="72">
                  <c:v>7.2108202465386</c:v>
                </c:pt>
                <c:pt idx="73">
                  <c:v>6.94127948647555</c:v>
                </c:pt>
                <c:pt idx="74">
                  <c:v>7.02815833468254</c:v>
                </c:pt>
                <c:pt idx="75">
                  <c:v>6.39395494771192</c:v>
                </c:pt>
                <c:pt idx="76">
                  <c:v>6.51366972349799</c:v>
                </c:pt>
                <c:pt idx="77">
                  <c:v>6.63055943897094</c:v>
                </c:pt>
                <c:pt idx="78">
                  <c:v>6.27566754880175</c:v>
                </c:pt>
                <c:pt idx="79">
                  <c:v>5.63137278550661</c:v>
                </c:pt>
                <c:pt idx="80">
                  <c:v>7.75168812175796</c:v>
                </c:pt>
                <c:pt idx="81">
                  <c:v>7.91449116079493</c:v>
                </c:pt>
                <c:pt idx="82">
                  <c:v>7.474058542192</c:v>
                </c:pt>
                <c:pt idx="83">
                  <c:v>5.36805725901979</c:v>
                </c:pt>
                <c:pt idx="84">
                  <c:v>6.81472771164367</c:v>
                </c:pt>
                <c:pt idx="85">
                  <c:v>6.76663792663672</c:v>
                </c:pt>
                <c:pt idx="86">
                  <c:v>0</c:v>
                </c:pt>
                <c:pt idx="87">
                  <c:v>5.48563184196025</c:v>
                </c:pt>
                <c:pt idx="88">
                  <c:v>5.42567148527428</c:v>
                </c:pt>
                <c:pt idx="89">
                  <c:v>5.72022284969779</c:v>
                </c:pt>
                <c:pt idx="90">
                  <c:v>6.76101336288738</c:v>
                </c:pt>
                <c:pt idx="91">
                  <c:v>5.70787523311862</c:v>
                </c:pt>
                <c:pt idx="92">
                  <c:v>6.37546226757295</c:v>
                </c:pt>
                <c:pt idx="93">
                  <c:v>4.26482773119845</c:v>
                </c:pt>
                <c:pt idx="94">
                  <c:v>5.92210564108781</c:v>
                </c:pt>
                <c:pt idx="95">
                  <c:v>7.16397738755529</c:v>
                </c:pt>
                <c:pt idx="96">
                  <c:v>7.24056671583387</c:v>
                </c:pt>
                <c:pt idx="97">
                  <c:v>4.1172167318314</c:v>
                </c:pt>
                <c:pt idx="98">
                  <c:v>5.40903826920729</c:v>
                </c:pt>
                <c:pt idx="99">
                  <c:v>7.23886517323909</c:v>
                </c:pt>
                <c:pt idx="100">
                  <c:v>6.80767066541797</c:v>
                </c:pt>
                <c:pt idx="101">
                  <c:v>5.63178216429892</c:v>
                </c:pt>
                <c:pt idx="102">
                  <c:v>4.65870772563559</c:v>
                </c:pt>
                <c:pt idx="103">
                  <c:v>4.28586796304164</c:v>
                </c:pt>
                <c:pt idx="104">
                  <c:v>4.78534819310389</c:v>
                </c:pt>
                <c:pt idx="105">
                  <c:v>5.34628446694607</c:v>
                </c:pt>
                <c:pt idx="106">
                  <c:v>5.3536430805485</c:v>
                </c:pt>
                <c:pt idx="107">
                  <c:v>5.89714147165139</c:v>
                </c:pt>
                <c:pt idx="108">
                  <c:v>3.95587142181358</c:v>
                </c:pt>
                <c:pt idx="109">
                  <c:v>6.46849295543211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总表20230726!$AC$147:$AC$173</c:f>
              <c:numCache>
                <c:formatCode>0.000_ </c:formatCode>
                <c:ptCount val="27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  <c:pt idx="8">
                  <c:v>635.112698555686</c:v>
                </c:pt>
                <c:pt idx="9">
                  <c:v>17.6762620221036</c:v>
                </c:pt>
                <c:pt idx="10">
                  <c:v>66.5084317002728</c:v>
                </c:pt>
                <c:pt idx="11">
                  <c:v>57.1667728221044</c:v>
                </c:pt>
                <c:pt idx="12">
                  <c:v>55.2063118459332</c:v>
                </c:pt>
                <c:pt idx="13">
                  <c:v>29.8637919741131</c:v>
                </c:pt>
                <c:pt idx="14">
                  <c:v>40.0582750048141</c:v>
                </c:pt>
                <c:pt idx="15">
                  <c:v>62.8297848137785</c:v>
                </c:pt>
                <c:pt idx="16">
                  <c:v>43.8152142185353</c:v>
                </c:pt>
                <c:pt idx="17">
                  <c:v>49.224402746734</c:v>
                </c:pt>
                <c:pt idx="18">
                  <c:v>51.5170645732932</c:v>
                </c:pt>
                <c:pt idx="19">
                  <c:v>50.1483830024946</c:v>
                </c:pt>
                <c:pt idx="20">
                  <c:v>67.7240322972302</c:v>
                </c:pt>
                <c:pt idx="21">
                  <c:v>44.8088866456813</c:v>
                </c:pt>
                <c:pt idx="22">
                  <c:v>7.77047472875209</c:v>
                </c:pt>
                <c:pt idx="23">
                  <c:v>0</c:v>
                </c:pt>
                <c:pt idx="24">
                  <c:v>17.8943470098128</c:v>
                </c:pt>
                <c:pt idx="25">
                  <c:v>11.0021101286247</c:v>
                </c:pt>
                <c:pt idx="26">
                  <c:v>17.3515157394854</c:v>
                </c:pt>
              </c:numCache>
            </c:numRef>
          </c:xVal>
          <c:yVal>
            <c:numRef>
              <c:f>总表20230726!$AD$147:$AD$173</c:f>
              <c:numCache>
                <c:formatCode>0.000_ </c:formatCode>
                <c:ptCount val="27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  <c:pt idx="8">
                  <c:v>4.44982822350614</c:v>
                </c:pt>
                <c:pt idx="9">
                  <c:v>6.28570007921685</c:v>
                </c:pt>
                <c:pt idx="10">
                  <c:v>5.15956443208434</c:v>
                </c:pt>
                <c:pt idx="11">
                  <c:v>6.15732946917909</c:v>
                </c:pt>
                <c:pt idx="12">
                  <c:v>6.91796593064418</c:v>
                </c:pt>
                <c:pt idx="13">
                  <c:v>3.30482516991645</c:v>
                </c:pt>
                <c:pt idx="14">
                  <c:v>3.26019705018494</c:v>
                </c:pt>
                <c:pt idx="15">
                  <c:v>7.3598406624916</c:v>
                </c:pt>
                <c:pt idx="16">
                  <c:v>3.85543873631613</c:v>
                </c:pt>
                <c:pt idx="17">
                  <c:v>3.85010850895821</c:v>
                </c:pt>
                <c:pt idx="18">
                  <c:v>4.57347821492015</c:v>
                </c:pt>
                <c:pt idx="19">
                  <c:v>4.2741678599179</c:v>
                </c:pt>
                <c:pt idx="20">
                  <c:v>7.18716979071478</c:v>
                </c:pt>
                <c:pt idx="21">
                  <c:v>3.79658296628963</c:v>
                </c:pt>
                <c:pt idx="22">
                  <c:v>4.89584972917858</c:v>
                </c:pt>
                <c:pt idx="23">
                  <c:v>0</c:v>
                </c:pt>
                <c:pt idx="24">
                  <c:v>6.53933829633019</c:v>
                </c:pt>
                <c:pt idx="25">
                  <c:v>5.43954882457774</c:v>
                </c:pt>
                <c:pt idx="26">
                  <c:v>5.53949865128933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总表20230726!$AC$174:$AC$218</c:f>
              <c:numCache>
                <c:formatCode>0.000_ </c:formatCode>
                <c:ptCount val="45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11.1692033723287</c:v>
                </c:pt>
                <c:pt idx="10">
                  <c:v>14.3635317606801</c:v>
                </c:pt>
                <c:pt idx="11">
                  <c:v>11.7743348628131</c:v>
                </c:pt>
                <c:pt idx="12">
                  <c:v>11.9354918465566</c:v>
                </c:pt>
                <c:pt idx="13">
                  <c:v>7.57333273586413</c:v>
                </c:pt>
                <c:pt idx="14">
                  <c:v>7.3628658312843</c:v>
                </c:pt>
                <c:pt idx="15">
                  <c:v>8.57526122054116</c:v>
                </c:pt>
                <c:pt idx="16">
                  <c:v>10.1319280992112</c:v>
                </c:pt>
                <c:pt idx="17">
                  <c:v>9.89573164790353</c:v>
                </c:pt>
                <c:pt idx="18">
                  <c:v>0</c:v>
                </c:pt>
                <c:pt idx="19">
                  <c:v>8.82620931709272</c:v>
                </c:pt>
                <c:pt idx="20">
                  <c:v>7.4685765857068</c:v>
                </c:pt>
                <c:pt idx="21">
                  <c:v>6.88423933298256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15.5148094154257</c:v>
                </c:pt>
                <c:pt idx="29">
                  <c:v>5.0898037752343</c:v>
                </c:pt>
                <c:pt idx="30">
                  <c:v>0</c:v>
                </c:pt>
                <c:pt idx="31">
                  <c:v>13.461670782126</c:v>
                </c:pt>
                <c:pt idx="32">
                  <c:v>0</c:v>
                </c:pt>
                <c:pt idx="33">
                  <c:v>14.711417622086</c:v>
                </c:pt>
                <c:pt idx="34">
                  <c:v>10.3023808355658</c:v>
                </c:pt>
                <c:pt idx="35">
                  <c:v>19.9028834285661</c:v>
                </c:pt>
                <c:pt idx="36">
                  <c:v>4.25837465938043</c:v>
                </c:pt>
                <c:pt idx="37">
                  <c:v>9.03118301341914</c:v>
                </c:pt>
                <c:pt idx="38">
                  <c:v>17.5952534122701</c:v>
                </c:pt>
                <c:pt idx="39">
                  <c:v>14.5158445484009</c:v>
                </c:pt>
                <c:pt idx="40">
                  <c:v>25.7068249437963</c:v>
                </c:pt>
                <c:pt idx="41">
                  <c:v>23.3386904345037</c:v>
                </c:pt>
                <c:pt idx="42">
                  <c:v>15.2230878931005</c:v>
                </c:pt>
                <c:pt idx="43">
                  <c:v>6.44844743369992</c:v>
                </c:pt>
                <c:pt idx="44">
                  <c:v>2.99576515695992</c:v>
                </c:pt>
              </c:numCache>
            </c:numRef>
          </c:xVal>
          <c:yVal>
            <c:numRef>
              <c:f>总表20230726!$AD$174:$AD$218</c:f>
              <c:numCache>
                <c:formatCode>0.000_ </c:formatCode>
                <c:ptCount val="45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1.57362928709765</c:v>
                </c:pt>
                <c:pt idx="10">
                  <c:v>1.79600423030684</c:v>
                </c:pt>
                <c:pt idx="11">
                  <c:v>1.68552385979283</c:v>
                </c:pt>
                <c:pt idx="12">
                  <c:v>1.66627746154534</c:v>
                </c:pt>
                <c:pt idx="13">
                  <c:v>1.64636675554716</c:v>
                </c:pt>
                <c:pt idx="14">
                  <c:v>1.4633328844295</c:v>
                </c:pt>
                <c:pt idx="15">
                  <c:v>1.69673331276319</c:v>
                </c:pt>
                <c:pt idx="16">
                  <c:v>1.63404837615802</c:v>
                </c:pt>
                <c:pt idx="17">
                  <c:v>1.49148551464658</c:v>
                </c:pt>
                <c:pt idx="18">
                  <c:v>0</c:v>
                </c:pt>
                <c:pt idx="19">
                  <c:v>3.14683940653703</c:v>
                </c:pt>
                <c:pt idx="20">
                  <c:v>3.50334349817808</c:v>
                </c:pt>
                <c:pt idx="21">
                  <c:v>3.26444724461408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5.72691665765607</c:v>
                </c:pt>
                <c:pt idx="29">
                  <c:v>4.94587045399771</c:v>
                </c:pt>
                <c:pt idx="30">
                  <c:v>0</c:v>
                </c:pt>
                <c:pt idx="31">
                  <c:v>5.11956626921921</c:v>
                </c:pt>
                <c:pt idx="32">
                  <c:v>0</c:v>
                </c:pt>
                <c:pt idx="33">
                  <c:v>5.63906642370967</c:v>
                </c:pt>
                <c:pt idx="34">
                  <c:v>5.64576078760546</c:v>
                </c:pt>
                <c:pt idx="35">
                  <c:v>4.71340297631085</c:v>
                </c:pt>
                <c:pt idx="36">
                  <c:v>4.25880647190897</c:v>
                </c:pt>
                <c:pt idx="37">
                  <c:v>5.16391494798663</c:v>
                </c:pt>
                <c:pt idx="38">
                  <c:v>5.85086639651386</c:v>
                </c:pt>
                <c:pt idx="39">
                  <c:v>5.19011733989259</c:v>
                </c:pt>
                <c:pt idx="40">
                  <c:v>6.67840918668214</c:v>
                </c:pt>
                <c:pt idx="41">
                  <c:v>6.39012679972256</c:v>
                </c:pt>
                <c:pt idx="42">
                  <c:v>6.65609803648866</c:v>
                </c:pt>
                <c:pt idx="43">
                  <c:v>1.70589820848416</c:v>
                </c:pt>
                <c:pt idx="44">
                  <c:v>1.73772162651171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81056d-7a22-41a9-a24f-477e4cd94842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37015907454909"/>
          <c:y val="0.0443252399774139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总表20230726!$AC$3:$AC$146</c:f>
              <c:numCache>
                <c:formatCode>0.000_ </c:formatCode>
                <c:ptCount val="110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0</c:v>
                </c:pt>
                <c:pt idx="46">
                  <c:v>0</c:v>
                </c:pt>
                <c:pt idx="47">
                  <c:v>858.530043063024</c:v>
                </c:pt>
                <c:pt idx="48">
                  <c:v>571.740935491015</c:v>
                </c:pt>
                <c:pt idx="49">
                  <c:v>24.6420438051209</c:v>
                </c:pt>
                <c:pt idx="50">
                  <c:v>23.0739996274934</c:v>
                </c:pt>
                <c:pt idx="51">
                  <c:v>26.6349515388322</c:v>
                </c:pt>
                <c:pt idx="52">
                  <c:v>23.6904115142342</c:v>
                </c:pt>
                <c:pt idx="53">
                  <c:v>15.5829884442118</c:v>
                </c:pt>
                <c:pt idx="54">
                  <c:v>15.5304393374087</c:v>
                </c:pt>
                <c:pt idx="55">
                  <c:v>12.9452596490475</c:v>
                </c:pt>
                <c:pt idx="56">
                  <c:v>13.8266134454377</c:v>
                </c:pt>
                <c:pt idx="57">
                  <c:v>13.5572034802801</c:v>
                </c:pt>
                <c:pt idx="58">
                  <c:v>17.0376579857058</c:v>
                </c:pt>
                <c:pt idx="59">
                  <c:v>12.3072678204838</c:v>
                </c:pt>
                <c:pt idx="60">
                  <c:v>16.6684934782528</c:v>
                </c:pt>
                <c:pt idx="61">
                  <c:v>13.8879335889062</c:v>
                </c:pt>
                <c:pt idx="62">
                  <c:v>18.6020114376394</c:v>
                </c:pt>
                <c:pt idx="63">
                  <c:v>16.1906887423071</c:v>
                </c:pt>
                <c:pt idx="64">
                  <c:v>19.9746945835606</c:v>
                </c:pt>
                <c:pt idx="65">
                  <c:v>37.0352165921172</c:v>
                </c:pt>
                <c:pt idx="66">
                  <c:v>10.7284768211921</c:v>
                </c:pt>
                <c:pt idx="67">
                  <c:v>58.4105960264901</c:v>
                </c:pt>
                <c:pt idx="68">
                  <c:v>55.444923712212</c:v>
                </c:pt>
                <c:pt idx="69">
                  <c:v>32.6196151074485</c:v>
                </c:pt>
                <c:pt idx="70">
                  <c:v>73.1477259148072</c:v>
                </c:pt>
                <c:pt idx="71">
                  <c:v>49.0263599167785</c:v>
                </c:pt>
                <c:pt idx="72">
                  <c:v>34.1842813220638</c:v>
                </c:pt>
                <c:pt idx="73">
                  <c:v>45.7512450044818</c:v>
                </c:pt>
                <c:pt idx="74">
                  <c:v>47.2830231818111</c:v>
                </c:pt>
                <c:pt idx="75">
                  <c:v>45.8443161857168</c:v>
                </c:pt>
                <c:pt idx="76">
                  <c:v>64.987355172409</c:v>
                </c:pt>
                <c:pt idx="77">
                  <c:v>68.4627284988786</c:v>
                </c:pt>
                <c:pt idx="78">
                  <c:v>69.1265353349016</c:v>
                </c:pt>
                <c:pt idx="79">
                  <c:v>62.9209449284804</c:v>
                </c:pt>
                <c:pt idx="80">
                  <c:v>46.0150222639026</c:v>
                </c:pt>
                <c:pt idx="81">
                  <c:v>72.6567184524275</c:v>
                </c:pt>
                <c:pt idx="82">
                  <c:v>68.9477864182706</c:v>
                </c:pt>
                <c:pt idx="83">
                  <c:v>48.1166293082462</c:v>
                </c:pt>
                <c:pt idx="84">
                  <c:v>62.0419577538728</c:v>
                </c:pt>
                <c:pt idx="85">
                  <c:v>59.8381665890039</c:v>
                </c:pt>
                <c:pt idx="86">
                  <c:v>0</c:v>
                </c:pt>
                <c:pt idx="87">
                  <c:v>26.3266580613044</c:v>
                </c:pt>
                <c:pt idx="88">
                  <c:v>13.4218686186445</c:v>
                </c:pt>
                <c:pt idx="89">
                  <c:v>18.8914230753295</c:v>
                </c:pt>
                <c:pt idx="90">
                  <c:v>34.0753244730079</c:v>
                </c:pt>
                <c:pt idx="91">
                  <c:v>49.3959454344645</c:v>
                </c:pt>
                <c:pt idx="92">
                  <c:v>71.4132368412993</c:v>
                </c:pt>
                <c:pt idx="93">
                  <c:v>47.3636150846312</c:v>
                </c:pt>
                <c:pt idx="94">
                  <c:v>47.1910977027488</c:v>
                </c:pt>
                <c:pt idx="95">
                  <c:v>66.2254171305913</c:v>
                </c:pt>
                <c:pt idx="96">
                  <c:v>65.235457889892</c:v>
                </c:pt>
                <c:pt idx="97">
                  <c:v>44.3629963048309</c:v>
                </c:pt>
                <c:pt idx="98">
                  <c:v>48.3030343267227</c:v>
                </c:pt>
                <c:pt idx="99">
                  <c:v>76.444712506169</c:v>
                </c:pt>
                <c:pt idx="100">
                  <c:v>66.8708298533672</c:v>
                </c:pt>
                <c:pt idx="101">
                  <c:v>63.3328594930313</c:v>
                </c:pt>
                <c:pt idx="102">
                  <c:v>4.67332200319995</c:v>
                </c:pt>
                <c:pt idx="103">
                  <c:v>4.80712365952613</c:v>
                </c:pt>
                <c:pt idx="104">
                  <c:v>10.4614615211083</c:v>
                </c:pt>
                <c:pt idx="105">
                  <c:v>5.81124053144785</c:v>
                </c:pt>
                <c:pt idx="106">
                  <c:v>21.0154697093438</c:v>
                </c:pt>
                <c:pt idx="107">
                  <c:v>12.2958788861858</c:v>
                </c:pt>
                <c:pt idx="108">
                  <c:v>11.7567537180253</c:v>
                </c:pt>
                <c:pt idx="109">
                  <c:v>4.70058338927306</c:v>
                </c:pt>
              </c:numCache>
            </c:numRef>
          </c:xVal>
          <c:yVal>
            <c:numRef>
              <c:f>总表20230726!$AK$3:$AK$146</c:f>
              <c:numCache>
                <c:formatCode>0.00E+00</c:formatCode>
                <c:ptCount val="110"/>
                <c:pt idx="0">
                  <c:v>2411.25473281122</c:v>
                </c:pt>
                <c:pt idx="1">
                  <c:v>2140.10863619714</c:v>
                </c:pt>
                <c:pt idx="2">
                  <c:v>1228.44136078131</c:v>
                </c:pt>
                <c:pt idx="3">
                  <c:v>2095.65852939582</c:v>
                </c:pt>
                <c:pt idx="4">
                  <c:v>1419.19904250559</c:v>
                </c:pt>
                <c:pt idx="5">
                  <c:v>943.607786041535</c:v>
                </c:pt>
                <c:pt idx="6">
                  <c:v>1542.94817633202</c:v>
                </c:pt>
                <c:pt idx="7">
                  <c:v>1374.69686134812</c:v>
                </c:pt>
                <c:pt idx="8">
                  <c:v>988.931660735775</c:v>
                </c:pt>
                <c:pt idx="9">
                  <c:v>960.275940360976</c:v>
                </c:pt>
                <c:pt idx="10">
                  <c:v>283.79213939661</c:v>
                </c:pt>
                <c:pt idx="11">
                  <c:v>753.418740379447</c:v>
                </c:pt>
                <c:pt idx="12">
                  <c:v>1168.21655299768</c:v>
                </c:pt>
                <c:pt idx="13">
                  <c:v>1261.10216498897</c:v>
                </c:pt>
                <c:pt idx="14">
                  <c:v>1617.18977729197</c:v>
                </c:pt>
                <c:pt idx="15">
                  <c:v>1647.22829641394</c:v>
                </c:pt>
                <c:pt idx="16">
                  <c:v>6005.80094935257</c:v>
                </c:pt>
                <c:pt idx="17">
                  <c:v>64.74014941043</c:v>
                </c:pt>
                <c:pt idx="18">
                  <c:v>1470.70316114044</c:v>
                </c:pt>
                <c:pt idx="19">
                  <c:v>1520.63110435214</c:v>
                </c:pt>
                <c:pt idx="20">
                  <c:v>986.803431452178</c:v>
                </c:pt>
                <c:pt idx="21">
                  <c:v>4776.21214974479</c:v>
                </c:pt>
                <c:pt idx="22">
                  <c:v>496.696707899241</c:v>
                </c:pt>
                <c:pt idx="23">
                  <c:v>297.99444502094</c:v>
                </c:pt>
                <c:pt idx="24">
                  <c:v>537.009783848614</c:v>
                </c:pt>
                <c:pt idx="25">
                  <c:v>278.370352559634</c:v>
                </c:pt>
                <c:pt idx="26">
                  <c:v>565.522250701889</c:v>
                </c:pt>
                <c:pt idx="27">
                  <c:v>525.526921495625</c:v>
                </c:pt>
                <c:pt idx="28">
                  <c:v>144.502810873393</c:v>
                </c:pt>
                <c:pt idx="29">
                  <c:v>384.941657517216</c:v>
                </c:pt>
                <c:pt idx="30">
                  <c:v>376.447485872349</c:v>
                </c:pt>
                <c:pt idx="31">
                  <c:v>1028.89150043125</c:v>
                </c:pt>
                <c:pt idx="32">
                  <c:v>958.147065029258</c:v>
                </c:pt>
                <c:pt idx="33">
                  <c:v>217.616088029874</c:v>
                </c:pt>
                <c:pt idx="34">
                  <c:v>665.084403545134</c:v>
                </c:pt>
                <c:pt idx="35">
                  <c:v>447.491313187433</c:v>
                </c:pt>
                <c:pt idx="36">
                  <c:v>676.661251549476</c:v>
                </c:pt>
                <c:pt idx="37">
                  <c:v>879.919301842596</c:v>
                </c:pt>
                <c:pt idx="38">
                  <c:v>723.582684881494</c:v>
                </c:pt>
                <c:pt idx="39">
                  <c:v>888.658671100032</c:v>
                </c:pt>
                <c:pt idx="40">
                  <c:v>865.632732754755</c:v>
                </c:pt>
                <c:pt idx="41">
                  <c:v>1439.47499364656</c:v>
                </c:pt>
                <c:pt idx="42">
                  <c:v>2271.06234783184</c:v>
                </c:pt>
                <c:pt idx="43">
                  <c:v>922.558952427199</c:v>
                </c:pt>
                <c:pt idx="44">
                  <c:v>4163.48248889638</c:v>
                </c:pt>
                <c:pt idx="45">
                  <c:v>0</c:v>
                </c:pt>
                <c:pt idx="46">
                  <c:v>0</c:v>
                </c:pt>
                <c:pt idx="47">
                  <c:v>25.8702552000721</c:v>
                </c:pt>
                <c:pt idx="48">
                  <c:v>36.8772994756331</c:v>
                </c:pt>
                <c:pt idx="49">
                  <c:v>906.872814695254</c:v>
                </c:pt>
                <c:pt idx="50">
                  <c:v>929.39518768814</c:v>
                </c:pt>
                <c:pt idx="51">
                  <c:v>841.37821549458</c:v>
                </c:pt>
                <c:pt idx="52">
                  <c:v>910.176731359356</c:v>
                </c:pt>
                <c:pt idx="53">
                  <c:v>1374.31745607335</c:v>
                </c:pt>
                <c:pt idx="54">
                  <c:v>1441.86436866035</c:v>
                </c:pt>
                <c:pt idx="55">
                  <c:v>1738.45277118048</c:v>
                </c:pt>
                <c:pt idx="56">
                  <c:v>1739.33893227744</c:v>
                </c:pt>
                <c:pt idx="57">
                  <c:v>1761.99524681927</c:v>
                </c:pt>
                <c:pt idx="58">
                  <c:v>1386.84751225914</c:v>
                </c:pt>
                <c:pt idx="59">
                  <c:v>1893.58729425427</c:v>
                </c:pt>
                <c:pt idx="60">
                  <c:v>1400.35456571246</c:v>
                </c:pt>
                <c:pt idx="61">
                  <c:v>1597.61022759058</c:v>
                </c:pt>
                <c:pt idx="62">
                  <c:v>1163.9483116436</c:v>
                </c:pt>
                <c:pt idx="63">
                  <c:v>1368.41669226193</c:v>
                </c:pt>
                <c:pt idx="64">
                  <c:v>1112.9394513154</c:v>
                </c:pt>
                <c:pt idx="65">
                  <c:v>597.759764405735</c:v>
                </c:pt>
                <c:pt idx="66">
                  <c:v>0</c:v>
                </c:pt>
                <c:pt idx="67">
                  <c:v>0</c:v>
                </c:pt>
                <c:pt idx="68">
                  <c:v>537.954525389798</c:v>
                </c:pt>
                <c:pt idx="69">
                  <c:v>855.424244446874</c:v>
                </c:pt>
                <c:pt idx="70">
                  <c:v>385.822113505695</c:v>
                </c:pt>
                <c:pt idx="71">
                  <c:v>481.123829758859</c:v>
                </c:pt>
                <c:pt idx="72">
                  <c:v>730.545378036107</c:v>
                </c:pt>
                <c:pt idx="73">
                  <c:v>535.547708596937</c:v>
                </c:pt>
                <c:pt idx="74">
                  <c:v>456.252126275479</c:v>
                </c:pt>
                <c:pt idx="75">
                  <c:v>448.83700564189</c:v>
                </c:pt>
                <c:pt idx="76">
                  <c:v>273.921792077383</c:v>
                </c:pt>
                <c:pt idx="77">
                  <c:v>262.339364914566</c:v>
                </c:pt>
                <c:pt idx="78">
                  <c:v>210.642746169214</c:v>
                </c:pt>
                <c:pt idx="79">
                  <c:v>219.216498549315</c:v>
                </c:pt>
                <c:pt idx="80">
                  <c:v>351.689856917598</c:v>
                </c:pt>
                <c:pt idx="81">
                  <c:v>180.047477456328</c:v>
                </c:pt>
                <c:pt idx="82">
                  <c:v>184.378059925517</c:v>
                </c:pt>
                <c:pt idx="83">
                  <c:v>223.905465322994</c:v>
                </c:pt>
                <c:pt idx="84">
                  <c:v>146.740956160551</c:v>
                </c:pt>
                <c:pt idx="85">
                  <c:v>151.607531001295</c:v>
                </c:pt>
                <c:pt idx="86">
                  <c:v>0</c:v>
                </c:pt>
                <c:pt idx="87">
                  <c:v>1034.21045914552</c:v>
                </c:pt>
                <c:pt idx="88">
                  <c:v>1210.47644789285</c:v>
                </c:pt>
                <c:pt idx="89">
                  <c:v>441.52406990489</c:v>
                </c:pt>
                <c:pt idx="90">
                  <c:v>887.068641214561</c:v>
                </c:pt>
                <c:pt idx="91">
                  <c:v>562.260096875224</c:v>
                </c:pt>
                <c:pt idx="92">
                  <c:v>246.615121134903</c:v>
                </c:pt>
                <c:pt idx="93">
                  <c:v>152.061226111677</c:v>
                </c:pt>
                <c:pt idx="94">
                  <c:v>119.894516565378</c:v>
                </c:pt>
                <c:pt idx="95">
                  <c:v>93.9666460768146</c:v>
                </c:pt>
                <c:pt idx="96">
                  <c:v>95.9011665440386</c:v>
                </c:pt>
                <c:pt idx="97">
                  <c:v>106.341386583137</c:v>
                </c:pt>
                <c:pt idx="98">
                  <c:v>55.9727884722226</c:v>
                </c:pt>
                <c:pt idx="99">
                  <c:v>40.9146765089835</c:v>
                </c:pt>
                <c:pt idx="100">
                  <c:v>45.3579988549171</c:v>
                </c:pt>
                <c:pt idx="101">
                  <c:v>43.5597277425265</c:v>
                </c:pt>
                <c:pt idx="102">
                  <c:v>5369.06122065384</c:v>
                </c:pt>
                <c:pt idx="103">
                  <c:v>5006.39865487243</c:v>
                </c:pt>
                <c:pt idx="104">
                  <c:v>729.250934110122</c:v>
                </c:pt>
                <c:pt idx="105">
                  <c:v>2775.2349742356</c:v>
                </c:pt>
                <c:pt idx="106">
                  <c:v>1279.90264156499</c:v>
                </c:pt>
                <c:pt idx="107">
                  <c:v>1377.53859830803</c:v>
                </c:pt>
                <c:pt idx="108">
                  <c:v>589.992169025849</c:v>
                </c:pt>
                <c:pt idx="109">
                  <c:v>6289.86208238234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总表20230726!$AC$147:$AC$173</c:f>
              <c:numCache>
                <c:formatCode>0.000_ </c:formatCode>
                <c:ptCount val="27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  <c:pt idx="8">
                  <c:v>635.112698555686</c:v>
                </c:pt>
                <c:pt idx="9">
                  <c:v>17.6762620221036</c:v>
                </c:pt>
                <c:pt idx="10">
                  <c:v>66.5084317002728</c:v>
                </c:pt>
                <c:pt idx="11">
                  <c:v>57.1667728221044</c:v>
                </c:pt>
                <c:pt idx="12">
                  <c:v>55.2063118459332</c:v>
                </c:pt>
                <c:pt idx="13">
                  <c:v>29.8637919741131</c:v>
                </c:pt>
                <c:pt idx="14">
                  <c:v>40.0582750048141</c:v>
                </c:pt>
                <c:pt idx="15">
                  <c:v>62.8297848137785</c:v>
                </c:pt>
                <c:pt idx="16">
                  <c:v>43.8152142185353</c:v>
                </c:pt>
                <c:pt idx="17">
                  <c:v>49.224402746734</c:v>
                </c:pt>
                <c:pt idx="18">
                  <c:v>51.5170645732932</c:v>
                </c:pt>
                <c:pt idx="19">
                  <c:v>50.1483830024946</c:v>
                </c:pt>
                <c:pt idx="20">
                  <c:v>67.7240322972302</c:v>
                </c:pt>
                <c:pt idx="21">
                  <c:v>44.8088866456813</c:v>
                </c:pt>
                <c:pt idx="22">
                  <c:v>7.77047472875209</c:v>
                </c:pt>
                <c:pt idx="23">
                  <c:v>0</c:v>
                </c:pt>
                <c:pt idx="24">
                  <c:v>17.8943470098128</c:v>
                </c:pt>
                <c:pt idx="25">
                  <c:v>11.0021101286247</c:v>
                </c:pt>
                <c:pt idx="26">
                  <c:v>17.3515157394854</c:v>
                </c:pt>
              </c:numCache>
            </c:numRef>
          </c:xVal>
          <c:yVal>
            <c:numRef>
              <c:f>总表20230726!$AK$147:$AK$173</c:f>
              <c:numCache>
                <c:formatCode>0.00E+00</c:formatCode>
                <c:ptCount val="27"/>
                <c:pt idx="0">
                  <c:v>1059.76060166605</c:v>
                </c:pt>
                <c:pt idx="1">
                  <c:v>1088.0873713261</c:v>
                </c:pt>
                <c:pt idx="2">
                  <c:v>1012.04597656022</c:v>
                </c:pt>
                <c:pt idx="3">
                  <c:v>1008.82922355334</c:v>
                </c:pt>
                <c:pt idx="4">
                  <c:v>1016.31008615828</c:v>
                </c:pt>
                <c:pt idx="5">
                  <c:v>1017.51333117544</c:v>
                </c:pt>
                <c:pt idx="6">
                  <c:v>1304.92620403189</c:v>
                </c:pt>
                <c:pt idx="7">
                  <c:v>1488.03086321137</c:v>
                </c:pt>
                <c:pt idx="8">
                  <c:v>38.6110984014449</c:v>
                </c:pt>
                <c:pt idx="9">
                  <c:v>1154.18590508965</c:v>
                </c:pt>
                <c:pt idx="10">
                  <c:v>238.216803618779</c:v>
                </c:pt>
                <c:pt idx="11">
                  <c:v>151.378816139445</c:v>
                </c:pt>
                <c:pt idx="12">
                  <c:v>110.769909371703</c:v>
                </c:pt>
                <c:pt idx="13">
                  <c:v>141.530688166269</c:v>
                </c:pt>
                <c:pt idx="14">
                  <c:v>104.797520309462</c:v>
                </c:pt>
                <c:pt idx="15">
                  <c:v>50.1949427646835</c:v>
                </c:pt>
                <c:pt idx="16">
                  <c:v>52.0958698005987</c:v>
                </c:pt>
                <c:pt idx="17">
                  <c:v>46.3390748496228</c:v>
                </c:pt>
                <c:pt idx="18">
                  <c:v>48.2573564943293</c:v>
                </c:pt>
                <c:pt idx="19">
                  <c:v>47.9247860392259</c:v>
                </c:pt>
                <c:pt idx="20">
                  <c:v>46.0179718230684</c:v>
                </c:pt>
                <c:pt idx="21">
                  <c:v>50.5502867839303</c:v>
                </c:pt>
                <c:pt idx="22">
                  <c:v>3310.22730631579</c:v>
                </c:pt>
                <c:pt idx="23">
                  <c:v>0</c:v>
                </c:pt>
                <c:pt idx="24">
                  <c:v>1661.27824218384</c:v>
                </c:pt>
                <c:pt idx="25">
                  <c:v>246.431818245124</c:v>
                </c:pt>
                <c:pt idx="26">
                  <c:v>157.684549453387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总表20230726!$AC$174:$AC$218</c:f>
              <c:numCache>
                <c:formatCode>0.000_ </c:formatCode>
                <c:ptCount val="45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11.1692033723287</c:v>
                </c:pt>
                <c:pt idx="10">
                  <c:v>14.3635317606801</c:v>
                </c:pt>
                <c:pt idx="11">
                  <c:v>11.7743348628131</c:v>
                </c:pt>
                <c:pt idx="12">
                  <c:v>11.9354918465566</c:v>
                </c:pt>
                <c:pt idx="13">
                  <c:v>7.57333273586413</c:v>
                </c:pt>
                <c:pt idx="14">
                  <c:v>7.3628658312843</c:v>
                </c:pt>
                <c:pt idx="15">
                  <c:v>8.57526122054116</c:v>
                </c:pt>
                <c:pt idx="16">
                  <c:v>10.1319280992112</c:v>
                </c:pt>
                <c:pt idx="17">
                  <c:v>9.89573164790353</c:v>
                </c:pt>
                <c:pt idx="18">
                  <c:v>0</c:v>
                </c:pt>
                <c:pt idx="19">
                  <c:v>8.82620931709272</c:v>
                </c:pt>
                <c:pt idx="20">
                  <c:v>7.4685765857068</c:v>
                </c:pt>
                <c:pt idx="21">
                  <c:v>6.88423933298256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15.5148094154257</c:v>
                </c:pt>
                <c:pt idx="29">
                  <c:v>5.0898037752343</c:v>
                </c:pt>
                <c:pt idx="30">
                  <c:v>0</c:v>
                </c:pt>
                <c:pt idx="31">
                  <c:v>13.461670782126</c:v>
                </c:pt>
                <c:pt idx="32">
                  <c:v>0</c:v>
                </c:pt>
                <c:pt idx="33">
                  <c:v>14.711417622086</c:v>
                </c:pt>
                <c:pt idx="34">
                  <c:v>10.3023808355658</c:v>
                </c:pt>
                <c:pt idx="35">
                  <c:v>19.9028834285661</c:v>
                </c:pt>
                <c:pt idx="36">
                  <c:v>4.25837465938043</c:v>
                </c:pt>
                <c:pt idx="37">
                  <c:v>9.03118301341914</c:v>
                </c:pt>
                <c:pt idx="38">
                  <c:v>17.5952534122701</c:v>
                </c:pt>
                <c:pt idx="39">
                  <c:v>14.5158445484009</c:v>
                </c:pt>
                <c:pt idx="40">
                  <c:v>25.7068249437963</c:v>
                </c:pt>
                <c:pt idx="41">
                  <c:v>23.3386904345037</c:v>
                </c:pt>
                <c:pt idx="42">
                  <c:v>15.2230878931005</c:v>
                </c:pt>
                <c:pt idx="43">
                  <c:v>6.44844743369992</c:v>
                </c:pt>
                <c:pt idx="44">
                  <c:v>2.99576515695992</c:v>
                </c:pt>
              </c:numCache>
            </c:numRef>
          </c:xVal>
          <c:yVal>
            <c:numRef>
              <c:f>总表20230726!$AK$174:$AK$218</c:f>
              <c:numCache>
                <c:formatCode>0.00E+00</c:formatCode>
                <c:ptCount val="45"/>
                <c:pt idx="0">
                  <c:v>11984.4686238862</c:v>
                </c:pt>
                <c:pt idx="1">
                  <c:v>8221.19364369178</c:v>
                </c:pt>
                <c:pt idx="2">
                  <c:v>8594.7633251459</c:v>
                </c:pt>
                <c:pt idx="3">
                  <c:v>8914.78150896826</c:v>
                </c:pt>
                <c:pt idx="4">
                  <c:v>7163.41620207471</c:v>
                </c:pt>
                <c:pt idx="5">
                  <c:v>4282.59733330896</c:v>
                </c:pt>
                <c:pt idx="6">
                  <c:v>2288.60492730649</c:v>
                </c:pt>
                <c:pt idx="7">
                  <c:v>2413.14148428687</c:v>
                </c:pt>
                <c:pt idx="8">
                  <c:v>5874.63989193412</c:v>
                </c:pt>
                <c:pt idx="9">
                  <c:v>1305.6306769649</c:v>
                </c:pt>
                <c:pt idx="10">
                  <c:v>1084.6353837134</c:v>
                </c:pt>
                <c:pt idx="11">
                  <c:v>1281.80629148269</c:v>
                </c:pt>
                <c:pt idx="12">
                  <c:v>1257.25875674842</c:v>
                </c:pt>
                <c:pt idx="13">
                  <c:v>1969.55260769022</c:v>
                </c:pt>
                <c:pt idx="14">
                  <c:v>1909.92366126673</c:v>
                </c:pt>
                <c:pt idx="15">
                  <c:v>1765.8376180659</c:v>
                </c:pt>
                <c:pt idx="16">
                  <c:v>1466.66755654608</c:v>
                </c:pt>
                <c:pt idx="17">
                  <c:v>1434.67304882926</c:v>
                </c:pt>
                <c:pt idx="18">
                  <c:v>0</c:v>
                </c:pt>
                <c:pt idx="19">
                  <c:v>2336.43873097447</c:v>
                </c:pt>
                <c:pt idx="20">
                  <c:v>2913.3646849016</c:v>
                </c:pt>
                <c:pt idx="21">
                  <c:v>3050.98587167775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537.930997673817</c:v>
                </c:pt>
                <c:pt idx="29">
                  <c:v>1523.81734686615</c:v>
                </c:pt>
                <c:pt idx="30">
                  <c:v>0</c:v>
                </c:pt>
                <c:pt idx="31">
                  <c:v>1172.35785926197</c:v>
                </c:pt>
                <c:pt idx="32">
                  <c:v>0</c:v>
                </c:pt>
                <c:pt idx="33">
                  <c:v>1876.46475005754</c:v>
                </c:pt>
                <c:pt idx="34">
                  <c:v>2681.11206031922</c:v>
                </c:pt>
                <c:pt idx="35">
                  <c:v>1268.06821297118</c:v>
                </c:pt>
                <c:pt idx="36">
                  <c:v>1690.10103694601</c:v>
                </c:pt>
                <c:pt idx="37">
                  <c:v>1755.04185071751</c:v>
                </c:pt>
                <c:pt idx="38">
                  <c:v>958.864289030881</c:v>
                </c:pt>
                <c:pt idx="39">
                  <c:v>547.342112410403</c:v>
                </c:pt>
                <c:pt idx="40">
                  <c:v>116.863637984994</c:v>
                </c:pt>
                <c:pt idx="41">
                  <c:v>125.912713696492</c:v>
                </c:pt>
                <c:pt idx="42">
                  <c:v>1970.14608372247</c:v>
                </c:pt>
                <c:pt idx="43">
                  <c:v>2354.57605014456</c:v>
                </c:pt>
                <c:pt idx="44">
                  <c:v>5115.33013188302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C</a:t>
                </a:r>
                <a:r>
                  <a:rPr lang="en-US" altLang="zh-CN" sz="12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D</a:t>
                </a:r>
                <a:endParaRPr lang="en-US" altLang="zh-CN" sz="12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354770531400966"/>
              <c:y val="0.4175430888254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271175-6abf-4668-8864-ac91e14b61a6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83254636843"/>
          <c:y val="0.0394230654323822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总表20230726!$AD$3:$AD$146</c:f>
              <c:numCache>
                <c:formatCode>0.000_ </c:formatCode>
                <c:ptCount val="110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  <c:pt idx="21">
                  <c:v>3.70741266252123</c:v>
                </c:pt>
                <c:pt idx="22">
                  <c:v>6.00131712564687</c:v>
                </c:pt>
                <c:pt idx="23">
                  <c:v>6.29380576901394</c:v>
                </c:pt>
                <c:pt idx="24">
                  <c:v>6.39890961279557</c:v>
                </c:pt>
                <c:pt idx="25">
                  <c:v>5.72233664035863</c:v>
                </c:pt>
                <c:pt idx="26">
                  <c:v>5.67854565921208</c:v>
                </c:pt>
                <c:pt idx="27">
                  <c:v>5.2340971555774</c:v>
                </c:pt>
                <c:pt idx="28">
                  <c:v>5.11471908842709</c:v>
                </c:pt>
                <c:pt idx="29">
                  <c:v>5.22690348585162</c:v>
                </c:pt>
                <c:pt idx="30">
                  <c:v>5.09534738547879</c:v>
                </c:pt>
                <c:pt idx="31">
                  <c:v>6.59942010987446</c:v>
                </c:pt>
                <c:pt idx="32">
                  <c:v>6.13522234921878</c:v>
                </c:pt>
                <c:pt idx="33">
                  <c:v>6.02818213844176</c:v>
                </c:pt>
                <c:pt idx="34">
                  <c:v>6.13598567264896</c:v>
                </c:pt>
                <c:pt idx="35">
                  <c:v>6.09844497129276</c:v>
                </c:pt>
                <c:pt idx="36">
                  <c:v>5.68848995258772</c:v>
                </c:pt>
                <c:pt idx="37">
                  <c:v>5.88439861101181</c:v>
                </c:pt>
                <c:pt idx="38">
                  <c:v>5.72310403223283</c:v>
                </c:pt>
                <c:pt idx="39">
                  <c:v>5.53445712756113</c:v>
                </c:pt>
                <c:pt idx="40">
                  <c:v>5.73473549277107</c:v>
                </c:pt>
                <c:pt idx="41">
                  <c:v>4.89594138999651</c:v>
                </c:pt>
                <c:pt idx="42">
                  <c:v>5.63323509915774</c:v>
                </c:pt>
                <c:pt idx="43">
                  <c:v>5.83596994192761</c:v>
                </c:pt>
                <c:pt idx="44">
                  <c:v>5.71957775809919</c:v>
                </c:pt>
                <c:pt idx="45">
                  <c:v>0</c:v>
                </c:pt>
                <c:pt idx="46">
                  <c:v>0</c:v>
                </c:pt>
                <c:pt idx="47">
                  <c:v>3.65031010931607</c:v>
                </c:pt>
                <c:pt idx="48">
                  <c:v>3.28953216300107</c:v>
                </c:pt>
                <c:pt idx="49">
                  <c:v>3.69541789777316</c:v>
                </c:pt>
                <c:pt idx="50">
                  <c:v>3.40301561758373</c:v>
                </c:pt>
                <c:pt idx="51">
                  <c:v>3.7162394502436</c:v>
                </c:pt>
                <c:pt idx="52">
                  <c:v>3.44044015118003</c:v>
                </c:pt>
                <c:pt idx="53">
                  <c:v>3.39385250043867</c:v>
                </c:pt>
                <c:pt idx="54">
                  <c:v>3.71051031573697</c:v>
                </c:pt>
                <c:pt idx="55">
                  <c:v>3.74769867772342</c:v>
                </c:pt>
                <c:pt idx="56">
                  <c:v>4.27974033223633</c:v>
                </c:pt>
                <c:pt idx="57">
                  <c:v>4.22247449251643</c:v>
                </c:pt>
                <c:pt idx="58">
                  <c:v>4.13137442169454</c:v>
                </c:pt>
                <c:pt idx="59">
                  <c:v>4.01893799135279</c:v>
                </c:pt>
                <c:pt idx="60">
                  <c:v>4.03168008259807</c:v>
                </c:pt>
                <c:pt idx="61">
                  <c:v>3.64279110340268</c:v>
                </c:pt>
                <c:pt idx="62">
                  <c:v>3.46900195299014</c:v>
                </c:pt>
                <c:pt idx="63">
                  <c:v>3.63232512463612</c:v>
                </c:pt>
                <c:pt idx="64">
                  <c:v>3.65696421850038</c:v>
                </c:pt>
                <c:pt idx="65">
                  <c:v>3.62660684277443</c:v>
                </c:pt>
                <c:pt idx="66">
                  <c:v>4.20599205298013</c:v>
                </c:pt>
                <c:pt idx="67">
                  <c:v>4.20599205298013</c:v>
                </c:pt>
                <c:pt idx="68">
                  <c:v>6.58312424658697</c:v>
                </c:pt>
                <c:pt idx="69">
                  <c:v>7.11300471076456</c:v>
                </c:pt>
                <c:pt idx="70">
                  <c:v>7.2762600350121</c:v>
                </c:pt>
                <c:pt idx="71">
                  <c:v>6.43295333070307</c:v>
                </c:pt>
                <c:pt idx="72">
                  <c:v>7.2108202465386</c:v>
                </c:pt>
                <c:pt idx="73">
                  <c:v>6.94127948647555</c:v>
                </c:pt>
                <c:pt idx="74">
                  <c:v>7.02815833468254</c:v>
                </c:pt>
                <c:pt idx="75">
                  <c:v>6.39395494771192</c:v>
                </c:pt>
                <c:pt idx="76">
                  <c:v>6.51366972349799</c:v>
                </c:pt>
                <c:pt idx="77">
                  <c:v>6.63055943897094</c:v>
                </c:pt>
                <c:pt idx="78">
                  <c:v>6.27566754880175</c:v>
                </c:pt>
                <c:pt idx="79">
                  <c:v>5.63137278550661</c:v>
                </c:pt>
                <c:pt idx="80">
                  <c:v>7.75168812175796</c:v>
                </c:pt>
                <c:pt idx="81">
                  <c:v>7.91449116079493</c:v>
                </c:pt>
                <c:pt idx="82">
                  <c:v>7.474058542192</c:v>
                </c:pt>
                <c:pt idx="83">
                  <c:v>5.36805725901979</c:v>
                </c:pt>
                <c:pt idx="84">
                  <c:v>6.81472771164367</c:v>
                </c:pt>
                <c:pt idx="85">
                  <c:v>6.76663792663672</c:v>
                </c:pt>
                <c:pt idx="86">
                  <c:v>0</c:v>
                </c:pt>
                <c:pt idx="87">
                  <c:v>5.48563184196025</c:v>
                </c:pt>
                <c:pt idx="88">
                  <c:v>5.42567148527428</c:v>
                </c:pt>
                <c:pt idx="89">
                  <c:v>5.72022284969779</c:v>
                </c:pt>
                <c:pt idx="90">
                  <c:v>6.76101336288738</c:v>
                </c:pt>
                <c:pt idx="91">
                  <c:v>5.70787523311862</c:v>
                </c:pt>
                <c:pt idx="92">
                  <c:v>6.37546226757295</c:v>
                </c:pt>
                <c:pt idx="93">
                  <c:v>4.26482773119845</c:v>
                </c:pt>
                <c:pt idx="94">
                  <c:v>5.92210564108781</c:v>
                </c:pt>
                <c:pt idx="95">
                  <c:v>7.16397738755529</c:v>
                </c:pt>
                <c:pt idx="96">
                  <c:v>7.24056671583387</c:v>
                </c:pt>
                <c:pt idx="97">
                  <c:v>4.1172167318314</c:v>
                </c:pt>
                <c:pt idx="98">
                  <c:v>5.40903826920729</c:v>
                </c:pt>
                <c:pt idx="99">
                  <c:v>7.23886517323909</c:v>
                </c:pt>
                <c:pt idx="100">
                  <c:v>6.80767066541797</c:v>
                </c:pt>
                <c:pt idx="101">
                  <c:v>5.63178216429892</c:v>
                </c:pt>
                <c:pt idx="102">
                  <c:v>4.65870772563559</c:v>
                </c:pt>
                <c:pt idx="103">
                  <c:v>4.28586796304164</c:v>
                </c:pt>
                <c:pt idx="104">
                  <c:v>4.78534819310389</c:v>
                </c:pt>
                <c:pt idx="105">
                  <c:v>5.34628446694607</c:v>
                </c:pt>
                <c:pt idx="106">
                  <c:v>5.3536430805485</c:v>
                </c:pt>
                <c:pt idx="107">
                  <c:v>5.89714147165139</c:v>
                </c:pt>
                <c:pt idx="108">
                  <c:v>3.95587142181358</c:v>
                </c:pt>
                <c:pt idx="109">
                  <c:v>6.46849295543211</c:v>
                </c:pt>
              </c:numCache>
            </c:numRef>
          </c:xVal>
          <c:yVal>
            <c:numRef>
              <c:f>总表20230726!$AK$3:$AK$146</c:f>
              <c:numCache>
                <c:formatCode>0.00E+00</c:formatCode>
                <c:ptCount val="110"/>
                <c:pt idx="0">
                  <c:v>2411.25473281122</c:v>
                </c:pt>
                <c:pt idx="1">
                  <c:v>2140.10863619714</c:v>
                </c:pt>
                <c:pt idx="2">
                  <c:v>1228.44136078131</c:v>
                </c:pt>
                <c:pt idx="3">
                  <c:v>2095.65852939582</c:v>
                </c:pt>
                <c:pt idx="4">
                  <c:v>1419.19904250559</c:v>
                </c:pt>
                <c:pt idx="5">
                  <c:v>943.607786041535</c:v>
                </c:pt>
                <c:pt idx="6">
                  <c:v>1542.94817633202</c:v>
                </c:pt>
                <c:pt idx="7">
                  <c:v>1374.69686134812</c:v>
                </c:pt>
                <c:pt idx="8">
                  <c:v>988.931660735775</c:v>
                </c:pt>
                <c:pt idx="9">
                  <c:v>960.275940360976</c:v>
                </c:pt>
                <c:pt idx="10">
                  <c:v>283.79213939661</c:v>
                </c:pt>
                <c:pt idx="11">
                  <c:v>753.418740379447</c:v>
                </c:pt>
                <c:pt idx="12">
                  <c:v>1168.21655299768</c:v>
                </c:pt>
                <c:pt idx="13">
                  <c:v>1261.10216498897</c:v>
                </c:pt>
                <c:pt idx="14">
                  <c:v>1617.18977729197</c:v>
                </c:pt>
                <c:pt idx="15">
                  <c:v>1647.22829641394</c:v>
                </c:pt>
                <c:pt idx="16">
                  <c:v>6005.80094935257</c:v>
                </c:pt>
                <c:pt idx="17">
                  <c:v>64.74014941043</c:v>
                </c:pt>
                <c:pt idx="18">
                  <c:v>1470.70316114044</c:v>
                </c:pt>
                <c:pt idx="19">
                  <c:v>1520.63110435214</c:v>
                </c:pt>
                <c:pt idx="20">
                  <c:v>986.803431452178</c:v>
                </c:pt>
                <c:pt idx="21">
                  <c:v>4776.21214974479</c:v>
                </c:pt>
                <c:pt idx="22">
                  <c:v>496.696707899241</c:v>
                </c:pt>
                <c:pt idx="23">
                  <c:v>297.99444502094</c:v>
                </c:pt>
                <c:pt idx="24">
                  <c:v>537.009783848614</c:v>
                </c:pt>
                <c:pt idx="25">
                  <c:v>278.370352559634</c:v>
                </c:pt>
                <c:pt idx="26">
                  <c:v>565.522250701889</c:v>
                </c:pt>
                <c:pt idx="27">
                  <c:v>525.526921495625</c:v>
                </c:pt>
                <c:pt idx="28">
                  <c:v>144.502810873393</c:v>
                </c:pt>
                <c:pt idx="29">
                  <c:v>384.941657517216</c:v>
                </c:pt>
                <c:pt idx="30">
                  <c:v>376.447485872349</c:v>
                </c:pt>
                <c:pt idx="31">
                  <c:v>1028.89150043125</c:v>
                </c:pt>
                <c:pt idx="32">
                  <c:v>958.147065029258</c:v>
                </c:pt>
                <c:pt idx="33">
                  <c:v>217.616088029874</c:v>
                </c:pt>
                <c:pt idx="34">
                  <c:v>665.084403545134</c:v>
                </c:pt>
                <c:pt idx="35">
                  <c:v>447.491313187433</c:v>
                </c:pt>
                <c:pt idx="36">
                  <c:v>676.661251549476</c:v>
                </c:pt>
                <c:pt idx="37">
                  <c:v>879.919301842596</c:v>
                </c:pt>
                <c:pt idx="38">
                  <c:v>723.582684881494</c:v>
                </c:pt>
                <c:pt idx="39">
                  <c:v>888.658671100032</c:v>
                </c:pt>
                <c:pt idx="40">
                  <c:v>865.632732754755</c:v>
                </c:pt>
                <c:pt idx="41">
                  <c:v>1439.47499364656</c:v>
                </c:pt>
                <c:pt idx="42">
                  <c:v>2271.06234783184</c:v>
                </c:pt>
                <c:pt idx="43">
                  <c:v>922.558952427199</c:v>
                </c:pt>
                <c:pt idx="44">
                  <c:v>4163.48248889638</c:v>
                </c:pt>
                <c:pt idx="45">
                  <c:v>0</c:v>
                </c:pt>
                <c:pt idx="46">
                  <c:v>0</c:v>
                </c:pt>
                <c:pt idx="47">
                  <c:v>25.8702552000721</c:v>
                </c:pt>
                <c:pt idx="48">
                  <c:v>36.8772994756331</c:v>
                </c:pt>
                <c:pt idx="49">
                  <c:v>906.872814695254</c:v>
                </c:pt>
                <c:pt idx="50">
                  <c:v>929.39518768814</c:v>
                </c:pt>
                <c:pt idx="51">
                  <c:v>841.37821549458</c:v>
                </c:pt>
                <c:pt idx="52">
                  <c:v>910.176731359356</c:v>
                </c:pt>
                <c:pt idx="53">
                  <c:v>1374.31745607335</c:v>
                </c:pt>
                <c:pt idx="54">
                  <c:v>1441.86436866035</c:v>
                </c:pt>
                <c:pt idx="55">
                  <c:v>1738.45277118048</c:v>
                </c:pt>
                <c:pt idx="56">
                  <c:v>1739.33893227744</c:v>
                </c:pt>
                <c:pt idx="57">
                  <c:v>1761.99524681927</c:v>
                </c:pt>
                <c:pt idx="58">
                  <c:v>1386.84751225914</c:v>
                </c:pt>
                <c:pt idx="59">
                  <c:v>1893.58729425427</c:v>
                </c:pt>
                <c:pt idx="60">
                  <c:v>1400.35456571246</c:v>
                </c:pt>
                <c:pt idx="61">
                  <c:v>1597.61022759058</c:v>
                </c:pt>
                <c:pt idx="62">
                  <c:v>1163.9483116436</c:v>
                </c:pt>
                <c:pt idx="63">
                  <c:v>1368.41669226193</c:v>
                </c:pt>
                <c:pt idx="64">
                  <c:v>1112.9394513154</c:v>
                </c:pt>
                <c:pt idx="65">
                  <c:v>597.759764405735</c:v>
                </c:pt>
                <c:pt idx="66">
                  <c:v>0</c:v>
                </c:pt>
                <c:pt idx="67">
                  <c:v>0</c:v>
                </c:pt>
                <c:pt idx="68">
                  <c:v>537.954525389798</c:v>
                </c:pt>
                <c:pt idx="69">
                  <c:v>855.424244446874</c:v>
                </c:pt>
                <c:pt idx="70">
                  <c:v>385.822113505695</c:v>
                </c:pt>
                <c:pt idx="71">
                  <c:v>481.123829758859</c:v>
                </c:pt>
                <c:pt idx="72">
                  <c:v>730.545378036107</c:v>
                </c:pt>
                <c:pt idx="73">
                  <c:v>535.547708596937</c:v>
                </c:pt>
                <c:pt idx="74">
                  <c:v>456.252126275479</c:v>
                </c:pt>
                <c:pt idx="75">
                  <c:v>448.83700564189</c:v>
                </c:pt>
                <c:pt idx="76">
                  <c:v>273.921792077383</c:v>
                </c:pt>
                <c:pt idx="77">
                  <c:v>262.339364914566</c:v>
                </c:pt>
                <c:pt idx="78">
                  <c:v>210.642746169214</c:v>
                </c:pt>
                <c:pt idx="79">
                  <c:v>219.216498549315</c:v>
                </c:pt>
                <c:pt idx="80">
                  <c:v>351.689856917598</c:v>
                </c:pt>
                <c:pt idx="81">
                  <c:v>180.047477456328</c:v>
                </c:pt>
                <c:pt idx="82">
                  <c:v>184.378059925517</c:v>
                </c:pt>
                <c:pt idx="83">
                  <c:v>223.905465322994</c:v>
                </c:pt>
                <c:pt idx="84">
                  <c:v>146.740956160551</c:v>
                </c:pt>
                <c:pt idx="85">
                  <c:v>151.607531001295</c:v>
                </c:pt>
                <c:pt idx="86">
                  <c:v>0</c:v>
                </c:pt>
                <c:pt idx="87">
                  <c:v>1034.21045914552</c:v>
                </c:pt>
                <c:pt idx="88">
                  <c:v>1210.47644789285</c:v>
                </c:pt>
                <c:pt idx="89">
                  <c:v>441.52406990489</c:v>
                </c:pt>
                <c:pt idx="90">
                  <c:v>887.068641214561</c:v>
                </c:pt>
                <c:pt idx="91">
                  <c:v>562.260096875224</c:v>
                </c:pt>
                <c:pt idx="92">
                  <c:v>246.615121134903</c:v>
                </c:pt>
                <c:pt idx="93">
                  <c:v>152.061226111677</c:v>
                </c:pt>
                <c:pt idx="94">
                  <c:v>119.894516565378</c:v>
                </c:pt>
                <c:pt idx="95">
                  <c:v>93.9666460768146</c:v>
                </c:pt>
                <c:pt idx="96">
                  <c:v>95.9011665440386</c:v>
                </c:pt>
                <c:pt idx="97">
                  <c:v>106.341386583137</c:v>
                </c:pt>
                <c:pt idx="98">
                  <c:v>55.9727884722226</c:v>
                </c:pt>
                <c:pt idx="99">
                  <c:v>40.9146765089835</c:v>
                </c:pt>
                <c:pt idx="100">
                  <c:v>45.3579988549171</c:v>
                </c:pt>
                <c:pt idx="101">
                  <c:v>43.5597277425265</c:v>
                </c:pt>
                <c:pt idx="102">
                  <c:v>5369.06122065384</c:v>
                </c:pt>
                <c:pt idx="103">
                  <c:v>5006.39865487243</c:v>
                </c:pt>
                <c:pt idx="104">
                  <c:v>729.250934110122</c:v>
                </c:pt>
                <c:pt idx="105">
                  <c:v>2775.2349742356</c:v>
                </c:pt>
                <c:pt idx="106">
                  <c:v>1279.90264156499</c:v>
                </c:pt>
                <c:pt idx="107">
                  <c:v>1377.53859830803</c:v>
                </c:pt>
                <c:pt idx="108">
                  <c:v>589.992169025849</c:v>
                </c:pt>
                <c:pt idx="109">
                  <c:v>6289.86208238234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总表20230726!$AD$147:$AD$173</c:f>
              <c:numCache>
                <c:formatCode>0.000_ </c:formatCode>
                <c:ptCount val="27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  <c:pt idx="8">
                  <c:v>4.44982822350614</c:v>
                </c:pt>
                <c:pt idx="9">
                  <c:v>6.28570007921685</c:v>
                </c:pt>
                <c:pt idx="10">
                  <c:v>5.15956443208434</c:v>
                </c:pt>
                <c:pt idx="11">
                  <c:v>6.15732946917909</c:v>
                </c:pt>
                <c:pt idx="12">
                  <c:v>6.91796593064418</c:v>
                </c:pt>
                <c:pt idx="13">
                  <c:v>3.30482516991645</c:v>
                </c:pt>
                <c:pt idx="14">
                  <c:v>3.26019705018494</c:v>
                </c:pt>
                <c:pt idx="15">
                  <c:v>7.3598406624916</c:v>
                </c:pt>
                <c:pt idx="16">
                  <c:v>3.85543873631613</c:v>
                </c:pt>
                <c:pt idx="17">
                  <c:v>3.85010850895821</c:v>
                </c:pt>
                <c:pt idx="18">
                  <c:v>4.57347821492015</c:v>
                </c:pt>
                <c:pt idx="19">
                  <c:v>4.2741678599179</c:v>
                </c:pt>
                <c:pt idx="20">
                  <c:v>7.18716979071478</c:v>
                </c:pt>
                <c:pt idx="21">
                  <c:v>3.79658296628963</c:v>
                </c:pt>
                <c:pt idx="22">
                  <c:v>4.89584972917858</c:v>
                </c:pt>
                <c:pt idx="23">
                  <c:v>0</c:v>
                </c:pt>
                <c:pt idx="24">
                  <c:v>6.53933829633019</c:v>
                </c:pt>
                <c:pt idx="25">
                  <c:v>5.43954882457774</c:v>
                </c:pt>
                <c:pt idx="26">
                  <c:v>5.53949865128933</c:v>
                </c:pt>
              </c:numCache>
            </c:numRef>
          </c:xVal>
          <c:yVal>
            <c:numRef>
              <c:f>总表20230726!$AK$147:$AK$173</c:f>
              <c:numCache>
                <c:formatCode>0.00E+00</c:formatCode>
                <c:ptCount val="27"/>
                <c:pt idx="0">
                  <c:v>1059.76060166605</c:v>
                </c:pt>
                <c:pt idx="1">
                  <c:v>1088.0873713261</c:v>
                </c:pt>
                <c:pt idx="2">
                  <c:v>1012.04597656022</c:v>
                </c:pt>
                <c:pt idx="3">
                  <c:v>1008.82922355334</c:v>
                </c:pt>
                <c:pt idx="4">
                  <c:v>1016.31008615828</c:v>
                </c:pt>
                <c:pt idx="5">
                  <c:v>1017.51333117544</c:v>
                </c:pt>
                <c:pt idx="6">
                  <c:v>1304.92620403189</c:v>
                </c:pt>
                <c:pt idx="7">
                  <c:v>1488.03086321137</c:v>
                </c:pt>
                <c:pt idx="8">
                  <c:v>38.6110984014449</c:v>
                </c:pt>
                <c:pt idx="9">
                  <c:v>1154.18590508965</c:v>
                </c:pt>
                <c:pt idx="10">
                  <c:v>238.216803618779</c:v>
                </c:pt>
                <c:pt idx="11">
                  <c:v>151.378816139445</c:v>
                </c:pt>
                <c:pt idx="12">
                  <c:v>110.769909371703</c:v>
                </c:pt>
                <c:pt idx="13">
                  <c:v>141.530688166269</c:v>
                </c:pt>
                <c:pt idx="14">
                  <c:v>104.797520309462</c:v>
                </c:pt>
                <c:pt idx="15">
                  <c:v>50.1949427646835</c:v>
                </c:pt>
                <c:pt idx="16">
                  <c:v>52.0958698005987</c:v>
                </c:pt>
                <c:pt idx="17">
                  <c:v>46.3390748496228</c:v>
                </c:pt>
                <c:pt idx="18">
                  <c:v>48.2573564943293</c:v>
                </c:pt>
                <c:pt idx="19">
                  <c:v>47.9247860392259</c:v>
                </c:pt>
                <c:pt idx="20">
                  <c:v>46.0179718230684</c:v>
                </c:pt>
                <c:pt idx="21">
                  <c:v>50.5502867839303</c:v>
                </c:pt>
                <c:pt idx="22">
                  <c:v>3310.22730631579</c:v>
                </c:pt>
                <c:pt idx="23">
                  <c:v>0</c:v>
                </c:pt>
                <c:pt idx="24">
                  <c:v>1661.27824218384</c:v>
                </c:pt>
                <c:pt idx="25">
                  <c:v>246.431818245124</c:v>
                </c:pt>
                <c:pt idx="26">
                  <c:v>157.684549453387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总表20230726!$AD$174:$AD$218</c:f>
              <c:numCache>
                <c:formatCode>0.000_ </c:formatCode>
                <c:ptCount val="45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1.57362928709765</c:v>
                </c:pt>
                <c:pt idx="10">
                  <c:v>1.79600423030684</c:v>
                </c:pt>
                <c:pt idx="11">
                  <c:v>1.68552385979283</c:v>
                </c:pt>
                <c:pt idx="12">
                  <c:v>1.66627746154534</c:v>
                </c:pt>
                <c:pt idx="13">
                  <c:v>1.64636675554716</c:v>
                </c:pt>
                <c:pt idx="14">
                  <c:v>1.4633328844295</c:v>
                </c:pt>
                <c:pt idx="15">
                  <c:v>1.69673331276319</c:v>
                </c:pt>
                <c:pt idx="16">
                  <c:v>1.63404837615802</c:v>
                </c:pt>
                <c:pt idx="17">
                  <c:v>1.49148551464658</c:v>
                </c:pt>
                <c:pt idx="18">
                  <c:v>0</c:v>
                </c:pt>
                <c:pt idx="19">
                  <c:v>3.14683940653703</c:v>
                </c:pt>
                <c:pt idx="20">
                  <c:v>3.50334349817808</c:v>
                </c:pt>
                <c:pt idx="21">
                  <c:v>3.26444724461408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5.72691665765607</c:v>
                </c:pt>
                <c:pt idx="29">
                  <c:v>4.94587045399771</c:v>
                </c:pt>
                <c:pt idx="30">
                  <c:v>0</c:v>
                </c:pt>
                <c:pt idx="31">
                  <c:v>5.11956626921921</c:v>
                </c:pt>
                <c:pt idx="32">
                  <c:v>0</c:v>
                </c:pt>
                <c:pt idx="33">
                  <c:v>5.63906642370967</c:v>
                </c:pt>
                <c:pt idx="34">
                  <c:v>5.64576078760546</c:v>
                </c:pt>
                <c:pt idx="35">
                  <c:v>4.71340297631085</c:v>
                </c:pt>
                <c:pt idx="36">
                  <c:v>4.25880647190897</c:v>
                </c:pt>
                <c:pt idx="37">
                  <c:v>5.16391494798663</c:v>
                </c:pt>
                <c:pt idx="38">
                  <c:v>5.85086639651386</c:v>
                </c:pt>
                <c:pt idx="39">
                  <c:v>5.19011733989259</c:v>
                </c:pt>
                <c:pt idx="40">
                  <c:v>6.67840918668214</c:v>
                </c:pt>
                <c:pt idx="41">
                  <c:v>6.39012679972256</c:v>
                </c:pt>
                <c:pt idx="42">
                  <c:v>6.65609803648866</c:v>
                </c:pt>
                <c:pt idx="43">
                  <c:v>1.70589820848416</c:v>
                </c:pt>
                <c:pt idx="44">
                  <c:v>1.73772162651171</c:v>
                </c:pt>
              </c:numCache>
            </c:numRef>
          </c:xVal>
          <c:yVal>
            <c:numRef>
              <c:f>总表20230726!$AK$174:$AK$218</c:f>
              <c:numCache>
                <c:formatCode>0.00E+00</c:formatCode>
                <c:ptCount val="45"/>
                <c:pt idx="0">
                  <c:v>11984.4686238862</c:v>
                </c:pt>
                <c:pt idx="1">
                  <c:v>8221.19364369178</c:v>
                </c:pt>
                <c:pt idx="2">
                  <c:v>8594.7633251459</c:v>
                </c:pt>
                <c:pt idx="3">
                  <c:v>8914.78150896826</c:v>
                </c:pt>
                <c:pt idx="4">
                  <c:v>7163.41620207471</c:v>
                </c:pt>
                <c:pt idx="5">
                  <c:v>4282.59733330896</c:v>
                </c:pt>
                <c:pt idx="6">
                  <c:v>2288.60492730649</c:v>
                </c:pt>
                <c:pt idx="7">
                  <c:v>2413.14148428687</c:v>
                </c:pt>
                <c:pt idx="8">
                  <c:v>5874.63989193412</c:v>
                </c:pt>
                <c:pt idx="9">
                  <c:v>1305.6306769649</c:v>
                </c:pt>
                <c:pt idx="10">
                  <c:v>1084.6353837134</c:v>
                </c:pt>
                <c:pt idx="11">
                  <c:v>1281.80629148269</c:v>
                </c:pt>
                <c:pt idx="12">
                  <c:v>1257.25875674842</c:v>
                </c:pt>
                <c:pt idx="13">
                  <c:v>1969.55260769022</c:v>
                </c:pt>
                <c:pt idx="14">
                  <c:v>1909.92366126673</c:v>
                </c:pt>
                <c:pt idx="15">
                  <c:v>1765.8376180659</c:v>
                </c:pt>
                <c:pt idx="16">
                  <c:v>1466.66755654608</c:v>
                </c:pt>
                <c:pt idx="17">
                  <c:v>1434.67304882926</c:v>
                </c:pt>
                <c:pt idx="18">
                  <c:v>0</c:v>
                </c:pt>
                <c:pt idx="19">
                  <c:v>2336.43873097447</c:v>
                </c:pt>
                <c:pt idx="20">
                  <c:v>2913.3646849016</c:v>
                </c:pt>
                <c:pt idx="21">
                  <c:v>3050.98587167775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537.930997673817</c:v>
                </c:pt>
                <c:pt idx="29">
                  <c:v>1523.81734686615</c:v>
                </c:pt>
                <c:pt idx="30">
                  <c:v>0</c:v>
                </c:pt>
                <c:pt idx="31">
                  <c:v>1172.35785926197</c:v>
                </c:pt>
                <c:pt idx="32">
                  <c:v>0</c:v>
                </c:pt>
                <c:pt idx="33">
                  <c:v>1876.46475005754</c:v>
                </c:pt>
                <c:pt idx="34">
                  <c:v>2681.11206031922</c:v>
                </c:pt>
                <c:pt idx="35">
                  <c:v>1268.06821297118</c:v>
                </c:pt>
                <c:pt idx="36">
                  <c:v>1690.10103694601</c:v>
                </c:pt>
                <c:pt idx="37">
                  <c:v>1755.04185071751</c:v>
                </c:pt>
                <c:pt idx="38">
                  <c:v>958.864289030881</c:v>
                </c:pt>
                <c:pt idx="39">
                  <c:v>547.342112410403</c:v>
                </c:pt>
                <c:pt idx="40">
                  <c:v>116.863637984994</c:v>
                </c:pt>
                <c:pt idx="41">
                  <c:v>125.912713696492</c:v>
                </c:pt>
                <c:pt idx="42">
                  <c:v>1970.14608372247</c:v>
                </c:pt>
                <c:pt idx="43">
                  <c:v>2354.57605014456</c:v>
                </c:pt>
                <c:pt idx="44">
                  <c:v>5115.33013188302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C</a:t>
                </a:r>
                <a:r>
                  <a:rPr lang="en-US" altLang="zh-CN" sz="12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D</a:t>
                </a:r>
                <a:endParaRPr lang="en-US" altLang="zh-CN" sz="12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354770531400966"/>
              <c:y val="0.41292808799393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814bb0-4b49-402d-bc13-77ded29ca65e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43245380689"/>
          <c:y val="0.0429733930693975"/>
          <c:w val="0.85376375008987"/>
          <c:h val="0.83578677882417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总表20230726!$AK$3:$AK$146</c:f>
              <c:numCache>
                <c:formatCode>0.00E+00</c:formatCode>
                <c:ptCount val="110"/>
                <c:pt idx="0">
                  <c:v>2411.25473281122</c:v>
                </c:pt>
                <c:pt idx="1">
                  <c:v>2140.10863619714</c:v>
                </c:pt>
                <c:pt idx="2">
                  <c:v>1228.44136078131</c:v>
                </c:pt>
                <c:pt idx="3">
                  <c:v>2095.65852939582</c:v>
                </c:pt>
                <c:pt idx="4">
                  <c:v>1419.19904250559</c:v>
                </c:pt>
                <c:pt idx="5">
                  <c:v>943.607786041535</c:v>
                </c:pt>
                <c:pt idx="6">
                  <c:v>1542.94817633202</c:v>
                </c:pt>
                <c:pt idx="7">
                  <c:v>1374.69686134812</c:v>
                </c:pt>
                <c:pt idx="8">
                  <c:v>988.931660735775</c:v>
                </c:pt>
                <c:pt idx="9">
                  <c:v>960.275940360976</c:v>
                </c:pt>
                <c:pt idx="10">
                  <c:v>283.79213939661</c:v>
                </c:pt>
                <c:pt idx="11">
                  <c:v>753.418740379447</c:v>
                </c:pt>
                <c:pt idx="12">
                  <c:v>1168.21655299768</c:v>
                </c:pt>
                <c:pt idx="13">
                  <c:v>1261.10216498897</c:v>
                </c:pt>
                <c:pt idx="14">
                  <c:v>1617.18977729197</c:v>
                </c:pt>
                <c:pt idx="15">
                  <c:v>1647.22829641394</c:v>
                </c:pt>
                <c:pt idx="16">
                  <c:v>6005.80094935257</c:v>
                </c:pt>
                <c:pt idx="17">
                  <c:v>64.74014941043</c:v>
                </c:pt>
                <c:pt idx="18">
                  <c:v>1470.70316114044</c:v>
                </c:pt>
                <c:pt idx="19">
                  <c:v>1520.63110435214</c:v>
                </c:pt>
                <c:pt idx="20">
                  <c:v>986.803431452178</c:v>
                </c:pt>
                <c:pt idx="21">
                  <c:v>4776.21214974479</c:v>
                </c:pt>
                <c:pt idx="22">
                  <c:v>496.696707899241</c:v>
                </c:pt>
                <c:pt idx="23">
                  <c:v>297.99444502094</c:v>
                </c:pt>
                <c:pt idx="24">
                  <c:v>537.009783848614</c:v>
                </c:pt>
                <c:pt idx="25">
                  <c:v>278.370352559634</c:v>
                </c:pt>
                <c:pt idx="26">
                  <c:v>565.522250701889</c:v>
                </c:pt>
                <c:pt idx="27">
                  <c:v>525.526921495625</c:v>
                </c:pt>
                <c:pt idx="28">
                  <c:v>144.502810873393</c:v>
                </c:pt>
                <c:pt idx="29">
                  <c:v>384.941657517216</c:v>
                </c:pt>
                <c:pt idx="30">
                  <c:v>376.447485872349</c:v>
                </c:pt>
                <c:pt idx="31">
                  <c:v>1028.89150043125</c:v>
                </c:pt>
                <c:pt idx="32">
                  <c:v>958.147065029258</c:v>
                </c:pt>
                <c:pt idx="33">
                  <c:v>217.616088029874</c:v>
                </c:pt>
                <c:pt idx="34">
                  <c:v>665.084403545134</c:v>
                </c:pt>
                <c:pt idx="35">
                  <c:v>447.491313187433</c:v>
                </c:pt>
                <c:pt idx="36">
                  <c:v>676.661251549476</c:v>
                </c:pt>
                <c:pt idx="37">
                  <c:v>879.919301842596</c:v>
                </c:pt>
                <c:pt idx="38">
                  <c:v>723.582684881494</c:v>
                </c:pt>
                <c:pt idx="39">
                  <c:v>888.658671100032</c:v>
                </c:pt>
                <c:pt idx="40">
                  <c:v>865.632732754755</c:v>
                </c:pt>
                <c:pt idx="41">
                  <c:v>1439.47499364656</c:v>
                </c:pt>
                <c:pt idx="42">
                  <c:v>2271.06234783184</c:v>
                </c:pt>
                <c:pt idx="43">
                  <c:v>922.558952427199</c:v>
                </c:pt>
                <c:pt idx="44">
                  <c:v>4163.48248889638</c:v>
                </c:pt>
                <c:pt idx="45">
                  <c:v>0</c:v>
                </c:pt>
                <c:pt idx="46">
                  <c:v>0</c:v>
                </c:pt>
                <c:pt idx="47">
                  <c:v>25.8702552000721</c:v>
                </c:pt>
                <c:pt idx="48">
                  <c:v>36.8772994756331</c:v>
                </c:pt>
                <c:pt idx="49">
                  <c:v>906.872814695254</c:v>
                </c:pt>
                <c:pt idx="50">
                  <c:v>929.39518768814</c:v>
                </c:pt>
                <c:pt idx="51">
                  <c:v>841.37821549458</c:v>
                </c:pt>
                <c:pt idx="52">
                  <c:v>910.176731359356</c:v>
                </c:pt>
                <c:pt idx="53">
                  <c:v>1374.31745607335</c:v>
                </c:pt>
                <c:pt idx="54">
                  <c:v>1441.86436866035</c:v>
                </c:pt>
                <c:pt idx="55">
                  <c:v>1738.45277118048</c:v>
                </c:pt>
                <c:pt idx="56">
                  <c:v>1739.33893227744</c:v>
                </c:pt>
                <c:pt idx="57">
                  <c:v>1761.99524681927</c:v>
                </c:pt>
                <c:pt idx="58">
                  <c:v>1386.84751225914</c:v>
                </c:pt>
                <c:pt idx="59">
                  <c:v>1893.58729425427</c:v>
                </c:pt>
                <c:pt idx="60">
                  <c:v>1400.35456571246</c:v>
                </c:pt>
                <c:pt idx="61">
                  <c:v>1597.61022759058</c:v>
                </c:pt>
                <c:pt idx="62">
                  <c:v>1163.9483116436</c:v>
                </c:pt>
                <c:pt idx="63">
                  <c:v>1368.41669226193</c:v>
                </c:pt>
                <c:pt idx="64">
                  <c:v>1112.9394513154</c:v>
                </c:pt>
                <c:pt idx="65">
                  <c:v>597.759764405735</c:v>
                </c:pt>
                <c:pt idx="66">
                  <c:v>0</c:v>
                </c:pt>
                <c:pt idx="67">
                  <c:v>0</c:v>
                </c:pt>
                <c:pt idx="68">
                  <c:v>537.954525389798</c:v>
                </c:pt>
                <c:pt idx="69">
                  <c:v>855.424244446874</c:v>
                </c:pt>
                <c:pt idx="70">
                  <c:v>385.822113505695</c:v>
                </c:pt>
                <c:pt idx="71">
                  <c:v>481.123829758859</c:v>
                </c:pt>
                <c:pt idx="72">
                  <c:v>730.545378036107</c:v>
                </c:pt>
                <c:pt idx="73">
                  <c:v>535.547708596937</c:v>
                </c:pt>
                <c:pt idx="74">
                  <c:v>456.252126275479</c:v>
                </c:pt>
                <c:pt idx="75">
                  <c:v>448.83700564189</c:v>
                </c:pt>
                <c:pt idx="76">
                  <c:v>273.921792077383</c:v>
                </c:pt>
                <c:pt idx="77">
                  <c:v>262.339364914566</c:v>
                </c:pt>
                <c:pt idx="78">
                  <c:v>210.642746169214</c:v>
                </c:pt>
                <c:pt idx="79">
                  <c:v>219.216498549315</c:v>
                </c:pt>
                <c:pt idx="80">
                  <c:v>351.689856917598</c:v>
                </c:pt>
                <c:pt idx="81">
                  <c:v>180.047477456328</c:v>
                </c:pt>
                <c:pt idx="82">
                  <c:v>184.378059925517</c:v>
                </c:pt>
                <c:pt idx="83">
                  <c:v>223.905465322994</c:v>
                </c:pt>
                <c:pt idx="84">
                  <c:v>146.740956160551</c:v>
                </c:pt>
                <c:pt idx="85">
                  <c:v>151.607531001295</c:v>
                </c:pt>
                <c:pt idx="86">
                  <c:v>0</c:v>
                </c:pt>
                <c:pt idx="87">
                  <c:v>1034.21045914552</c:v>
                </c:pt>
                <c:pt idx="88">
                  <c:v>1210.47644789285</c:v>
                </c:pt>
                <c:pt idx="89">
                  <c:v>441.52406990489</c:v>
                </c:pt>
                <c:pt idx="90">
                  <c:v>887.068641214561</c:v>
                </c:pt>
                <c:pt idx="91">
                  <c:v>562.260096875224</c:v>
                </c:pt>
                <c:pt idx="92">
                  <c:v>246.615121134903</c:v>
                </c:pt>
                <c:pt idx="93">
                  <c:v>152.061226111677</c:v>
                </c:pt>
                <c:pt idx="94">
                  <c:v>119.894516565378</c:v>
                </c:pt>
                <c:pt idx="95">
                  <c:v>93.9666460768146</c:v>
                </c:pt>
                <c:pt idx="96">
                  <c:v>95.9011665440386</c:v>
                </c:pt>
                <c:pt idx="97">
                  <c:v>106.341386583137</c:v>
                </c:pt>
                <c:pt idx="98">
                  <c:v>55.9727884722226</c:v>
                </c:pt>
                <c:pt idx="99">
                  <c:v>40.9146765089835</c:v>
                </c:pt>
                <c:pt idx="100">
                  <c:v>45.3579988549171</c:v>
                </c:pt>
                <c:pt idx="101">
                  <c:v>43.5597277425265</c:v>
                </c:pt>
                <c:pt idx="102">
                  <c:v>5369.06122065384</c:v>
                </c:pt>
                <c:pt idx="103">
                  <c:v>5006.39865487243</c:v>
                </c:pt>
                <c:pt idx="104">
                  <c:v>729.250934110122</c:v>
                </c:pt>
                <c:pt idx="105">
                  <c:v>2775.2349742356</c:v>
                </c:pt>
                <c:pt idx="106">
                  <c:v>1279.90264156499</c:v>
                </c:pt>
                <c:pt idx="107">
                  <c:v>1377.53859830803</c:v>
                </c:pt>
                <c:pt idx="108">
                  <c:v>589.992169025849</c:v>
                </c:pt>
                <c:pt idx="109">
                  <c:v>6289.86208238234</c:v>
                </c:pt>
              </c:numCache>
            </c:numRef>
          </c:xVal>
          <c:yVal>
            <c:numRef>
              <c:f>总表20230726!$AX$3:$AX$146</c:f>
              <c:numCache>
                <c:formatCode>0.000_ </c:formatCode>
                <c:ptCount val="110"/>
                <c:pt idx="0">
                  <c:v>0.330159602093124</c:v>
                </c:pt>
                <c:pt idx="1">
                  <c:v>0.374161909408699</c:v>
                </c:pt>
                <c:pt idx="2">
                  <c:v>0.63109389843819</c:v>
                </c:pt>
                <c:pt idx="3">
                  <c:v>0.387929977379539</c:v>
                </c:pt>
                <c:pt idx="4">
                  <c:v>0.583468022657874</c:v>
                </c:pt>
                <c:pt idx="5">
                  <c:v>0.880324567110261</c:v>
                </c:pt>
                <c:pt idx="6">
                  <c:v>0.556042455279372</c:v>
                </c:pt>
                <c:pt idx="7">
                  <c:v>0.599192497407829</c:v>
                </c:pt>
                <c:pt idx="8">
                  <c:v>0.860159855877793</c:v>
                </c:pt>
                <c:pt idx="9">
                  <c:v>0.876171019759605</c:v>
                </c:pt>
                <c:pt idx="10">
                  <c:v>2.95042814088531</c:v>
                </c:pt>
                <c:pt idx="11">
                  <c:v>1.2441819954562</c:v>
                </c:pt>
                <c:pt idx="12">
                  <c:v>0.803849796288749</c:v>
                </c:pt>
                <c:pt idx="13">
                  <c:v>0.744033784809289</c:v>
                </c:pt>
                <c:pt idx="14">
                  <c:v>0.57848254857925</c:v>
                </c:pt>
                <c:pt idx="15">
                  <c:v>0.568455540687007</c:v>
                </c:pt>
                <c:pt idx="16">
                  <c:v>0.125260301090443</c:v>
                </c:pt>
                <c:pt idx="17">
                  <c:v>11.679736172143</c:v>
                </c:pt>
                <c:pt idx="18">
                  <c:v>0.490426679258394</c:v>
                </c:pt>
                <c:pt idx="19">
                  <c:v>0.460966401063924</c:v>
                </c:pt>
                <c:pt idx="20">
                  <c:v>0.685117606828518</c:v>
                </c:pt>
                <c:pt idx="21">
                  <c:v>0.160307668035049</c:v>
                </c:pt>
                <c:pt idx="22">
                  <c:v>1.3666355450194</c:v>
                </c:pt>
                <c:pt idx="23">
                  <c:v>2.2509670377423</c:v>
                </c:pt>
                <c:pt idx="24">
                  <c:v>1.24393287517423</c:v>
                </c:pt>
                <c:pt idx="25">
                  <c:v>2.46768264926978</c:v>
                </c:pt>
                <c:pt idx="26">
                  <c:v>1.21701704330583</c:v>
                </c:pt>
                <c:pt idx="27">
                  <c:v>1.33659620617291</c:v>
                </c:pt>
                <c:pt idx="28">
                  <c:v>4.88904344120413</c:v>
                </c:pt>
                <c:pt idx="29">
                  <c:v>1.82536452326973</c:v>
                </c:pt>
                <c:pt idx="30">
                  <c:v>1.87848524110253</c:v>
                </c:pt>
                <c:pt idx="31">
                  <c:v>0.64425769476532</c:v>
                </c:pt>
                <c:pt idx="32">
                  <c:v>0.704556599934181</c:v>
                </c:pt>
                <c:pt idx="33">
                  <c:v>3.11578905507854</c:v>
                </c:pt>
                <c:pt idx="34">
                  <c:v>1.01498071367777</c:v>
                </c:pt>
                <c:pt idx="35">
                  <c:v>1.51083226652162</c:v>
                </c:pt>
                <c:pt idx="36">
                  <c:v>1.01668187527794</c:v>
                </c:pt>
                <c:pt idx="37">
                  <c:v>0.775241962528414</c:v>
                </c:pt>
                <c:pt idx="38">
                  <c:v>0.9493132923863</c:v>
                </c:pt>
                <c:pt idx="39">
                  <c:v>0.779474474811788</c:v>
                </c:pt>
                <c:pt idx="40">
                  <c:v>0.79312861630632</c:v>
                </c:pt>
                <c:pt idx="41">
                  <c:v>0.496183662563217</c:v>
                </c:pt>
                <c:pt idx="42">
                  <c:v>0.30365966707548</c:v>
                </c:pt>
                <c:pt idx="43">
                  <c:v>0.740940354276662</c:v>
                </c:pt>
                <c:pt idx="44">
                  <c:v>0.165009102929571</c:v>
                </c:pt>
                <c:pt idx="45">
                  <c:v>0</c:v>
                </c:pt>
                <c:pt idx="46">
                  <c:v>0</c:v>
                </c:pt>
                <c:pt idx="47">
                  <c:v>29.7113567920692</c:v>
                </c:pt>
                <c:pt idx="48">
                  <c:v>21.392571559767</c:v>
                </c:pt>
                <c:pt idx="49">
                  <c:v>0.844974037488999</c:v>
                </c:pt>
                <c:pt idx="50">
                  <c:v>0.84166493238654</c:v>
                </c:pt>
                <c:pt idx="51">
                  <c:v>0.909470155583729</c:v>
                </c:pt>
                <c:pt idx="52">
                  <c:v>0.857089959232866</c:v>
                </c:pt>
                <c:pt idx="53">
                  <c:v>0.569567675766704</c:v>
                </c:pt>
                <c:pt idx="54">
                  <c:v>0.53091233700304</c:v>
                </c:pt>
                <c:pt idx="55">
                  <c:v>0.43923968844217</c:v>
                </c:pt>
                <c:pt idx="56">
                  <c:v>0.424685139881356</c:v>
                </c:pt>
                <c:pt idx="57">
                  <c:v>0.420638622581237</c:v>
                </c:pt>
                <c:pt idx="58">
                  <c:v>0.537345092558396</c:v>
                </c:pt>
                <c:pt idx="59">
                  <c:v>0.396271173131141</c:v>
                </c:pt>
                <c:pt idx="60">
                  <c:v>0.535421874689521</c:v>
                </c:pt>
                <c:pt idx="61">
                  <c:v>0.481366916728863</c:v>
                </c:pt>
                <c:pt idx="62">
                  <c:v>0.668837795944863</c:v>
                </c:pt>
                <c:pt idx="63">
                  <c:v>0.562394540377423</c:v>
                </c:pt>
                <c:pt idx="64">
                  <c:v>0.69032551025812</c:v>
                </c:pt>
                <c:pt idx="65">
                  <c:v>1.2879643423301</c:v>
                </c:pt>
                <c:pt idx="66">
                  <c:v>0.333849737938365</c:v>
                </c:pt>
                <c:pt idx="67">
                  <c:v>1.81762635099776</c:v>
                </c:pt>
                <c:pt idx="68">
                  <c:v>1.2329687222647</c:v>
                </c:pt>
                <c:pt idx="69">
                  <c:v>0.684468266898268</c:v>
                </c:pt>
                <c:pt idx="70">
                  <c:v>1.50898172005055</c:v>
                </c:pt>
                <c:pt idx="71">
                  <c:v>1.10926716265665</c:v>
                </c:pt>
                <c:pt idx="72">
                  <c:v>0.709990046046265</c:v>
                </c:pt>
                <c:pt idx="73">
                  <c:v>0.977771955179391</c:v>
                </c:pt>
                <c:pt idx="74">
                  <c:v>1.00112519711741</c:v>
                </c:pt>
                <c:pt idx="75">
                  <c:v>1.04201177950765</c:v>
                </c:pt>
                <c:pt idx="76">
                  <c:v>1.45671257902337</c:v>
                </c:pt>
                <c:pt idx="77">
                  <c:v>1.51427893939156</c:v>
                </c:pt>
                <c:pt idx="78">
                  <c:v>1.59336088603186</c:v>
                </c:pt>
                <c:pt idx="79">
                  <c:v>1.57307285190635</c:v>
                </c:pt>
                <c:pt idx="80">
                  <c:v>0.905246233195466</c:v>
                </c:pt>
                <c:pt idx="81">
                  <c:v>1.40725512337182</c:v>
                </c:pt>
                <c:pt idx="82">
                  <c:v>1.39401441428922</c:v>
                </c:pt>
                <c:pt idx="83">
                  <c:v>1.24694313857666</c:v>
                </c:pt>
                <c:pt idx="84">
                  <c:v>1.34435331048848</c:v>
                </c:pt>
                <c:pt idx="85">
                  <c:v>1.30350554446275</c:v>
                </c:pt>
                <c:pt idx="86">
                  <c:v>0</c:v>
                </c:pt>
                <c:pt idx="87">
                  <c:v>0.671258886122131</c:v>
                </c:pt>
                <c:pt idx="88">
                  <c:v>0.345054083007476</c:v>
                </c:pt>
                <c:pt idx="89">
                  <c:v>0.466787557440596</c:v>
                </c:pt>
                <c:pt idx="90">
                  <c:v>0.742754792149541</c:v>
                </c:pt>
                <c:pt idx="91">
                  <c:v>1.22250250270711</c:v>
                </c:pt>
                <c:pt idx="92">
                  <c:v>1.62670674169203</c:v>
                </c:pt>
                <c:pt idx="93">
                  <c:v>1.45858932643497</c:v>
                </c:pt>
                <c:pt idx="94">
                  <c:v>1.13610187096159</c:v>
                </c:pt>
                <c:pt idx="95">
                  <c:v>1.38220785246592</c:v>
                </c:pt>
                <c:pt idx="96">
                  <c:v>1.35073018004669</c:v>
                </c:pt>
                <c:pt idx="97">
                  <c:v>1.40275679935641</c:v>
                </c:pt>
                <c:pt idx="98">
                  <c:v>1.24465411996188</c:v>
                </c:pt>
                <c:pt idx="99">
                  <c:v>1.58310198737128</c:v>
                </c:pt>
                <c:pt idx="100">
                  <c:v>1.45011390738082</c:v>
                </c:pt>
                <c:pt idx="101">
                  <c:v>1.58328471512409</c:v>
                </c:pt>
                <c:pt idx="102">
                  <c:v>0.134691725189391</c:v>
                </c:pt>
                <c:pt idx="103">
                  <c:v>0.147492695240178</c:v>
                </c:pt>
                <c:pt idx="104">
                  <c:v>0.295509544562795</c:v>
                </c:pt>
                <c:pt idx="105">
                  <c:v>0.151058132906366</c:v>
                </c:pt>
                <c:pt idx="106">
                  <c:v>0.545715574967723</c:v>
                </c:pt>
                <c:pt idx="107">
                  <c:v>0.296956424222367</c:v>
                </c:pt>
                <c:pt idx="108">
                  <c:v>0.383062909936896</c:v>
                </c:pt>
                <c:pt idx="109">
                  <c:v>0.105916528424022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总表20230726!$AK$147:$AK$173</c:f>
              <c:numCache>
                <c:formatCode>0.00E+00</c:formatCode>
                <c:ptCount val="27"/>
                <c:pt idx="0">
                  <c:v>1059.76060166605</c:v>
                </c:pt>
                <c:pt idx="1">
                  <c:v>1088.0873713261</c:v>
                </c:pt>
                <c:pt idx="2">
                  <c:v>1012.04597656022</c:v>
                </c:pt>
                <c:pt idx="3">
                  <c:v>1008.82922355334</c:v>
                </c:pt>
                <c:pt idx="4">
                  <c:v>1016.31008615828</c:v>
                </c:pt>
                <c:pt idx="5">
                  <c:v>1017.51333117544</c:v>
                </c:pt>
                <c:pt idx="6">
                  <c:v>1304.92620403189</c:v>
                </c:pt>
                <c:pt idx="7">
                  <c:v>1488.03086321137</c:v>
                </c:pt>
                <c:pt idx="8">
                  <c:v>38.6110984014449</c:v>
                </c:pt>
                <c:pt idx="9">
                  <c:v>1154.18590508965</c:v>
                </c:pt>
                <c:pt idx="10">
                  <c:v>238.216803618779</c:v>
                </c:pt>
                <c:pt idx="11">
                  <c:v>151.378816139445</c:v>
                </c:pt>
                <c:pt idx="12">
                  <c:v>110.769909371703</c:v>
                </c:pt>
                <c:pt idx="13">
                  <c:v>141.530688166269</c:v>
                </c:pt>
                <c:pt idx="14">
                  <c:v>104.797520309462</c:v>
                </c:pt>
                <c:pt idx="15">
                  <c:v>50.1949427646835</c:v>
                </c:pt>
                <c:pt idx="16">
                  <c:v>52.0958698005987</c:v>
                </c:pt>
                <c:pt idx="17">
                  <c:v>46.3390748496228</c:v>
                </c:pt>
                <c:pt idx="18">
                  <c:v>48.2573564943293</c:v>
                </c:pt>
                <c:pt idx="19">
                  <c:v>47.9247860392259</c:v>
                </c:pt>
                <c:pt idx="20">
                  <c:v>46.0179718230684</c:v>
                </c:pt>
                <c:pt idx="21">
                  <c:v>50.5502867839303</c:v>
                </c:pt>
                <c:pt idx="22">
                  <c:v>3310.22730631579</c:v>
                </c:pt>
                <c:pt idx="23">
                  <c:v>0</c:v>
                </c:pt>
                <c:pt idx="24">
                  <c:v>1661.27824218384</c:v>
                </c:pt>
                <c:pt idx="25">
                  <c:v>246.431818245124</c:v>
                </c:pt>
                <c:pt idx="26">
                  <c:v>157.684549453387</c:v>
                </c:pt>
              </c:numCache>
            </c:numRef>
          </c:xVal>
          <c:yVal>
            <c:numRef>
              <c:f>总表20230726!$AX$147:$AX$173</c:f>
              <c:numCache>
                <c:formatCode>0.000_ </c:formatCode>
                <c:ptCount val="27"/>
                <c:pt idx="0">
                  <c:v>0.872611404813205</c:v>
                </c:pt>
                <c:pt idx="1">
                  <c:v>0.841372084053665</c:v>
                </c:pt>
                <c:pt idx="2">
                  <c:v>0.909770115051233</c:v>
                </c:pt>
                <c:pt idx="3">
                  <c:v>0.913582908573194</c:v>
                </c:pt>
                <c:pt idx="4">
                  <c:v>0.89410159645242</c:v>
                </c:pt>
                <c:pt idx="5">
                  <c:v>0.909869011388067</c:v>
                </c:pt>
                <c:pt idx="6">
                  <c:v>0.726170651565599</c:v>
                </c:pt>
                <c:pt idx="7">
                  <c:v>0.630618492440257</c:v>
                </c:pt>
                <c:pt idx="8">
                  <c:v>18.9455697235412</c:v>
                </c:pt>
                <c:pt idx="9">
                  <c:v>0.406948542811851</c:v>
                </c:pt>
                <c:pt idx="10">
                  <c:v>1.7755431662415</c:v>
                </c:pt>
                <c:pt idx="11">
                  <c:v>1.33663764953341</c:v>
                </c:pt>
                <c:pt idx="12">
                  <c:v>1.18282154995812</c:v>
                </c:pt>
                <c:pt idx="13">
                  <c:v>1.11351966901794</c:v>
                </c:pt>
                <c:pt idx="14">
                  <c:v>1.50894588257874</c:v>
                </c:pt>
                <c:pt idx="15">
                  <c:v>1.28507528577928</c:v>
                </c:pt>
                <c:pt idx="16">
                  <c:v>1.45540510100361</c:v>
                </c:pt>
                <c:pt idx="17">
                  <c:v>1.63677897034273</c:v>
                </c:pt>
                <c:pt idx="18">
                  <c:v>1.50549894768045</c:v>
                </c:pt>
                <c:pt idx="19">
                  <c:v>1.5418160476716</c:v>
                </c:pt>
                <c:pt idx="20">
                  <c:v>1.4100635549336</c:v>
                </c:pt>
                <c:pt idx="21">
                  <c:v>1.50568384354651</c:v>
                </c:pt>
                <c:pt idx="22">
                  <c:v>0.21576987059911</c:v>
                </c:pt>
                <c:pt idx="23">
                  <c:v>0</c:v>
                </c:pt>
                <c:pt idx="24">
                  <c:v>0.399926156550917</c:v>
                </c:pt>
                <c:pt idx="25">
                  <c:v>0.282304718185974</c:v>
                </c:pt>
                <c:pt idx="26">
                  <c:v>0.439186397881123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总表20230726!$AK$174:$AK$218</c:f>
              <c:numCache>
                <c:formatCode>0.00E+00</c:formatCode>
                <c:ptCount val="45"/>
                <c:pt idx="0">
                  <c:v>11984.4686238862</c:v>
                </c:pt>
                <c:pt idx="1">
                  <c:v>8221.19364369178</c:v>
                </c:pt>
                <c:pt idx="2">
                  <c:v>8594.7633251459</c:v>
                </c:pt>
                <c:pt idx="3">
                  <c:v>8914.78150896826</c:v>
                </c:pt>
                <c:pt idx="4">
                  <c:v>7163.41620207471</c:v>
                </c:pt>
                <c:pt idx="5">
                  <c:v>4282.59733330896</c:v>
                </c:pt>
                <c:pt idx="6">
                  <c:v>2288.60492730649</c:v>
                </c:pt>
                <c:pt idx="7">
                  <c:v>2413.14148428687</c:v>
                </c:pt>
                <c:pt idx="8">
                  <c:v>5874.63989193412</c:v>
                </c:pt>
                <c:pt idx="9">
                  <c:v>1305.6306769649</c:v>
                </c:pt>
                <c:pt idx="10">
                  <c:v>1084.6353837134</c:v>
                </c:pt>
                <c:pt idx="11">
                  <c:v>1281.80629148269</c:v>
                </c:pt>
                <c:pt idx="12">
                  <c:v>1257.25875674842</c:v>
                </c:pt>
                <c:pt idx="13">
                  <c:v>1969.55260769022</c:v>
                </c:pt>
                <c:pt idx="14">
                  <c:v>1909.92366126673</c:v>
                </c:pt>
                <c:pt idx="15">
                  <c:v>1765.8376180659</c:v>
                </c:pt>
                <c:pt idx="16">
                  <c:v>1466.66755654608</c:v>
                </c:pt>
                <c:pt idx="17">
                  <c:v>1434.67304882926</c:v>
                </c:pt>
                <c:pt idx="18">
                  <c:v>0</c:v>
                </c:pt>
                <c:pt idx="19">
                  <c:v>2336.43873097447</c:v>
                </c:pt>
                <c:pt idx="20">
                  <c:v>2913.3646849016</c:v>
                </c:pt>
                <c:pt idx="21">
                  <c:v>3050.98587167775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537.930997673817</c:v>
                </c:pt>
                <c:pt idx="29">
                  <c:v>1523.81734686615</c:v>
                </c:pt>
                <c:pt idx="30">
                  <c:v>0</c:v>
                </c:pt>
                <c:pt idx="31">
                  <c:v>1172.35785926197</c:v>
                </c:pt>
                <c:pt idx="32">
                  <c:v>0</c:v>
                </c:pt>
                <c:pt idx="33">
                  <c:v>1876.46475005754</c:v>
                </c:pt>
                <c:pt idx="34">
                  <c:v>2681.11206031922</c:v>
                </c:pt>
                <c:pt idx="35">
                  <c:v>1268.06821297118</c:v>
                </c:pt>
                <c:pt idx="36">
                  <c:v>1690.10103694601</c:v>
                </c:pt>
                <c:pt idx="37">
                  <c:v>1755.04185071751</c:v>
                </c:pt>
                <c:pt idx="38">
                  <c:v>958.864289030881</c:v>
                </c:pt>
                <c:pt idx="39">
                  <c:v>547.342112410403</c:v>
                </c:pt>
                <c:pt idx="40">
                  <c:v>116.863637984994</c:v>
                </c:pt>
                <c:pt idx="41">
                  <c:v>125.912713696492</c:v>
                </c:pt>
                <c:pt idx="42">
                  <c:v>1970.14608372247</c:v>
                </c:pt>
                <c:pt idx="43">
                  <c:v>2354.57605014456</c:v>
                </c:pt>
                <c:pt idx="44">
                  <c:v>5115.33013188302</c:v>
                </c:pt>
              </c:numCache>
            </c:numRef>
          </c:xVal>
          <c:yVal>
            <c:numRef>
              <c:f>总表20230726!$AX$174:$AX$218</c:f>
              <c:numCache>
                <c:formatCode>0.000_ </c:formatCode>
                <c:ptCount val="45"/>
                <c:pt idx="0">
                  <c:v>0.0721180387656849</c:v>
                </c:pt>
                <c:pt idx="1">
                  <c:v>0.104842984665422</c:v>
                </c:pt>
                <c:pt idx="2">
                  <c:v>0.100021009028852</c:v>
                </c:pt>
                <c:pt idx="3">
                  <c:v>0.0962109483639809</c:v>
                </c:pt>
                <c:pt idx="4">
                  <c:v>0.118678097472065</c:v>
                </c:pt>
                <c:pt idx="5">
                  <c:v>0.222267452221029</c:v>
                </c:pt>
                <c:pt idx="6">
                  <c:v>0.408805575660166</c:v>
                </c:pt>
                <c:pt idx="7">
                  <c:v>0.388339198360256</c:v>
                </c:pt>
                <c:pt idx="8">
                  <c:v>0.15866457327666</c:v>
                </c:pt>
                <c:pt idx="9">
                  <c:v>0.726540259558976</c:v>
                </c:pt>
                <c:pt idx="10">
                  <c:v>0.846145464393344</c:v>
                </c:pt>
                <c:pt idx="11">
                  <c:v>0.7274439105986</c:v>
                </c:pt>
                <c:pt idx="12">
                  <c:v>0.743779387814938</c:v>
                </c:pt>
                <c:pt idx="13">
                  <c:v>0.476218656345178</c:v>
                </c:pt>
                <c:pt idx="14">
                  <c:v>0.505770908750927</c:v>
                </c:pt>
                <c:pt idx="15">
                  <c:v>0.527170957845326</c:v>
                </c:pt>
                <c:pt idx="16">
                  <c:v>0.64070442749641</c:v>
                </c:pt>
                <c:pt idx="17">
                  <c:v>0.670112837610281</c:v>
                </c:pt>
                <c:pt idx="18">
                  <c:v>0</c:v>
                </c:pt>
                <c:pt idx="19">
                  <c:v>0.341414998499145</c:v>
                </c:pt>
                <c:pt idx="20">
                  <c:v>0.266557008616302</c:v>
                </c:pt>
                <c:pt idx="21">
                  <c:v>0.259067555752197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0.383018813026873</c:v>
                </c:pt>
                <c:pt idx="29">
                  <c:v>0.14025982579181</c:v>
                </c:pt>
                <c:pt idx="30">
                  <c:v>0</c:v>
                </c:pt>
                <c:pt idx="31">
                  <c:v>0.361483431867986</c:v>
                </c:pt>
                <c:pt idx="32">
                  <c:v>0</c:v>
                </c:pt>
                <c:pt idx="33">
                  <c:v>0.367420534644389</c:v>
                </c:pt>
                <c:pt idx="34">
                  <c:v>0.257075123638734</c:v>
                </c:pt>
                <c:pt idx="35">
                  <c:v>0.568629489583119</c:v>
                </c:pt>
                <c:pt idx="36">
                  <c:v>0.131278089568489</c:v>
                </c:pt>
                <c:pt idx="37">
                  <c:v>0.240948729665602</c:v>
                </c:pt>
                <c:pt idx="38">
                  <c:v>0.42745922931186</c:v>
                </c:pt>
                <c:pt idx="39">
                  <c:v>0.385810225884814</c:v>
                </c:pt>
                <c:pt idx="40">
                  <c:v>0.565533036225678</c:v>
                </c:pt>
                <c:pt idx="41">
                  <c:v>0.530711727698159</c:v>
                </c:pt>
                <c:pt idx="42">
                  <c:v>0.335739377313487</c:v>
                </c:pt>
                <c:pt idx="43">
                  <c:v>0.394824993893278</c:v>
                </c:pt>
                <c:pt idx="44">
                  <c:v>0.180899313592296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0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C</a:t>
                </a:r>
                <a:r>
                  <a:rPr lang="en-US" altLang="zh-CN" sz="1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D</a:t>
                </a:r>
                <a:endParaRPr lang="en-US" altLang="zh-CN" sz="1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4194216761974"/>
              <c:y val="0.9162768984634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354770531400966"/>
              <c:y val="0.4175430888254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4a1103-5fe6-41c2-b052-c4747ffe48d3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874569507534"/>
          <c:y val="0.0386055022792293"/>
          <c:w val="0.85376375008987"/>
          <c:h val="0.83578677882417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总表20230726!$AC$3:$AC$146</c:f>
              <c:numCache>
                <c:formatCode>0.000_ </c:formatCode>
                <c:ptCount val="110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0</c:v>
                </c:pt>
                <c:pt idx="46">
                  <c:v>0</c:v>
                </c:pt>
                <c:pt idx="47">
                  <c:v>858.530043063024</c:v>
                </c:pt>
                <c:pt idx="48">
                  <c:v>571.740935491015</c:v>
                </c:pt>
                <c:pt idx="49">
                  <c:v>24.6420438051209</c:v>
                </c:pt>
                <c:pt idx="50">
                  <c:v>23.0739996274934</c:v>
                </c:pt>
                <c:pt idx="51">
                  <c:v>26.6349515388322</c:v>
                </c:pt>
                <c:pt idx="52">
                  <c:v>23.6904115142342</c:v>
                </c:pt>
                <c:pt idx="53">
                  <c:v>15.5829884442118</c:v>
                </c:pt>
                <c:pt idx="54">
                  <c:v>15.5304393374087</c:v>
                </c:pt>
                <c:pt idx="55">
                  <c:v>12.9452596490475</c:v>
                </c:pt>
                <c:pt idx="56">
                  <c:v>13.8266134454377</c:v>
                </c:pt>
                <c:pt idx="57">
                  <c:v>13.5572034802801</c:v>
                </c:pt>
                <c:pt idx="58">
                  <c:v>17.0376579857058</c:v>
                </c:pt>
                <c:pt idx="59">
                  <c:v>12.3072678204838</c:v>
                </c:pt>
                <c:pt idx="60">
                  <c:v>16.6684934782528</c:v>
                </c:pt>
                <c:pt idx="61">
                  <c:v>13.8879335889062</c:v>
                </c:pt>
                <c:pt idx="62">
                  <c:v>18.6020114376394</c:v>
                </c:pt>
                <c:pt idx="63">
                  <c:v>16.1906887423071</c:v>
                </c:pt>
                <c:pt idx="64">
                  <c:v>19.9746945835606</c:v>
                </c:pt>
                <c:pt idx="65">
                  <c:v>37.0352165921172</c:v>
                </c:pt>
                <c:pt idx="66">
                  <c:v>10.7284768211921</c:v>
                </c:pt>
                <c:pt idx="67">
                  <c:v>58.4105960264901</c:v>
                </c:pt>
                <c:pt idx="68">
                  <c:v>55.444923712212</c:v>
                </c:pt>
                <c:pt idx="69">
                  <c:v>32.6196151074485</c:v>
                </c:pt>
                <c:pt idx="70">
                  <c:v>73.1477259148072</c:v>
                </c:pt>
                <c:pt idx="71">
                  <c:v>49.0263599167785</c:v>
                </c:pt>
                <c:pt idx="72">
                  <c:v>34.1842813220638</c:v>
                </c:pt>
                <c:pt idx="73">
                  <c:v>45.7512450044818</c:v>
                </c:pt>
                <c:pt idx="74">
                  <c:v>47.2830231818111</c:v>
                </c:pt>
                <c:pt idx="75">
                  <c:v>45.8443161857168</c:v>
                </c:pt>
                <c:pt idx="76">
                  <c:v>64.987355172409</c:v>
                </c:pt>
                <c:pt idx="77">
                  <c:v>68.4627284988786</c:v>
                </c:pt>
                <c:pt idx="78">
                  <c:v>69.1265353349016</c:v>
                </c:pt>
                <c:pt idx="79">
                  <c:v>62.9209449284804</c:v>
                </c:pt>
                <c:pt idx="80">
                  <c:v>46.0150222639026</c:v>
                </c:pt>
                <c:pt idx="81">
                  <c:v>72.6567184524275</c:v>
                </c:pt>
                <c:pt idx="82">
                  <c:v>68.9477864182706</c:v>
                </c:pt>
                <c:pt idx="83">
                  <c:v>48.1166293082462</c:v>
                </c:pt>
                <c:pt idx="84">
                  <c:v>62.0419577538728</c:v>
                </c:pt>
                <c:pt idx="85">
                  <c:v>59.8381665890039</c:v>
                </c:pt>
                <c:pt idx="86">
                  <c:v>0</c:v>
                </c:pt>
                <c:pt idx="87">
                  <c:v>26.3266580613044</c:v>
                </c:pt>
                <c:pt idx="88">
                  <c:v>13.4218686186445</c:v>
                </c:pt>
                <c:pt idx="89">
                  <c:v>18.8914230753295</c:v>
                </c:pt>
                <c:pt idx="90">
                  <c:v>34.0753244730079</c:v>
                </c:pt>
                <c:pt idx="91">
                  <c:v>49.3959454344645</c:v>
                </c:pt>
                <c:pt idx="92">
                  <c:v>71.4132368412993</c:v>
                </c:pt>
                <c:pt idx="93">
                  <c:v>47.3636150846312</c:v>
                </c:pt>
                <c:pt idx="94">
                  <c:v>47.1910977027488</c:v>
                </c:pt>
                <c:pt idx="95">
                  <c:v>66.2254171305913</c:v>
                </c:pt>
                <c:pt idx="96">
                  <c:v>65.235457889892</c:v>
                </c:pt>
                <c:pt idx="97">
                  <c:v>44.3629963048309</c:v>
                </c:pt>
                <c:pt idx="98">
                  <c:v>48.3030343267227</c:v>
                </c:pt>
                <c:pt idx="99">
                  <c:v>76.444712506169</c:v>
                </c:pt>
                <c:pt idx="100">
                  <c:v>66.8708298533672</c:v>
                </c:pt>
                <c:pt idx="101">
                  <c:v>63.3328594930313</c:v>
                </c:pt>
                <c:pt idx="102">
                  <c:v>4.67332200319995</c:v>
                </c:pt>
                <c:pt idx="103">
                  <c:v>4.80712365952613</c:v>
                </c:pt>
                <c:pt idx="104">
                  <c:v>10.4614615211083</c:v>
                </c:pt>
                <c:pt idx="105">
                  <c:v>5.81124053144785</c:v>
                </c:pt>
                <c:pt idx="106">
                  <c:v>21.0154697093438</c:v>
                </c:pt>
                <c:pt idx="107">
                  <c:v>12.2958788861858</c:v>
                </c:pt>
                <c:pt idx="108">
                  <c:v>11.7567537180253</c:v>
                </c:pt>
                <c:pt idx="109">
                  <c:v>4.70058338927306</c:v>
                </c:pt>
              </c:numCache>
            </c:numRef>
          </c:xVal>
          <c:yVal>
            <c:numRef>
              <c:f>总表20230726!$BB$3:$BB$146</c:f>
              <c:numCache>
                <c:formatCode>0.00_);[Red]\(0.00\)</c:formatCode>
                <c:ptCount val="110"/>
                <c:pt idx="0">
                  <c:v>13.0038374750443</c:v>
                </c:pt>
                <c:pt idx="1">
                  <c:v>12.7786928448895</c:v>
                </c:pt>
                <c:pt idx="2">
                  <c:v>14.0808014396069</c:v>
                </c:pt>
                <c:pt idx="3">
                  <c:v>12.210994295573</c:v>
                </c:pt>
                <c:pt idx="4">
                  <c:v>11.5555734771215</c:v>
                </c:pt>
                <c:pt idx="5">
                  <c:v>11.446417879924</c:v>
                </c:pt>
                <c:pt idx="6">
                  <c:v>10.3895020738279</c:v>
                </c:pt>
                <c:pt idx="7">
                  <c:v>11.7395834066014</c:v>
                </c:pt>
                <c:pt idx="8">
                  <c:v>10.6594858275839</c:v>
                </c:pt>
                <c:pt idx="9">
                  <c:v>11.0158449158309</c:v>
                </c:pt>
                <c:pt idx="10">
                  <c:v>11.1767721794378</c:v>
                </c:pt>
                <c:pt idx="11">
                  <c:v>7.96547386054966</c:v>
                </c:pt>
                <c:pt idx="12">
                  <c:v>7.92278415707108</c:v>
                </c:pt>
                <c:pt idx="13">
                  <c:v>7.94225500423038</c:v>
                </c:pt>
                <c:pt idx="14">
                  <c:v>8.01343764411708</c:v>
                </c:pt>
                <c:pt idx="15">
                  <c:v>7.9913787737924</c:v>
                </c:pt>
                <c:pt idx="16">
                  <c:v>15.4105966287033</c:v>
                </c:pt>
                <c:pt idx="17">
                  <c:v>15.1758288164133</c:v>
                </c:pt>
                <c:pt idx="18">
                  <c:v>17.485387787461</c:v>
                </c:pt>
                <c:pt idx="19">
                  <c:v>19.04992128524</c:v>
                </c:pt>
                <c:pt idx="20">
                  <c:v>21.2317245278119</c:v>
                </c:pt>
                <c:pt idx="21">
                  <c:v>14.6170217362662</c:v>
                </c:pt>
                <c:pt idx="22">
                  <c:v>20.9768671901547</c:v>
                </c:pt>
                <c:pt idx="23">
                  <c:v>21.739056847472</c:v>
                </c:pt>
                <c:pt idx="24">
                  <c:v>22.0107670668086</c:v>
                </c:pt>
                <c:pt idx="25">
                  <c:v>20.2411763497563</c:v>
                </c:pt>
                <c:pt idx="26">
                  <c:v>20.1248910404598</c:v>
                </c:pt>
                <c:pt idx="27">
                  <c:v>18.9315874067329</c:v>
                </c:pt>
                <c:pt idx="28">
                  <c:v>18.6068148363655</c:v>
                </c:pt>
                <c:pt idx="29">
                  <c:v>18.9120695710865</c:v>
                </c:pt>
                <c:pt idx="30">
                  <c:v>18.5539355971497</c:v>
                </c:pt>
                <c:pt idx="31">
                  <c:v>22.5260491804861</c:v>
                </c:pt>
                <c:pt idx="32">
                  <c:v>21.3269340611936</c:v>
                </c:pt>
                <c:pt idx="33">
                  <c:v>21.0472553700763</c:v>
                </c:pt>
                <c:pt idx="34">
                  <c:v>21.3289240985189</c:v>
                </c:pt>
                <c:pt idx="35">
                  <c:v>21.2309793596639</c:v>
                </c:pt>
                <c:pt idx="36">
                  <c:v>20.1513173549399</c:v>
                </c:pt>
                <c:pt idx="37">
                  <c:v>20.6696089054503</c:v>
                </c:pt>
                <c:pt idx="38">
                  <c:v>20.2432121423266</c:v>
                </c:pt>
                <c:pt idx="39">
                  <c:v>19.7406735537538</c:v>
                </c:pt>
                <c:pt idx="40">
                  <c:v>20.2740605711566</c:v>
                </c:pt>
                <c:pt idx="41">
                  <c:v>18.0066471210692</c:v>
                </c:pt>
                <c:pt idx="42">
                  <c:v>20.0043342973602</c:v>
                </c:pt>
                <c:pt idx="43">
                  <c:v>20.5418938602528</c:v>
                </c:pt>
                <c:pt idx="44">
                  <c:v>20.2338568238427</c:v>
                </c:pt>
                <c:pt idx="45">
                  <c:v>0</c:v>
                </c:pt>
                <c:pt idx="46">
                  <c:v>0</c:v>
                </c:pt>
                <c:pt idx="47">
                  <c:v>14.4478431104868</c:v>
                </c:pt>
                <c:pt idx="48">
                  <c:v>13.3630717067762</c:v>
                </c:pt>
                <c:pt idx="49">
                  <c:v>14.5815390247666</c:v>
                </c:pt>
                <c:pt idx="50">
                  <c:v>13.7073547558095</c:v>
                </c:pt>
                <c:pt idx="51">
                  <c:v>14.6431146614905</c:v>
                </c:pt>
                <c:pt idx="52">
                  <c:v>13.8202596232945</c:v>
                </c:pt>
                <c:pt idx="53">
                  <c:v>13.6796636354365</c:v>
                </c:pt>
                <c:pt idx="54">
                  <c:v>14.6261804962725</c:v>
                </c:pt>
                <c:pt idx="55">
                  <c:v>14.7359858292404</c:v>
                </c:pt>
                <c:pt idx="56">
                  <c:v>16.2786640583898</c:v>
                </c:pt>
                <c:pt idx="57">
                  <c:v>16.1150245751171</c:v>
                </c:pt>
                <c:pt idx="58">
                  <c:v>15.8535531650494</c:v>
                </c:pt>
                <c:pt idx="59">
                  <c:v>15.5288457184985</c:v>
                </c:pt>
                <c:pt idx="60">
                  <c:v>15.5657568976972</c:v>
                </c:pt>
                <c:pt idx="61">
                  <c:v>14.4255173198045</c:v>
                </c:pt>
                <c:pt idx="62">
                  <c:v>13.9062202752466</c:v>
                </c:pt>
                <c:pt idx="63">
                  <c:v>14.3944220470575</c:v>
                </c:pt>
                <c:pt idx="64">
                  <c:v>14.4675912209096</c:v>
                </c:pt>
                <c:pt idx="65">
                  <c:v>14.377423106728</c:v>
                </c:pt>
                <c:pt idx="66">
                  <c:v>16.0678227388226</c:v>
                </c:pt>
                <c:pt idx="67">
                  <c:v>16.0678227388226</c:v>
                </c:pt>
                <c:pt idx="68">
                  <c:v>22.4843188278011</c:v>
                </c:pt>
                <c:pt idx="69">
                  <c:v>23.8284349216563</c:v>
                </c:pt>
                <c:pt idx="70">
                  <c:v>24.2374460017835</c:v>
                </c:pt>
                <c:pt idx="71">
                  <c:v>22.0985356671708</c:v>
                </c:pt>
                <c:pt idx="72">
                  <c:v>24.0737750567254</c:v>
                </c:pt>
                <c:pt idx="73">
                  <c:v>23.3956623331909</c:v>
                </c:pt>
                <c:pt idx="74">
                  <c:v>23.6149401283453</c:v>
                </c:pt>
                <c:pt idx="75">
                  <c:v>21.9979836539747</c:v>
                </c:pt>
                <c:pt idx="76">
                  <c:v>22.3061694215543</c:v>
                </c:pt>
                <c:pt idx="77">
                  <c:v>22.6057190382596</c:v>
                </c:pt>
                <c:pt idx="78">
                  <c:v>21.6920522967825</c:v>
                </c:pt>
                <c:pt idx="79">
                  <c:v>19.9993741078899</c:v>
                </c:pt>
                <c:pt idx="80">
                  <c:v>25.415749094847</c:v>
                </c:pt>
                <c:pt idx="81">
                  <c:v>25.8150484747713</c:v>
                </c:pt>
                <c:pt idx="82">
                  <c:v>24.7299402759137</c:v>
                </c:pt>
                <c:pt idx="83">
                  <c:v>19.2938345862225</c:v>
                </c:pt>
                <c:pt idx="84">
                  <c:v>23.0750195167554</c:v>
                </c:pt>
                <c:pt idx="85">
                  <c:v>22.9527856030973</c:v>
                </c:pt>
                <c:pt idx="86">
                  <c:v>0</c:v>
                </c:pt>
                <c:pt idx="87">
                  <c:v>19.609914003071</c:v>
                </c:pt>
                <c:pt idx="88">
                  <c:v>19.4489346447666</c:v>
                </c:pt>
                <c:pt idx="89">
                  <c:v>20.2355683803051</c:v>
                </c:pt>
                <c:pt idx="90">
                  <c:v>22.9384750076089</c:v>
                </c:pt>
                <c:pt idx="91">
                  <c:v>20.2027993092375</c:v>
                </c:pt>
                <c:pt idx="92">
                  <c:v>21.9502492400746</c:v>
                </c:pt>
                <c:pt idx="93">
                  <c:v>16.2361036880736</c:v>
                </c:pt>
                <c:pt idx="94">
                  <c:v>20.7688671715708</c:v>
                </c:pt>
                <c:pt idx="95">
                  <c:v>23.9563886909058</c:v>
                </c:pt>
                <c:pt idx="96">
                  <c:v>24.1482195532334</c:v>
                </c:pt>
                <c:pt idx="97">
                  <c:v>15.8127896172682</c:v>
                </c:pt>
                <c:pt idx="98">
                  <c:v>19.4041997499683</c:v>
                </c:pt>
                <c:pt idx="99">
                  <c:v>24.1439632809458</c:v>
                </c:pt>
                <c:pt idx="100">
                  <c:v>23.0570955540136</c:v>
                </c:pt>
                <c:pt idx="101">
                  <c:v>20.0004645052319</c:v>
                </c:pt>
                <c:pt idx="102">
                  <c:v>17.3482149576329</c:v>
                </c:pt>
                <c:pt idx="103">
                  <c:v>16.2961414858485</c:v>
                </c:pt>
                <c:pt idx="104">
                  <c:v>17.700716801865</c:v>
                </c:pt>
                <c:pt idx="105">
                  <c:v>19.23511306422</c:v>
                </c:pt>
                <c:pt idx="106">
                  <c:v>19.2549660238182</c:v>
                </c:pt>
                <c:pt idx="107">
                  <c:v>20.7031703698357</c:v>
                </c:pt>
                <c:pt idx="108">
                  <c:v>15.345721829297</c:v>
                </c:pt>
                <c:pt idx="109">
                  <c:v>22.1900370943756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总表20230726!$AC$147:$AC$173</c:f>
              <c:numCache>
                <c:formatCode>0.000_ </c:formatCode>
                <c:ptCount val="27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  <c:pt idx="8">
                  <c:v>635.112698555686</c:v>
                </c:pt>
                <c:pt idx="9">
                  <c:v>17.6762620221036</c:v>
                </c:pt>
                <c:pt idx="10">
                  <c:v>66.5084317002728</c:v>
                </c:pt>
                <c:pt idx="11">
                  <c:v>57.1667728221044</c:v>
                </c:pt>
                <c:pt idx="12">
                  <c:v>55.2063118459332</c:v>
                </c:pt>
                <c:pt idx="13">
                  <c:v>29.8637919741131</c:v>
                </c:pt>
                <c:pt idx="14">
                  <c:v>40.0582750048141</c:v>
                </c:pt>
                <c:pt idx="15">
                  <c:v>62.8297848137785</c:v>
                </c:pt>
                <c:pt idx="16">
                  <c:v>43.8152142185353</c:v>
                </c:pt>
                <c:pt idx="17">
                  <c:v>49.224402746734</c:v>
                </c:pt>
                <c:pt idx="18">
                  <c:v>51.5170645732932</c:v>
                </c:pt>
                <c:pt idx="19">
                  <c:v>50.1483830024946</c:v>
                </c:pt>
                <c:pt idx="20">
                  <c:v>67.7240322972302</c:v>
                </c:pt>
                <c:pt idx="21">
                  <c:v>44.8088866456813</c:v>
                </c:pt>
                <c:pt idx="22">
                  <c:v>7.77047472875209</c:v>
                </c:pt>
                <c:pt idx="23">
                  <c:v>0</c:v>
                </c:pt>
                <c:pt idx="24">
                  <c:v>17.8943470098128</c:v>
                </c:pt>
                <c:pt idx="25">
                  <c:v>11.0021101286247</c:v>
                </c:pt>
                <c:pt idx="26">
                  <c:v>17.3515157394854</c:v>
                </c:pt>
              </c:numCache>
            </c:numRef>
          </c:xVal>
          <c:yVal>
            <c:numRef>
              <c:f>总表20230726!$BB$147:$BB$173</c:f>
              <c:numCache>
                <c:formatCode>0.00_);[Red]\(0.00\)</c:formatCode>
                <c:ptCount val="27"/>
                <c:pt idx="0">
                  <c:v>8.29634197861734</c:v>
                </c:pt>
                <c:pt idx="1">
                  <c:v>8.55100193998951</c:v>
                </c:pt>
                <c:pt idx="2">
                  <c:v>8.40575798299154</c:v>
                </c:pt>
                <c:pt idx="3">
                  <c:v>8.38061226671634</c:v>
                </c:pt>
                <c:pt idx="4">
                  <c:v>8.74446596208902</c:v>
                </c:pt>
                <c:pt idx="5">
                  <c:v>8.26828930282435</c:v>
                </c:pt>
                <c:pt idx="6">
                  <c:v>7.7107864338217</c:v>
                </c:pt>
                <c:pt idx="7">
                  <c:v>7.94029589436695</c:v>
                </c:pt>
                <c:pt idx="8">
                  <c:v>16.7615096252955</c:v>
                </c:pt>
                <c:pt idx="9">
                  <c:v>21.7180554327185</c:v>
                </c:pt>
                <c:pt idx="10">
                  <c:v>18.7290382359611</c:v>
                </c:pt>
                <c:pt idx="11">
                  <c:v>21.3845438373144</c:v>
                </c:pt>
                <c:pt idx="12">
                  <c:v>23.3367035999166</c:v>
                </c:pt>
                <c:pt idx="13">
                  <c:v>13.4096382870592</c:v>
                </c:pt>
                <c:pt idx="14">
                  <c:v>13.2735956495523</c:v>
                </c:pt>
                <c:pt idx="15">
                  <c:v>24.4459548436799</c:v>
                </c:pt>
                <c:pt idx="16">
                  <c:v>15.0525837061865</c:v>
                </c:pt>
                <c:pt idx="17">
                  <c:v>15.0369731156879</c:v>
                </c:pt>
                <c:pt idx="18">
                  <c:v>17.1096315452981</c:v>
                </c:pt>
                <c:pt idx="19">
                  <c:v>16.2627646398632</c:v>
                </c:pt>
                <c:pt idx="20">
                  <c:v>24.0145318486794</c:v>
                </c:pt>
                <c:pt idx="21">
                  <c:v>14.8799121534497</c:v>
                </c:pt>
                <c:pt idx="22">
                  <c:v>18.0063942828914</c:v>
                </c:pt>
                <c:pt idx="23">
                  <c:v>0</c:v>
                </c:pt>
                <c:pt idx="24">
                  <c:v>22.3720638381583</c:v>
                </c:pt>
                <c:pt idx="25">
                  <c:v>19.4862314015184</c:v>
                </c:pt>
                <c:pt idx="26">
                  <c:v>19.7541588528227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总表20230726!$AC$174:$AC$218</c:f>
              <c:numCache>
                <c:formatCode>0.000_ </c:formatCode>
                <c:ptCount val="45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11.1692033723287</c:v>
                </c:pt>
                <c:pt idx="10">
                  <c:v>14.3635317606801</c:v>
                </c:pt>
                <c:pt idx="11">
                  <c:v>11.7743348628131</c:v>
                </c:pt>
                <c:pt idx="12">
                  <c:v>11.9354918465566</c:v>
                </c:pt>
                <c:pt idx="13">
                  <c:v>7.57333273586413</c:v>
                </c:pt>
                <c:pt idx="14">
                  <c:v>7.3628658312843</c:v>
                </c:pt>
                <c:pt idx="15">
                  <c:v>8.57526122054116</c:v>
                </c:pt>
                <c:pt idx="16">
                  <c:v>10.1319280992112</c:v>
                </c:pt>
                <c:pt idx="17">
                  <c:v>9.89573164790353</c:v>
                </c:pt>
                <c:pt idx="18">
                  <c:v>0</c:v>
                </c:pt>
                <c:pt idx="19">
                  <c:v>8.82620931709272</c:v>
                </c:pt>
                <c:pt idx="20">
                  <c:v>7.4685765857068</c:v>
                </c:pt>
                <c:pt idx="21">
                  <c:v>6.88423933298256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15.5148094154257</c:v>
                </c:pt>
                <c:pt idx="29">
                  <c:v>5.0898037752343</c:v>
                </c:pt>
                <c:pt idx="30">
                  <c:v>0</c:v>
                </c:pt>
                <c:pt idx="31">
                  <c:v>13.461670782126</c:v>
                </c:pt>
                <c:pt idx="32">
                  <c:v>0</c:v>
                </c:pt>
                <c:pt idx="33">
                  <c:v>14.711417622086</c:v>
                </c:pt>
                <c:pt idx="34">
                  <c:v>10.3023808355658</c:v>
                </c:pt>
                <c:pt idx="35">
                  <c:v>19.9028834285661</c:v>
                </c:pt>
                <c:pt idx="36">
                  <c:v>4.25837465938043</c:v>
                </c:pt>
                <c:pt idx="37">
                  <c:v>9.03118301341914</c:v>
                </c:pt>
                <c:pt idx="38">
                  <c:v>17.5952534122701</c:v>
                </c:pt>
                <c:pt idx="39">
                  <c:v>14.5158445484009</c:v>
                </c:pt>
                <c:pt idx="40">
                  <c:v>25.7068249437963</c:v>
                </c:pt>
                <c:pt idx="41">
                  <c:v>23.3386904345037</c:v>
                </c:pt>
                <c:pt idx="42">
                  <c:v>15.2230878931005</c:v>
                </c:pt>
                <c:pt idx="43">
                  <c:v>6.44844743369992</c:v>
                </c:pt>
                <c:pt idx="44">
                  <c:v>2.99576515695992</c:v>
                </c:pt>
              </c:numCache>
            </c:numRef>
          </c:xVal>
          <c:yVal>
            <c:numRef>
              <c:f>总表20230726!$BB$174:$BB$218</c:f>
              <c:numCache>
                <c:formatCode>0.00_);[Red]\(0.00\)</c:formatCode>
                <c:ptCount val="45"/>
                <c:pt idx="0">
                  <c:v>10.1621251335795</c:v>
                </c:pt>
                <c:pt idx="1">
                  <c:v>10.2458937621499</c:v>
                </c:pt>
                <c:pt idx="2">
                  <c:v>10.3275462662071</c:v>
                </c:pt>
                <c:pt idx="3">
                  <c:v>10.3984117922045</c:v>
                </c:pt>
                <c:pt idx="4">
                  <c:v>10.6782560003161</c:v>
                </c:pt>
                <c:pt idx="5">
                  <c:v>7.60717257697805</c:v>
                </c:pt>
                <c:pt idx="6">
                  <c:v>8.01142354180044</c:v>
                </c:pt>
                <c:pt idx="7">
                  <c:v>7.97242721983301</c:v>
                </c:pt>
                <c:pt idx="8">
                  <c:v>8.10193874398218</c:v>
                </c:pt>
                <c:pt idx="9">
                  <c:v>7.68656879324806</c:v>
                </c:pt>
                <c:pt idx="10">
                  <c:v>8.48762557096389</c:v>
                </c:pt>
                <c:pt idx="11">
                  <c:v>8.09295032322438</c:v>
                </c:pt>
                <c:pt idx="12">
                  <c:v>8.02354303042767</c:v>
                </c:pt>
                <c:pt idx="13">
                  <c:v>7.95152881450192</c:v>
                </c:pt>
                <c:pt idx="14">
                  <c:v>7.27885461964186</c:v>
                </c:pt>
                <c:pt idx="15">
                  <c:v>8.1332830393297</c:v>
                </c:pt>
                <c:pt idx="16">
                  <c:v>7.90686599342093</c:v>
                </c:pt>
                <c:pt idx="17">
                  <c:v>7.38363085476256</c:v>
                </c:pt>
                <c:pt idx="18">
                  <c:v>0</c:v>
                </c:pt>
                <c:pt idx="19">
                  <c:v>12.9259249826349</c:v>
                </c:pt>
                <c:pt idx="20">
                  <c:v>14.0093419874348</c:v>
                </c:pt>
                <c:pt idx="21">
                  <c:v>13.2865717457254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20.2533255387864</c:v>
                </c:pt>
                <c:pt idx="29">
                  <c:v>18.1441968379071</c:v>
                </c:pt>
                <c:pt idx="30">
                  <c:v>0</c:v>
                </c:pt>
                <c:pt idx="31">
                  <c:v>18.6200384241154</c:v>
                </c:pt>
                <c:pt idx="32">
                  <c:v>0</c:v>
                </c:pt>
                <c:pt idx="33">
                  <c:v>20.0198631199595</c:v>
                </c:pt>
                <c:pt idx="34">
                  <c:v>20.0376852683025</c:v>
                </c:pt>
                <c:pt idx="35">
                  <c:v>17.5007485481958</c:v>
                </c:pt>
                <c:pt idx="36">
                  <c:v>16.2189085527437</c:v>
                </c:pt>
                <c:pt idx="37">
                  <c:v>18.7408811533329</c:v>
                </c:pt>
                <c:pt idx="38">
                  <c:v>20.5812065873459</c:v>
                </c:pt>
                <c:pt idx="39">
                  <c:v>18.8121563070424</c:v>
                </c:pt>
                <c:pt idx="40">
                  <c:v>22.7279604347799</c:v>
                </c:pt>
                <c:pt idx="41">
                  <c:v>21.9881050450213</c:v>
                </c:pt>
                <c:pt idx="42">
                  <c:v>22.6709896451711</c:v>
                </c:pt>
                <c:pt idx="43">
                  <c:v>8.16620975550872</c:v>
                </c:pt>
                <c:pt idx="44">
                  <c:v>8.28020045369453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8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/>
                  <a:t>We</a:t>
                </a:r>
                <a:r>
                  <a:rPr lang="en-US" altLang="zh-CN" sz="900"/>
                  <a:t>D</a:t>
                </a:r>
                <a:endParaRPr lang="en-US" altLang="zh-CN" sz="9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Oh*R^2/epsilon^2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22051708096182"/>
              <c:y val="0.3595502073646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c9c56f-c97b-4dda-8cd2-f56c3458ff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46895004738644"/>
          <c:y val="0.0603901289364317"/>
          <c:w val="0.85376375008987"/>
          <c:h val="0.83578677882417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总表20230726!$BD$3:$BD$146</c:f>
              <c:numCache>
                <c:formatCode>0.00_);[Red]\(0.00\)</c:formatCode>
                <c:ptCount val="110"/>
                <c:pt idx="0">
                  <c:v>1.00803635860028</c:v>
                </c:pt>
                <c:pt idx="1">
                  <c:v>0.920431980723164</c:v>
                </c:pt>
                <c:pt idx="2">
                  <c:v>0.447070892913817</c:v>
                </c:pt>
                <c:pt idx="3">
                  <c:v>0.967500992786117</c:v>
                </c:pt>
                <c:pt idx="4">
                  <c:v>0.710428348285303</c:v>
                </c:pt>
                <c:pt idx="5">
                  <c:v>0.478735225479552</c:v>
                </c:pt>
                <c:pt idx="6">
                  <c:v>0.891167986367464</c:v>
                </c:pt>
                <c:pt idx="7">
                  <c:v>0.672739903398953</c:v>
                </c:pt>
                <c:pt idx="8">
                  <c:v>0.552571023660354</c:v>
                </c:pt>
                <c:pt idx="9">
                  <c:v>0.513623413989007</c:v>
                </c:pt>
                <c:pt idx="10">
                  <c:v>0.148826014048778</c:v>
                </c:pt>
                <c:pt idx="11">
                  <c:v>0.590261121558533</c:v>
                </c:pt>
                <c:pt idx="12">
                  <c:v>0.920366440199168</c:v>
                </c:pt>
                <c:pt idx="13">
                  <c:v>0.9910119547906</c:v>
                </c:pt>
                <c:pt idx="14">
                  <c:v>1.25905546576412</c:v>
                </c:pt>
                <c:pt idx="15">
                  <c:v>1.28614409958902</c:v>
                </c:pt>
                <c:pt idx="16">
                  <c:v>1.82445685096608</c:v>
                </c:pt>
                <c:pt idx="17">
                  <c:v>0.0203239562856733</c:v>
                </c:pt>
                <c:pt idx="18">
                  <c:v>0.325599345150788</c:v>
                </c:pt>
                <c:pt idx="19">
                  <c:v>0.253062430903958</c:v>
                </c:pt>
                <c:pt idx="20">
                  <c:v>0.0963321629630593</c:v>
                </c:pt>
                <c:pt idx="21">
                  <c:v>1.61853614088313</c:v>
                </c:pt>
                <c:pt idx="22">
                  <c:v>0.0522776917738576</c:v>
                </c:pt>
                <c:pt idx="23">
                  <c:v>0.0246494602155762</c:v>
                </c:pt>
                <c:pt idx="24">
                  <c:v>0.0402152569259943</c:v>
                </c:pt>
                <c:pt idx="25">
                  <c:v>0.0355897112855961</c:v>
                </c:pt>
                <c:pt idx="26">
                  <c:v>0.0743683406141724</c:v>
                </c:pt>
                <c:pt idx="27">
                  <c:v>0.0895476162777507</c:v>
                </c:pt>
                <c:pt idx="28">
                  <c:v>0.0262206588895649</c:v>
                </c:pt>
                <c:pt idx="29">
                  <c:v>0.0658459720874775</c:v>
                </c:pt>
                <c:pt idx="30">
                  <c:v>0.0689935534315099</c:v>
                </c:pt>
                <c:pt idx="31">
                  <c:v>0.0620551175622284</c:v>
                </c:pt>
                <c:pt idx="32">
                  <c:v>0.0908275476341337</c:v>
                </c:pt>
                <c:pt idx="33">
                  <c:v>0.0224434982611982</c:v>
                </c:pt>
                <c:pt idx="34">
                  <c:v>0.0630074920539986</c:v>
                </c:pt>
                <c:pt idx="35">
                  <c:v>0.0436942082735565</c:v>
                </c:pt>
                <c:pt idx="36">
                  <c:v>0.0884203486920748</c:v>
                </c:pt>
                <c:pt idx="37">
                  <c:v>0.100824177137268</c:v>
                </c:pt>
                <c:pt idx="38">
                  <c:v>0.092464071613352</c:v>
                </c:pt>
                <c:pt idx="39">
                  <c:v>0.127737571800584</c:v>
                </c:pt>
                <c:pt idx="40">
                  <c:v>0.109780557008026</c:v>
                </c:pt>
                <c:pt idx="41">
                  <c:v>0.291457637665363</c:v>
                </c:pt>
                <c:pt idx="42">
                  <c:v>0.307311216330137</c:v>
                </c:pt>
                <c:pt idx="43">
                  <c:v>0.109329518974099</c:v>
                </c:pt>
                <c:pt idx="44">
                  <c:v>0.533256840547012</c:v>
                </c:pt>
                <c:pt idx="45">
                  <c:v>0</c:v>
                </c:pt>
                <c:pt idx="46">
                  <c:v>0</c:v>
                </c:pt>
                <c:pt idx="47">
                  <c:v>0.00896809592579704</c:v>
                </c:pt>
                <c:pt idx="48">
                  <c:v>0.0147285862376916</c:v>
                </c:pt>
                <c:pt idx="49">
                  <c:v>0.308787869408478</c:v>
                </c:pt>
                <c:pt idx="50">
                  <c:v>0.355116967024181</c:v>
                </c:pt>
                <c:pt idx="51">
                  <c:v>0.284119950001778</c:v>
                </c:pt>
                <c:pt idx="52">
                  <c:v>0.342717545989509</c:v>
                </c:pt>
                <c:pt idx="53">
                  <c:v>0.527003856065431</c:v>
                </c:pt>
                <c:pt idx="54">
                  <c:v>0.488008046898604</c:v>
                </c:pt>
                <c:pt idx="55">
                  <c:v>0.579718201720683</c:v>
                </c:pt>
                <c:pt idx="56">
                  <c:v>0.465805987919078</c:v>
                </c:pt>
                <c:pt idx="57">
                  <c:v>0.483510557653127</c:v>
                </c:pt>
                <c:pt idx="58">
                  <c:v>0.395432938157539</c:v>
                </c:pt>
                <c:pt idx="59">
                  <c:v>0.565692086890876</c:v>
                </c:pt>
                <c:pt idx="60">
                  <c:v>0.416152776125451</c:v>
                </c:pt>
                <c:pt idx="61">
                  <c:v>0.555476287657148</c:v>
                </c:pt>
                <c:pt idx="62">
                  <c:v>0.433393782228681</c:v>
                </c:pt>
                <c:pt idx="63">
                  <c:v>0.477765330051394</c:v>
                </c:pt>
                <c:pt idx="64">
                  <c:v>0.384790442269139</c:v>
                </c:pt>
                <c:pt idx="65">
                  <c:v>0.209173511789317</c:v>
                </c:pt>
                <c:pt idx="66">
                  <c:v>0.614068148148148</c:v>
                </c:pt>
                <c:pt idx="67">
                  <c:v>0.112788027210884</c:v>
                </c:pt>
                <c:pt idx="68">
                  <c:v>0.033073388581869</c:v>
                </c:pt>
                <c:pt idx="69">
                  <c:v>0.0237277655153616</c:v>
                </c:pt>
                <c:pt idx="70">
                  <c:v>0.0061174824559409</c:v>
                </c:pt>
                <c:pt idx="71">
                  <c:v>0.0435295082526308</c:v>
                </c:pt>
                <c:pt idx="72">
                  <c:v>0.0169188727846536</c:v>
                </c:pt>
                <c:pt idx="73">
                  <c:v>0.02442427581893</c:v>
                </c:pt>
                <c:pt idx="74">
                  <c:v>0.0199581851398608</c:v>
                </c:pt>
                <c:pt idx="75">
                  <c:v>0.0482522216192498</c:v>
                </c:pt>
                <c:pt idx="76">
                  <c:v>0.0303545289352154</c:v>
                </c:pt>
                <c:pt idx="77">
                  <c:v>0.0253989456772323</c:v>
                </c:pt>
                <c:pt idx="78">
                  <c:v>0.0354229369450283</c:v>
                </c:pt>
                <c:pt idx="79">
                  <c:v>0.0593960315318653</c:v>
                </c:pt>
                <c:pt idx="80">
                  <c:v>-0.0109393893287497</c:v>
                </c:pt>
                <c:pt idx="81">
                  <c:v>-0.01140957559393</c:v>
                </c:pt>
                <c:pt idx="82">
                  <c:v>0.000752495740780611</c:v>
                </c:pt>
                <c:pt idx="83">
                  <c:v>0.0886156312954712</c:v>
                </c:pt>
                <c:pt idx="84">
                  <c:v>0.0220906081357031</c:v>
                </c:pt>
                <c:pt idx="85">
                  <c:v>0.0245115154814268</c:v>
                </c:pt>
                <c:pt idx="86">
                  <c:v>0</c:v>
                </c:pt>
                <c:pt idx="87">
                  <c:v>0.153028778157036</c:v>
                </c:pt>
                <c:pt idx="88">
                  <c:v>0.309096829012948</c:v>
                </c:pt>
                <c:pt idx="89">
                  <c:v>0.188421713198138</c:v>
                </c:pt>
                <c:pt idx="90">
                  <c:v>0.0433737109501627</c:v>
                </c:pt>
                <c:pt idx="91">
                  <c:v>0.072561614161594</c:v>
                </c:pt>
                <c:pt idx="92">
                  <c:v>0.0314938177337095</c:v>
                </c:pt>
                <c:pt idx="93">
                  <c:v>0.136610022821139</c:v>
                </c:pt>
                <c:pt idx="94">
                  <c:v>0.0668725431585068</c:v>
                </c:pt>
                <c:pt idx="95">
                  <c:v>0.0101478443474987</c:v>
                </c:pt>
                <c:pt idx="96">
                  <c:v>0.00795375069196308</c:v>
                </c:pt>
                <c:pt idx="97">
                  <c:v>0.152504724654959</c:v>
                </c:pt>
                <c:pt idx="98">
                  <c:v>0.0865768273127274</c:v>
                </c:pt>
                <c:pt idx="99">
                  <c:v>0.00683199185921038</c:v>
                </c:pt>
                <c:pt idx="100">
                  <c:v>0.0207064675614212</c:v>
                </c:pt>
                <c:pt idx="101">
                  <c:v>0.058996794102014</c:v>
                </c:pt>
                <c:pt idx="102">
                  <c:v>1.21596255187162</c:v>
                </c:pt>
                <c:pt idx="103">
                  <c:v>1.33723709419832</c:v>
                </c:pt>
                <c:pt idx="104">
                  <c:v>0.518981368218716</c:v>
                </c:pt>
                <c:pt idx="105">
                  <c:v>0.741224019690452</c:v>
                </c:pt>
                <c:pt idx="106">
                  <c:v>0.204264472708615</c:v>
                </c:pt>
                <c:pt idx="107">
                  <c:v>0.26071475543719</c:v>
                </c:pt>
                <c:pt idx="108">
                  <c:v>0.602909385224699</c:v>
                </c:pt>
                <c:pt idx="109">
                  <c:v>0.43888469117337</c:v>
                </c:pt>
              </c:numCache>
            </c:numRef>
          </c:xVal>
          <c:yVal>
            <c:numRef>
              <c:f>总表20230726!$BC$3:$BC$146</c:f>
              <c:numCache>
                <c:formatCode>0.00_);[Red]\(0.00\)</c:formatCode>
                <c:ptCount val="110"/>
                <c:pt idx="0">
                  <c:v>4.28342399678021</c:v>
                </c:pt>
                <c:pt idx="1">
                  <c:v>3.77968341194331</c:v>
                </c:pt>
                <c:pt idx="2">
                  <c:v>2.24089246603864</c:v>
                </c:pt>
                <c:pt idx="3">
                  <c:v>3.64553822812582</c:v>
                </c:pt>
                <c:pt idx="4">
                  <c:v>2.42380645974551</c:v>
                </c:pt>
                <c:pt idx="5">
                  <c:v>1.60646835861388</c:v>
                </c:pt>
                <c:pt idx="6">
                  <c:v>2.54335536602606</c:v>
                </c:pt>
                <c:pt idx="7">
                  <c:v>2.36019904870494</c:v>
                </c:pt>
                <c:pt idx="8">
                  <c:v>1.64412876596047</c:v>
                </c:pt>
                <c:pt idx="9">
                  <c:v>1.61408392936931</c:v>
                </c:pt>
                <c:pt idx="10">
                  <c:v>0.479324862305828</c:v>
                </c:pt>
                <c:pt idx="11">
                  <c:v>1.13666133052709</c:v>
                </c:pt>
                <c:pt idx="12">
                  <c:v>1.75930076601661</c:v>
                </c:pt>
                <c:pt idx="13">
                  <c:v>1.90073836866909</c:v>
                </c:pt>
                <c:pt idx="14">
                  <c:v>2.44469529088889</c:v>
                </c:pt>
                <c:pt idx="15">
                  <c:v>2.48781735976035</c:v>
                </c:pt>
                <c:pt idx="16">
                  <c:v>11.2901976928187</c:v>
                </c:pt>
                <c:pt idx="17">
                  <c:v>0.121082663300743</c:v>
                </c:pt>
                <c:pt idx="18">
                  <c:v>2.88363912932229</c:v>
                </c:pt>
                <c:pt idx="19">
                  <c:v>3.0679319774913</c:v>
                </c:pt>
                <c:pt idx="20">
                  <c:v>2.06419094806166</c:v>
                </c:pt>
                <c:pt idx="21">
                  <c:v>8.82187096667077</c:v>
                </c:pt>
                <c:pt idx="22">
                  <c:v>1.03481397621121</c:v>
                </c:pt>
                <c:pt idx="23">
                  <c:v>0.628269334317546</c:v>
                </c:pt>
                <c:pt idx="24">
                  <c:v>1.13688896772265</c:v>
                </c:pt>
                <c:pt idx="25">
                  <c:v>0.573093773946815</c:v>
                </c:pt>
                <c:pt idx="26">
                  <c:v>1.16203266844285</c:v>
                </c:pt>
                <c:pt idx="27">
                  <c:v>1.05807090865717</c:v>
                </c:pt>
                <c:pt idx="28">
                  <c:v>0.289261811513948</c:v>
                </c:pt>
                <c:pt idx="29">
                  <c:v>0.774756792051511</c:v>
                </c:pt>
                <c:pt idx="30">
                  <c:v>0.752847843267089</c:v>
                </c:pt>
                <c:pt idx="31">
                  <c:v>2.19510542732166</c:v>
                </c:pt>
                <c:pt idx="32">
                  <c:v>2.0072391096829</c:v>
                </c:pt>
                <c:pt idx="33">
                  <c:v>0.453886170524932</c:v>
                </c:pt>
                <c:pt idx="34">
                  <c:v>1.39334032983614</c:v>
                </c:pt>
                <c:pt idx="35">
                  <c:v>0.936049350884616</c:v>
                </c:pt>
                <c:pt idx="36">
                  <c:v>1.39100892497614</c:v>
                </c:pt>
                <c:pt idx="37">
                  <c:v>1.82422215350767</c:v>
                </c:pt>
                <c:pt idx="38">
                  <c:v>1.48972270136255</c:v>
                </c:pt>
                <c:pt idx="39">
                  <c:v>1.81431670705391</c:v>
                </c:pt>
                <c:pt idx="40">
                  <c:v>1.78308225588837</c:v>
                </c:pt>
                <c:pt idx="41">
                  <c:v>2.85018163449288</c:v>
                </c:pt>
                <c:pt idx="42">
                  <c:v>4.65723214410812</c:v>
                </c:pt>
                <c:pt idx="43">
                  <c:v>1.90867396303945</c:v>
                </c:pt>
                <c:pt idx="44">
                  <c:v>8.57051845786175</c:v>
                </c:pt>
                <c:pt idx="45">
                  <c:v>0</c:v>
                </c:pt>
                <c:pt idx="46">
                  <c:v>0</c:v>
                </c:pt>
                <c:pt idx="47">
                  <c:v>0.0475984174088808</c:v>
                </c:pt>
                <c:pt idx="48">
                  <c:v>0.0661076934309668</c:v>
                </c:pt>
                <c:pt idx="49">
                  <c:v>1.67367694109952</c:v>
                </c:pt>
                <c:pt idx="50">
                  <c:v>1.68025719969477</c:v>
                </c:pt>
                <c:pt idx="51">
                  <c:v>1.55498622323171</c:v>
                </c:pt>
                <c:pt idx="52">
                  <c:v>1.65001765233474</c:v>
                </c:pt>
                <c:pt idx="53">
                  <c:v>2.4829596596566</c:v>
                </c:pt>
                <c:pt idx="54">
                  <c:v>2.66374213557783</c:v>
                </c:pt>
                <c:pt idx="55">
                  <c:v>3.21968528706688</c:v>
                </c:pt>
                <c:pt idx="56">
                  <c:v>3.33002836588109</c:v>
                </c:pt>
                <c:pt idx="57">
                  <c:v>3.36206303095711</c:v>
                </c:pt>
                <c:pt idx="58">
                  <c:v>2.63185349965656</c:v>
                </c:pt>
                <c:pt idx="59">
                  <c:v>3.56880252277417</c:v>
                </c:pt>
                <c:pt idx="60">
                  <c:v>2.64130703138187</c:v>
                </c:pt>
                <c:pt idx="61">
                  <c:v>2.93791183653294</c:v>
                </c:pt>
                <c:pt idx="62">
                  <c:v>2.11443427830696</c:v>
                </c:pt>
                <c:pt idx="63">
                  <c:v>2.5146288963332</c:v>
                </c:pt>
                <c:pt idx="64">
                  <c:v>2.04861842907168</c:v>
                </c:pt>
                <c:pt idx="65">
                  <c:v>1.09802229447951</c:v>
                </c:pt>
                <c:pt idx="66">
                  <c:v>4.23607809641051</c:v>
                </c:pt>
                <c:pt idx="67">
                  <c:v>0.778055160565196</c:v>
                </c:pt>
                <c:pt idx="68">
                  <c:v>1.14699873308667</c:v>
                </c:pt>
                <c:pt idx="69">
                  <c:v>2.06614920043224</c:v>
                </c:pt>
                <c:pt idx="70">
                  <c:v>0.937197279186205</c:v>
                </c:pt>
                <c:pt idx="71">
                  <c:v>1.27490798428227</c:v>
                </c:pt>
                <c:pt idx="72">
                  <c:v>1.99187801328829</c:v>
                </c:pt>
                <c:pt idx="73">
                  <c:v>1.44636339269276</c:v>
                </c:pt>
                <c:pt idx="74">
                  <c:v>1.41262408182823</c:v>
                </c:pt>
                <c:pt idx="75">
                  <c:v>1.35719536975034</c:v>
                </c:pt>
                <c:pt idx="76">
                  <c:v>0.970825393243486</c:v>
                </c:pt>
                <c:pt idx="77">
                  <c:v>0.933918795001752</c:v>
                </c:pt>
                <c:pt idx="78">
                  <c:v>0.887566385475345</c:v>
                </c:pt>
                <c:pt idx="79">
                  <c:v>0.899013393219052</c:v>
                </c:pt>
                <c:pt idx="80">
                  <c:v>1.56224186360986</c:v>
                </c:pt>
                <c:pt idx="81">
                  <c:v>1.00494468905155</c:v>
                </c:pt>
                <c:pt idx="82">
                  <c:v>1.01448991335873</c:v>
                </c:pt>
                <c:pt idx="83">
                  <c:v>1.13414438768024</c:v>
                </c:pt>
                <c:pt idx="84">
                  <c:v>1.0519656933483</c:v>
                </c:pt>
                <c:pt idx="85">
                  <c:v>1.08493099118806</c:v>
                </c:pt>
                <c:pt idx="86">
                  <c:v>0</c:v>
                </c:pt>
                <c:pt idx="87">
                  <c:v>2.10680795682724</c:v>
                </c:pt>
                <c:pt idx="88">
                  <c:v>4.09852725128441</c:v>
                </c:pt>
                <c:pt idx="89">
                  <c:v>3.02967279189542</c:v>
                </c:pt>
                <c:pt idx="90">
                  <c:v>1.90401136057345</c:v>
                </c:pt>
                <c:pt idx="91">
                  <c:v>1.15681854167289</c:v>
                </c:pt>
                <c:pt idx="92">
                  <c:v>0.869372165324705</c:v>
                </c:pt>
                <c:pt idx="93">
                  <c:v>0.96957624517222</c:v>
                </c:pt>
                <c:pt idx="94">
                  <c:v>1.24479467776609</c:v>
                </c:pt>
                <c:pt idx="95">
                  <c:v>1.02315549709118</c:v>
                </c:pt>
                <c:pt idx="96">
                  <c:v>1.04699930694094</c:v>
                </c:pt>
                <c:pt idx="97">
                  <c:v>1.00816731953959</c:v>
                </c:pt>
                <c:pt idx="98">
                  <c:v>1.13623017004628</c:v>
                </c:pt>
                <c:pt idx="99">
                  <c:v>0.893318038670001</c:v>
                </c:pt>
                <c:pt idx="100">
                  <c:v>0.975243086198265</c:v>
                </c:pt>
                <c:pt idx="101">
                  <c:v>0.893214940347765</c:v>
                </c:pt>
                <c:pt idx="102">
                  <c:v>10.499632107203</c:v>
                </c:pt>
                <c:pt idx="103">
                  <c:v>9.58836341060946</c:v>
                </c:pt>
                <c:pt idx="104">
                  <c:v>4.78567812239505</c:v>
                </c:pt>
                <c:pt idx="105">
                  <c:v>9.36204847209187</c:v>
                </c:pt>
                <c:pt idx="106">
                  <c:v>2.5914846987036</c:v>
                </c:pt>
                <c:pt idx="107">
                  <c:v>4.76236055871316</c:v>
                </c:pt>
                <c:pt idx="108">
                  <c:v>3.69185720070384</c:v>
                </c:pt>
                <c:pt idx="109">
                  <c:v>13.352151769094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总表20230726!$BD$147:$BD$173</c:f>
              <c:numCache>
                <c:formatCode>0.00_);[Red]\(0.00\)</c:formatCode>
                <c:ptCount val="27"/>
                <c:pt idx="0">
                  <c:v>0.795327578950584</c:v>
                </c:pt>
                <c:pt idx="1">
                  <c:v>0.7903306696091</c:v>
                </c:pt>
                <c:pt idx="2">
                  <c:v>0.748898418729586</c:v>
                </c:pt>
                <c:pt idx="3">
                  <c:v>0.74893375900745</c:v>
                </c:pt>
                <c:pt idx="4">
                  <c:v>0.72024187377178</c:v>
                </c:pt>
                <c:pt idx="5">
                  <c:v>0.766391652258254</c:v>
                </c:pt>
                <c:pt idx="6">
                  <c:v>1.05722271764746</c:v>
                </c:pt>
                <c:pt idx="7">
                  <c:v>1.16963963896148</c:v>
                </c:pt>
                <c:pt idx="8">
                  <c:v>0.0096051355402916</c:v>
                </c:pt>
                <c:pt idx="9">
                  <c:v>0.137393292684246</c:v>
                </c:pt>
                <c:pt idx="10">
                  <c:v>0.0703801159667417</c:v>
                </c:pt>
                <c:pt idx="11">
                  <c:v>0.0469738088941673</c:v>
                </c:pt>
                <c:pt idx="12">
                  <c:v>0.0210857798644522</c:v>
                </c:pt>
                <c:pt idx="13">
                  <c:v>0.280953928002182</c:v>
                </c:pt>
                <c:pt idx="14">
                  <c:v>0.211681753610485</c:v>
                </c:pt>
                <c:pt idx="15">
                  <c:v>0.00446155713962169</c:v>
                </c:pt>
                <c:pt idx="16">
                  <c:v>0.166360536114512</c:v>
                </c:pt>
                <c:pt idx="17">
                  <c:v>0.148296019347191</c:v>
                </c:pt>
                <c:pt idx="18">
                  <c:v>0.113613685458196</c:v>
                </c:pt>
                <c:pt idx="19">
                  <c:v>0.128651491710974</c:v>
                </c:pt>
                <c:pt idx="20">
                  <c:v>0.00923838107903144</c:v>
                </c:pt>
                <c:pt idx="21">
                  <c:v>0.165298328565694</c:v>
                </c:pt>
                <c:pt idx="22">
                  <c:v>0.670267998217823</c:v>
                </c:pt>
                <c:pt idx="23">
                  <c:v>0</c:v>
                </c:pt>
                <c:pt idx="24">
                  <c:v>0.107370411800219</c:v>
                </c:pt>
                <c:pt idx="25">
                  <c:v>0.374555635479688</c:v>
                </c:pt>
                <c:pt idx="26">
                  <c:v>0.225974650070406</c:v>
                </c:pt>
              </c:numCache>
            </c:numRef>
          </c:xVal>
          <c:yVal>
            <c:numRef>
              <c:f>总表20230726!$BC$147:$BC$173</c:f>
              <c:numCache>
                <c:formatCode>0.00_);[Red]\(0.00\)</c:formatCode>
                <c:ptCount val="27"/>
                <c:pt idx="0">
                  <c:v>1.62066820874961</c:v>
                </c:pt>
                <c:pt idx="1">
                  <c:v>1.68084203074521</c:v>
                </c:pt>
                <c:pt idx="2">
                  <c:v>1.55447353015487</c:v>
                </c:pt>
                <c:pt idx="3">
                  <c:v>1.54798601101434</c:v>
                </c:pt>
                <c:pt idx="4">
                  <c:v>1.58171461496585</c:v>
                </c:pt>
                <c:pt idx="5">
                  <c:v>1.55430456985849</c:v>
                </c:pt>
                <c:pt idx="6">
                  <c:v>1.94749479247626</c:v>
                </c:pt>
                <c:pt idx="7">
                  <c:v>2.24258181345209</c:v>
                </c:pt>
                <c:pt idx="8">
                  <c:v>0.074646135376749</c:v>
                </c:pt>
                <c:pt idx="9">
                  <c:v>3.4751655641803</c:v>
                </c:pt>
                <c:pt idx="10">
                  <c:v>0.796496299983925</c:v>
                </c:pt>
                <c:pt idx="11">
                  <c:v>1.05803810244815</c:v>
                </c:pt>
                <c:pt idx="12">
                  <c:v>1.19562715307577</c:v>
                </c:pt>
                <c:pt idx="13">
                  <c:v>1.27003913960527</c:v>
                </c:pt>
                <c:pt idx="14">
                  <c:v>0.937219537625994</c:v>
                </c:pt>
                <c:pt idx="15">
                  <c:v>1.1004908257305</c:v>
                </c:pt>
                <c:pt idx="16">
                  <c:v>0.971697544139353</c:v>
                </c:pt>
                <c:pt idx="17">
                  <c:v>0.864022319444247</c:v>
                </c:pt>
                <c:pt idx="18">
                  <c:v>0.939365360933662</c:v>
                </c:pt>
                <c:pt idx="19">
                  <c:v>0.917238839554691</c:v>
                </c:pt>
                <c:pt idx="20">
                  <c:v>1.00294313502748</c:v>
                </c:pt>
                <c:pt idx="21">
                  <c:v>0.939250008183681</c:v>
                </c:pt>
                <c:pt idx="22">
                  <c:v>6.55426801919269</c:v>
                </c:pt>
                <c:pt idx="23">
                  <c:v>0</c:v>
                </c:pt>
                <c:pt idx="24">
                  <c:v>3.53618671649211</c:v>
                </c:pt>
                <c:pt idx="25">
                  <c:v>5.00952860958368</c:v>
                </c:pt>
                <c:pt idx="26">
                  <c:v>3.22007596135955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总表20230726!$BD$174:$BD$218</c:f>
              <c:numCache>
                <c:formatCode>0.00_);[Red]\(0.00\)</c:formatCode>
                <c:ptCount val="45"/>
                <c:pt idx="0">
                  <c:v>7.11809137411605</c:v>
                </c:pt>
                <c:pt idx="1">
                  <c:v>4.83287502720681</c:v>
                </c:pt>
                <c:pt idx="2">
                  <c:v>5.00203620010066</c:v>
                </c:pt>
                <c:pt idx="3">
                  <c:v>5.14332332346968</c:v>
                </c:pt>
                <c:pt idx="4">
                  <c:v>3.99339655855338</c:v>
                </c:pt>
                <c:pt idx="5">
                  <c:v>3.51780889232044</c:v>
                </c:pt>
                <c:pt idx="6">
                  <c:v>1.78225138533258</c:v>
                </c:pt>
                <c:pt idx="7">
                  <c:v>1.88884044945399</c:v>
                </c:pt>
                <c:pt idx="8">
                  <c:v>4.5212150164364</c:v>
                </c:pt>
                <c:pt idx="9">
                  <c:v>1.06119846068605</c:v>
                </c:pt>
                <c:pt idx="10">
                  <c:v>0.794233043060861</c:v>
                </c:pt>
                <c:pt idx="11">
                  <c:v>0.98765258640147</c:v>
                </c:pt>
                <c:pt idx="12">
                  <c:v>0.977542042414899</c:v>
                </c:pt>
                <c:pt idx="13">
                  <c:v>1.54585397172172</c:v>
                </c:pt>
                <c:pt idx="14">
                  <c:v>1.63976018411775</c:v>
                </c:pt>
                <c:pt idx="15">
                  <c:v>1.35349035743324</c:v>
                </c:pt>
                <c:pt idx="16">
                  <c:v>1.1579141830465</c:v>
                </c:pt>
                <c:pt idx="17">
                  <c:v>1.21436487955418</c:v>
                </c:pt>
                <c:pt idx="18">
                  <c:v>0</c:v>
                </c:pt>
                <c:pt idx="19">
                  <c:v>0.986416804104724</c:v>
                </c:pt>
                <c:pt idx="20">
                  <c:v>1.07025922703146</c:v>
                </c:pt>
                <c:pt idx="21">
                  <c:v>1.23050711938305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0.228566564353801</c:v>
                </c:pt>
                <c:pt idx="29">
                  <c:v>1.00362593875624</c:v>
                </c:pt>
                <c:pt idx="30">
                  <c:v>0</c:v>
                </c:pt>
                <c:pt idx="31">
                  <c:v>0.353660963680893</c:v>
                </c:pt>
                <c:pt idx="32">
                  <c:v>0</c:v>
                </c:pt>
                <c:pt idx="33">
                  <c:v>0.252991740713898</c:v>
                </c:pt>
                <c:pt idx="34">
                  <c:v>0.359963243834542</c:v>
                </c:pt>
                <c:pt idx="35">
                  <c:v>0.280019428711481</c:v>
                </c:pt>
                <c:pt idx="36">
                  <c:v>1.52226790141692</c:v>
                </c:pt>
                <c:pt idx="37">
                  <c:v>0.51733755113638</c:v>
                </c:pt>
                <c:pt idx="38">
                  <c:v>0.187452100273373</c:v>
                </c:pt>
                <c:pt idx="39">
                  <c:v>0.318256736961525</c:v>
                </c:pt>
                <c:pt idx="40">
                  <c:v>0.063920053535521</c:v>
                </c:pt>
                <c:pt idx="41">
                  <c:v>0.0951101522505833</c:v>
                </c:pt>
                <c:pt idx="42">
                  <c:v>0.110871325113194</c:v>
                </c:pt>
                <c:pt idx="43">
                  <c:v>1.79705327556384</c:v>
                </c:pt>
                <c:pt idx="44">
                  <c:v>3.84694932451634</c:v>
                </c:pt>
              </c:numCache>
            </c:numRef>
          </c:xVal>
          <c:yVal>
            <c:numRef>
              <c:f>总表20230726!$BC$174:$BC$218</c:f>
              <c:numCache>
                <c:formatCode>0.00_);[Red]\(0.00\)</c:formatCode>
                <c:ptCount val="45"/>
                <c:pt idx="0">
                  <c:v>19.6097063450095</c:v>
                </c:pt>
                <c:pt idx="1">
                  <c:v>13.4888716387289</c:v>
                </c:pt>
                <c:pt idx="2">
                  <c:v>14.1391651224509</c:v>
                </c:pt>
                <c:pt idx="3">
                  <c:v>14.6990918021399</c:v>
                </c:pt>
                <c:pt idx="4">
                  <c:v>11.9163821505142</c:v>
                </c:pt>
                <c:pt idx="5">
                  <c:v>6.36266600548767</c:v>
                </c:pt>
                <c:pt idx="6">
                  <c:v>3.45937933965145</c:v>
                </c:pt>
                <c:pt idx="7">
                  <c:v>3.64169666195055</c:v>
                </c:pt>
                <c:pt idx="8">
                  <c:v>8.91322828510157</c:v>
                </c:pt>
                <c:pt idx="9">
                  <c:v>1.94650405640501</c:v>
                </c:pt>
                <c:pt idx="10">
                  <c:v>1.67135985700406</c:v>
                </c:pt>
                <c:pt idx="11">
                  <c:v>1.94408605497758</c:v>
                </c:pt>
                <c:pt idx="12">
                  <c:v>1.90138848365743</c:v>
                </c:pt>
                <c:pt idx="13">
                  <c:v>2.96967274072528</c:v>
                </c:pt>
                <c:pt idx="14">
                  <c:v>2.79615442071529</c:v>
                </c:pt>
                <c:pt idx="15">
                  <c:v>2.68264695034287</c:v>
                </c:pt>
                <c:pt idx="16">
                  <c:v>2.20727920969614</c:v>
                </c:pt>
                <c:pt idx="17">
                  <c:v>2.11041108750637</c:v>
                </c:pt>
                <c:pt idx="18">
                  <c:v>0</c:v>
                </c:pt>
                <c:pt idx="19">
                  <c:v>4.14221275746512</c:v>
                </c:pt>
                <c:pt idx="20">
                  <c:v>5.3054825671787</c:v>
                </c:pt>
                <c:pt idx="21">
                  <c:v>5.45886017362134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3.69228224378073</c:v>
                </c:pt>
                <c:pt idx="29">
                  <c:v>10.0828127682993</c:v>
                </c:pt>
                <c:pt idx="30">
                  <c:v>0</c:v>
                </c:pt>
                <c:pt idx="31">
                  <c:v>3.91225001672986</c:v>
                </c:pt>
                <c:pt idx="32">
                  <c:v>0</c:v>
                </c:pt>
                <c:pt idx="33">
                  <c:v>3.84903245470984</c:v>
                </c:pt>
                <c:pt idx="34">
                  <c:v>5.50116846140461</c:v>
                </c:pt>
                <c:pt idx="35">
                  <c:v>2.48705631396272</c:v>
                </c:pt>
                <c:pt idx="36">
                  <c:v>10.7726549572866</c:v>
                </c:pt>
                <c:pt idx="37">
                  <c:v>5.86935471432365</c:v>
                </c:pt>
                <c:pt idx="38">
                  <c:v>3.30841742415938</c:v>
                </c:pt>
                <c:pt idx="39">
                  <c:v>3.6655678556206</c:v>
                </c:pt>
                <c:pt idx="40">
                  <c:v>2.50067365084707</c:v>
                </c:pt>
                <c:pt idx="41">
                  <c:v>2.66474903146935</c:v>
                </c:pt>
                <c:pt idx="42">
                  <c:v>4.21223621038832</c:v>
                </c:pt>
                <c:pt idx="43">
                  <c:v>3.58187446146168</c:v>
                </c:pt>
                <c:pt idx="44">
                  <c:v>7.81768340791161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/>
                  <a:t>We</a:t>
                </a:r>
                <a:r>
                  <a:rPr lang="en-US" altLang="zh-CN" sz="900"/>
                  <a:t>D</a:t>
                </a:r>
                <a:endParaRPr lang="en-US" altLang="zh-CN" sz="9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Oh*R^2/epsilon^2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808377702917608"/>
              <c:y val="0.3560132547712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b2d3aa-ffaf-4f29-81b3-eeca4bb59a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37015907454909"/>
          <c:y val="0.0423672478093826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总表删错20231214!$AB$3:$AB$96</c:f>
              <c:numCache>
                <c:formatCode>0.000_ </c:formatCode>
                <c:ptCount val="94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858.530043063024</c:v>
                </c:pt>
                <c:pt idx="46">
                  <c:v>571.740935491015</c:v>
                </c:pt>
                <c:pt idx="47">
                  <c:v>24.6420438051209</c:v>
                </c:pt>
                <c:pt idx="48">
                  <c:v>23.0739996274934</c:v>
                </c:pt>
                <c:pt idx="49">
                  <c:v>26.6349515388322</c:v>
                </c:pt>
                <c:pt idx="50">
                  <c:v>23.6904115142342</c:v>
                </c:pt>
                <c:pt idx="51">
                  <c:v>15.5829884442118</c:v>
                </c:pt>
                <c:pt idx="52">
                  <c:v>15.5304393374087</c:v>
                </c:pt>
                <c:pt idx="53">
                  <c:v>12.9452596490475</c:v>
                </c:pt>
                <c:pt idx="54">
                  <c:v>13.8266134454377</c:v>
                </c:pt>
                <c:pt idx="55">
                  <c:v>13.5572034802801</c:v>
                </c:pt>
                <c:pt idx="56">
                  <c:v>17.0376579857058</c:v>
                </c:pt>
                <c:pt idx="57">
                  <c:v>12.3072678204838</c:v>
                </c:pt>
                <c:pt idx="58">
                  <c:v>16.6684934782528</c:v>
                </c:pt>
                <c:pt idx="59">
                  <c:v>13.8879335889062</c:v>
                </c:pt>
                <c:pt idx="60">
                  <c:v>18.6020114376394</c:v>
                </c:pt>
                <c:pt idx="61">
                  <c:v>16.1906887423071</c:v>
                </c:pt>
                <c:pt idx="62">
                  <c:v>19.9746945835606</c:v>
                </c:pt>
                <c:pt idx="63">
                  <c:v>37.0352165921172</c:v>
                </c:pt>
                <c:pt idx="64">
                  <c:v>34.0753244730079</c:v>
                </c:pt>
                <c:pt idx="65">
                  <c:v>55.444923712212</c:v>
                </c:pt>
                <c:pt idx="66">
                  <c:v>32.6196151074485</c:v>
                </c:pt>
                <c:pt idx="67">
                  <c:v>73.1477259148072</c:v>
                </c:pt>
                <c:pt idx="68">
                  <c:v>49.0263599167785</c:v>
                </c:pt>
                <c:pt idx="69">
                  <c:v>34.1842813220638</c:v>
                </c:pt>
                <c:pt idx="70">
                  <c:v>45.7512450044818</c:v>
                </c:pt>
                <c:pt idx="71">
                  <c:v>47.2830231818111</c:v>
                </c:pt>
                <c:pt idx="72">
                  <c:v>45.8443161857168</c:v>
                </c:pt>
                <c:pt idx="73">
                  <c:v>64.987355172409</c:v>
                </c:pt>
                <c:pt idx="74">
                  <c:v>68.4627284988786</c:v>
                </c:pt>
                <c:pt idx="75">
                  <c:v>69.1265353349016</c:v>
                </c:pt>
                <c:pt idx="76">
                  <c:v>62.9209449284804</c:v>
                </c:pt>
                <c:pt idx="77">
                  <c:v>46.0150222639026</c:v>
                </c:pt>
                <c:pt idx="78">
                  <c:v>72.6567184524275</c:v>
                </c:pt>
                <c:pt idx="79">
                  <c:v>68.9477864182706</c:v>
                </c:pt>
                <c:pt idx="80">
                  <c:v>48.1166293082462</c:v>
                </c:pt>
                <c:pt idx="81">
                  <c:v>62.0419577538728</c:v>
                </c:pt>
                <c:pt idx="82">
                  <c:v>59.8381665890039</c:v>
                </c:pt>
                <c:pt idx="83">
                  <c:v>47.3636150846312</c:v>
                </c:pt>
                <c:pt idx="84">
                  <c:v>47.1910977027488</c:v>
                </c:pt>
                <c:pt idx="85">
                  <c:v>66.2254171305913</c:v>
                </c:pt>
                <c:pt idx="86">
                  <c:v>65.235457889892</c:v>
                </c:pt>
                <c:pt idx="87">
                  <c:v>76.444712506169</c:v>
                </c:pt>
                <c:pt idx="88">
                  <c:v>66.8708298533672</c:v>
                </c:pt>
                <c:pt idx="89">
                  <c:v>4.67332200319995</c:v>
                </c:pt>
                <c:pt idx="90">
                  <c:v>26.3266580613044</c:v>
                </c:pt>
                <c:pt idx="91">
                  <c:v>12.2958788861858</c:v>
                </c:pt>
                <c:pt idx="92">
                  <c:v>13.4218686186445</c:v>
                </c:pt>
                <c:pt idx="93">
                  <c:v>18.8914230753295</c:v>
                </c:pt>
              </c:numCache>
            </c:numRef>
          </c:xVal>
          <c:yVal>
            <c:numRef>
              <c:f>总表删错20231214!$AC$3:$AC$96</c:f>
              <c:numCache>
                <c:formatCode>0.000_ </c:formatCode>
                <c:ptCount val="94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  <c:pt idx="21">
                  <c:v>3.70741266252123</c:v>
                </c:pt>
                <c:pt idx="22">
                  <c:v>6.00131712564687</c:v>
                </c:pt>
                <c:pt idx="23">
                  <c:v>6.29380576901394</c:v>
                </c:pt>
                <c:pt idx="24">
                  <c:v>6.39890961279557</c:v>
                </c:pt>
                <c:pt idx="25">
                  <c:v>5.72233664035863</c:v>
                </c:pt>
                <c:pt idx="26">
                  <c:v>5.67854565921208</c:v>
                </c:pt>
                <c:pt idx="27">
                  <c:v>5.2340971555774</c:v>
                </c:pt>
                <c:pt idx="28">
                  <c:v>5.11471908842709</c:v>
                </c:pt>
                <c:pt idx="29">
                  <c:v>5.22690348585162</c:v>
                </c:pt>
                <c:pt idx="30">
                  <c:v>5.09534738547879</c:v>
                </c:pt>
                <c:pt idx="31">
                  <c:v>6.59942010987446</c:v>
                </c:pt>
                <c:pt idx="32">
                  <c:v>6.13522234921878</c:v>
                </c:pt>
                <c:pt idx="33">
                  <c:v>6.02818213844176</c:v>
                </c:pt>
                <c:pt idx="34">
                  <c:v>6.13598567264896</c:v>
                </c:pt>
                <c:pt idx="35">
                  <c:v>6.09844497129276</c:v>
                </c:pt>
                <c:pt idx="36">
                  <c:v>5.68848995258772</c:v>
                </c:pt>
                <c:pt idx="37">
                  <c:v>5.88439861101181</c:v>
                </c:pt>
                <c:pt idx="38">
                  <c:v>5.72310403223283</c:v>
                </c:pt>
                <c:pt idx="39">
                  <c:v>5.53445712756113</c:v>
                </c:pt>
                <c:pt idx="40">
                  <c:v>5.73473549277107</c:v>
                </c:pt>
                <c:pt idx="41">
                  <c:v>4.89594138999651</c:v>
                </c:pt>
                <c:pt idx="42">
                  <c:v>5.63323509915774</c:v>
                </c:pt>
                <c:pt idx="43">
                  <c:v>5.83596994192761</c:v>
                </c:pt>
                <c:pt idx="44">
                  <c:v>5.71957775809919</c:v>
                </c:pt>
                <c:pt idx="45">
                  <c:v>3.65031010931607</c:v>
                </c:pt>
                <c:pt idx="46">
                  <c:v>3.28953216300107</c:v>
                </c:pt>
                <c:pt idx="47">
                  <c:v>3.69541789777316</c:v>
                </c:pt>
                <c:pt idx="48">
                  <c:v>3.40301561758373</c:v>
                </c:pt>
                <c:pt idx="49">
                  <c:v>3.7162394502436</c:v>
                </c:pt>
                <c:pt idx="50">
                  <c:v>3.44044015118003</c:v>
                </c:pt>
                <c:pt idx="51">
                  <c:v>3.39385250043867</c:v>
                </c:pt>
                <c:pt idx="52">
                  <c:v>3.71051031573697</c:v>
                </c:pt>
                <c:pt idx="53">
                  <c:v>3.74769867772342</c:v>
                </c:pt>
                <c:pt idx="54">
                  <c:v>4.27974033223633</c:v>
                </c:pt>
                <c:pt idx="55">
                  <c:v>4.22247449251643</c:v>
                </c:pt>
                <c:pt idx="56">
                  <c:v>4.13137442169454</c:v>
                </c:pt>
                <c:pt idx="57">
                  <c:v>4.01893799135279</c:v>
                </c:pt>
                <c:pt idx="58">
                  <c:v>4.03168008259807</c:v>
                </c:pt>
                <c:pt idx="59">
                  <c:v>3.64279110340268</c:v>
                </c:pt>
                <c:pt idx="60">
                  <c:v>3.46900195299014</c:v>
                </c:pt>
                <c:pt idx="61">
                  <c:v>3.63232512463612</c:v>
                </c:pt>
                <c:pt idx="62">
                  <c:v>3.65696421850038</c:v>
                </c:pt>
                <c:pt idx="63">
                  <c:v>3.62660684277443</c:v>
                </c:pt>
                <c:pt idx="64">
                  <c:v>6.76101336288738</c:v>
                </c:pt>
                <c:pt idx="65">
                  <c:v>6.58312424658697</c:v>
                </c:pt>
                <c:pt idx="66">
                  <c:v>7.11300471076456</c:v>
                </c:pt>
                <c:pt idx="67">
                  <c:v>7.2762600350121</c:v>
                </c:pt>
                <c:pt idx="68">
                  <c:v>6.43295333070307</c:v>
                </c:pt>
                <c:pt idx="69">
                  <c:v>7.2108202465386</c:v>
                </c:pt>
                <c:pt idx="70">
                  <c:v>6.94127948647555</c:v>
                </c:pt>
                <c:pt idx="71">
                  <c:v>7.02815833468254</c:v>
                </c:pt>
                <c:pt idx="72">
                  <c:v>6.39395494771192</c:v>
                </c:pt>
                <c:pt idx="73">
                  <c:v>6.51366972349799</c:v>
                </c:pt>
                <c:pt idx="74">
                  <c:v>6.63055943897094</c:v>
                </c:pt>
                <c:pt idx="75">
                  <c:v>6.27566754880175</c:v>
                </c:pt>
                <c:pt idx="76">
                  <c:v>5.63137278550661</c:v>
                </c:pt>
                <c:pt idx="77">
                  <c:v>7.75168812175796</c:v>
                </c:pt>
                <c:pt idx="78">
                  <c:v>7.91449116079493</c:v>
                </c:pt>
                <c:pt idx="79">
                  <c:v>7.474058542192</c:v>
                </c:pt>
                <c:pt idx="80">
                  <c:v>5.36805725901979</c:v>
                </c:pt>
                <c:pt idx="81">
                  <c:v>6.81472771164367</c:v>
                </c:pt>
                <c:pt idx="82">
                  <c:v>6.76663792663672</c:v>
                </c:pt>
                <c:pt idx="83">
                  <c:v>4.26482773119845</c:v>
                </c:pt>
                <c:pt idx="84">
                  <c:v>5.92210564108781</c:v>
                </c:pt>
                <c:pt idx="85">
                  <c:v>7.16397738755529</c:v>
                </c:pt>
                <c:pt idx="86">
                  <c:v>7.24056671583387</c:v>
                </c:pt>
                <c:pt idx="87">
                  <c:v>7.23886517323909</c:v>
                </c:pt>
                <c:pt idx="88">
                  <c:v>6.80767066541797</c:v>
                </c:pt>
                <c:pt idx="89">
                  <c:v>4.65870772563559</c:v>
                </c:pt>
                <c:pt idx="90">
                  <c:v>5.48563184196025</c:v>
                </c:pt>
                <c:pt idx="91">
                  <c:v>5.89714147165139</c:v>
                </c:pt>
                <c:pt idx="92">
                  <c:v>5.42567148527428</c:v>
                </c:pt>
                <c:pt idx="93">
                  <c:v>5.72022284969779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总表删错20231214!$AB$97:$AB$110</c:f>
              <c:numCache>
                <c:formatCode>0.000_ </c:formatCode>
                <c:ptCount val="14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  <c:pt idx="8">
                  <c:v>635.112698555686</c:v>
                </c:pt>
                <c:pt idx="9">
                  <c:v>17.6762620221036</c:v>
                </c:pt>
                <c:pt idx="10">
                  <c:v>66.5084317002728</c:v>
                </c:pt>
                <c:pt idx="11">
                  <c:v>62.8297848137785</c:v>
                </c:pt>
                <c:pt idx="12">
                  <c:v>67.7240322972302</c:v>
                </c:pt>
                <c:pt idx="13">
                  <c:v>17.8943470098128</c:v>
                </c:pt>
              </c:numCache>
            </c:numRef>
          </c:xVal>
          <c:yVal>
            <c:numRef>
              <c:f>总表删错20231214!$AC$97:$AC$110</c:f>
              <c:numCache>
                <c:formatCode>0.000_ </c:formatCode>
                <c:ptCount val="14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  <c:pt idx="8">
                  <c:v>4.44982822350614</c:v>
                </c:pt>
                <c:pt idx="9">
                  <c:v>6.28570007921685</c:v>
                </c:pt>
                <c:pt idx="10">
                  <c:v>5.15956443208434</c:v>
                </c:pt>
                <c:pt idx="11">
                  <c:v>7.3598406624916</c:v>
                </c:pt>
                <c:pt idx="12">
                  <c:v>7.18716979071478</c:v>
                </c:pt>
                <c:pt idx="13">
                  <c:v>6.53933829633019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总表删错20231214!$AB$111:$AB$143</c:f>
              <c:numCache>
                <c:formatCode>0.000_ </c:formatCode>
                <c:ptCount val="33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11.1692033723287</c:v>
                </c:pt>
                <c:pt idx="11">
                  <c:v>14.3635317606801</c:v>
                </c:pt>
                <c:pt idx="12">
                  <c:v>11.7743348628131</c:v>
                </c:pt>
                <c:pt idx="13">
                  <c:v>11.9354918465566</c:v>
                </c:pt>
                <c:pt idx="14">
                  <c:v>7.57333273586413</c:v>
                </c:pt>
                <c:pt idx="15">
                  <c:v>7.3628658312843</c:v>
                </c:pt>
                <c:pt idx="16">
                  <c:v>8.57526122054116</c:v>
                </c:pt>
                <c:pt idx="17">
                  <c:v>10.1319280992112</c:v>
                </c:pt>
                <c:pt idx="18">
                  <c:v>9.89573164790353</c:v>
                </c:pt>
                <c:pt idx="19">
                  <c:v>8.82620931709272</c:v>
                </c:pt>
                <c:pt idx="20">
                  <c:v>7.4685765857068</c:v>
                </c:pt>
                <c:pt idx="21">
                  <c:v>6.88423933298256</c:v>
                </c:pt>
                <c:pt idx="22">
                  <c:v>10.3023808355658</c:v>
                </c:pt>
                <c:pt idx="23">
                  <c:v>15.5148094154257</c:v>
                </c:pt>
                <c:pt idx="24">
                  <c:v>5.0898037752343</c:v>
                </c:pt>
                <c:pt idx="25">
                  <c:v>4.25837465938043</c:v>
                </c:pt>
                <c:pt idx="26">
                  <c:v>9.03118301341914</c:v>
                </c:pt>
                <c:pt idx="27">
                  <c:v>13.461670782126</c:v>
                </c:pt>
                <c:pt idx="28">
                  <c:v>14.5158445484009</c:v>
                </c:pt>
                <c:pt idx="29">
                  <c:v>25.7068249437963</c:v>
                </c:pt>
                <c:pt idx="30">
                  <c:v>23.3386904345037</c:v>
                </c:pt>
                <c:pt idx="31">
                  <c:v>14.711417622086</c:v>
                </c:pt>
                <c:pt idx="32">
                  <c:v>15.2230878931005</c:v>
                </c:pt>
              </c:numCache>
            </c:numRef>
          </c:xVal>
          <c:yVal>
            <c:numRef>
              <c:f>总表删错20231214!$AC$111:$AC$143</c:f>
              <c:numCache>
                <c:formatCode>0.000_ </c:formatCode>
                <c:ptCount val="33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1.70589820848416</c:v>
                </c:pt>
                <c:pt idx="10">
                  <c:v>1.57362928709765</c:v>
                </c:pt>
                <c:pt idx="11">
                  <c:v>1.79600423030684</c:v>
                </c:pt>
                <c:pt idx="12">
                  <c:v>1.68552385979283</c:v>
                </c:pt>
                <c:pt idx="13">
                  <c:v>1.66627746154534</c:v>
                </c:pt>
                <c:pt idx="14">
                  <c:v>1.64636675554716</c:v>
                </c:pt>
                <c:pt idx="15">
                  <c:v>1.4633328844295</c:v>
                </c:pt>
                <c:pt idx="16">
                  <c:v>1.69673331276319</c:v>
                </c:pt>
                <c:pt idx="17">
                  <c:v>1.63404837615802</c:v>
                </c:pt>
                <c:pt idx="18">
                  <c:v>1.49148551464658</c:v>
                </c:pt>
                <c:pt idx="19">
                  <c:v>3.14683940653703</c:v>
                </c:pt>
                <c:pt idx="20">
                  <c:v>3.50334349817808</c:v>
                </c:pt>
                <c:pt idx="21">
                  <c:v>3.26444724461408</c:v>
                </c:pt>
                <c:pt idx="22">
                  <c:v>5.64576078760546</c:v>
                </c:pt>
                <c:pt idx="23">
                  <c:v>5.72691665765607</c:v>
                </c:pt>
                <c:pt idx="24">
                  <c:v>4.94587045399771</c:v>
                </c:pt>
                <c:pt idx="25">
                  <c:v>4.25880647190897</c:v>
                </c:pt>
                <c:pt idx="26">
                  <c:v>5.16391494798663</c:v>
                </c:pt>
                <c:pt idx="27">
                  <c:v>5.11956626921921</c:v>
                </c:pt>
                <c:pt idx="28">
                  <c:v>5.19011733989259</c:v>
                </c:pt>
                <c:pt idx="29">
                  <c:v>6.67840918668214</c:v>
                </c:pt>
                <c:pt idx="30">
                  <c:v>6.39012679972256</c:v>
                </c:pt>
                <c:pt idx="31">
                  <c:v>5.63906642370967</c:v>
                </c:pt>
                <c:pt idx="32">
                  <c:v>6.65609803648866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c60d1e-beaa-48df-8e55-6241524df7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38624005495"/>
          <c:y val="0.0708134847929645"/>
          <c:w val="0.804991128155229"/>
          <c:h val="0.747434957860022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总表删错20231214!$AB$3:$AB$74</c:f>
              <c:numCache>
                <c:formatCode>0.000_ </c:formatCode>
                <c:ptCount val="72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858.530043063024</c:v>
                </c:pt>
                <c:pt idx="46">
                  <c:v>571.740935491015</c:v>
                </c:pt>
                <c:pt idx="47">
                  <c:v>24.6420438051209</c:v>
                </c:pt>
                <c:pt idx="48">
                  <c:v>23.0739996274934</c:v>
                </c:pt>
                <c:pt idx="49">
                  <c:v>26.6349515388322</c:v>
                </c:pt>
                <c:pt idx="50">
                  <c:v>23.6904115142342</c:v>
                </c:pt>
                <c:pt idx="51">
                  <c:v>15.5829884442118</c:v>
                </c:pt>
                <c:pt idx="52">
                  <c:v>15.5304393374087</c:v>
                </c:pt>
                <c:pt idx="53">
                  <c:v>12.9452596490475</c:v>
                </c:pt>
                <c:pt idx="54">
                  <c:v>13.8266134454377</c:v>
                </c:pt>
                <c:pt idx="55">
                  <c:v>13.5572034802801</c:v>
                </c:pt>
                <c:pt idx="56">
                  <c:v>17.0376579857058</c:v>
                </c:pt>
                <c:pt idx="57">
                  <c:v>12.3072678204838</c:v>
                </c:pt>
                <c:pt idx="58">
                  <c:v>16.6684934782528</c:v>
                </c:pt>
                <c:pt idx="59">
                  <c:v>13.8879335889062</c:v>
                </c:pt>
                <c:pt idx="60">
                  <c:v>18.6020114376394</c:v>
                </c:pt>
                <c:pt idx="61">
                  <c:v>16.1906887423071</c:v>
                </c:pt>
                <c:pt idx="62">
                  <c:v>19.9746945835606</c:v>
                </c:pt>
                <c:pt idx="63">
                  <c:v>37.0352165921172</c:v>
                </c:pt>
                <c:pt idx="64">
                  <c:v>34.0753244730079</c:v>
                </c:pt>
                <c:pt idx="65">
                  <c:v>55.444923712212</c:v>
                </c:pt>
                <c:pt idx="66">
                  <c:v>32.6196151074485</c:v>
                </c:pt>
                <c:pt idx="67">
                  <c:v>73.1477259148072</c:v>
                </c:pt>
                <c:pt idx="68">
                  <c:v>49.0263599167785</c:v>
                </c:pt>
                <c:pt idx="69">
                  <c:v>34.1842813220638</c:v>
                </c:pt>
                <c:pt idx="70">
                  <c:v>45.7512450044818</c:v>
                </c:pt>
                <c:pt idx="71">
                  <c:v>47.2830231818111</c:v>
                </c:pt>
              </c:numCache>
            </c:numRef>
          </c:xVal>
          <c:yVal>
            <c:numRef>
              <c:f>总表删错20231214!$BE$3:$BE$74</c:f>
              <c:numCache>
                <c:formatCode>0.000_ </c:formatCode>
                <c:ptCount val="72"/>
                <c:pt idx="0">
                  <c:v>0.330159602093124</c:v>
                </c:pt>
                <c:pt idx="1">
                  <c:v>0.374161909408699</c:v>
                </c:pt>
                <c:pt idx="2">
                  <c:v>0.63109389843819</c:v>
                </c:pt>
                <c:pt idx="3">
                  <c:v>0.387929977379539</c:v>
                </c:pt>
                <c:pt idx="4">
                  <c:v>0.583468022657874</c:v>
                </c:pt>
                <c:pt idx="5">
                  <c:v>0.880324567110261</c:v>
                </c:pt>
                <c:pt idx="6">
                  <c:v>0.556042455279372</c:v>
                </c:pt>
                <c:pt idx="7">
                  <c:v>0.599192497407829</c:v>
                </c:pt>
                <c:pt idx="8">
                  <c:v>0.860159855877793</c:v>
                </c:pt>
                <c:pt idx="9">
                  <c:v>0.876171019759605</c:v>
                </c:pt>
                <c:pt idx="10">
                  <c:v>2.95042814088531</c:v>
                </c:pt>
                <c:pt idx="11">
                  <c:v>1.2441819954562</c:v>
                </c:pt>
                <c:pt idx="12">
                  <c:v>0.803849796288749</c:v>
                </c:pt>
                <c:pt idx="13">
                  <c:v>0.744033784809289</c:v>
                </c:pt>
                <c:pt idx="14">
                  <c:v>0.57848254857925</c:v>
                </c:pt>
                <c:pt idx="15">
                  <c:v>0.568455540687007</c:v>
                </c:pt>
                <c:pt idx="16">
                  <c:v>0.125260301090443</c:v>
                </c:pt>
                <c:pt idx="17">
                  <c:v>11.679736172143</c:v>
                </c:pt>
                <c:pt idx="18">
                  <c:v>0.490426679258394</c:v>
                </c:pt>
                <c:pt idx="19">
                  <c:v>0.460966401063924</c:v>
                </c:pt>
                <c:pt idx="20">
                  <c:v>0.685117606828518</c:v>
                </c:pt>
                <c:pt idx="21">
                  <c:v>0.160307668035049</c:v>
                </c:pt>
                <c:pt idx="22">
                  <c:v>1.3666355450194</c:v>
                </c:pt>
                <c:pt idx="23">
                  <c:v>2.2509670377423</c:v>
                </c:pt>
                <c:pt idx="24">
                  <c:v>1.24393287517423</c:v>
                </c:pt>
                <c:pt idx="25">
                  <c:v>2.46768264926978</c:v>
                </c:pt>
                <c:pt idx="26">
                  <c:v>1.21701704330583</c:v>
                </c:pt>
                <c:pt idx="27">
                  <c:v>1.33659620617291</c:v>
                </c:pt>
                <c:pt idx="28">
                  <c:v>4.88904344120413</c:v>
                </c:pt>
                <c:pt idx="29">
                  <c:v>1.82536452326973</c:v>
                </c:pt>
                <c:pt idx="30">
                  <c:v>1.87848524110253</c:v>
                </c:pt>
                <c:pt idx="31">
                  <c:v>0.64425769476532</c:v>
                </c:pt>
                <c:pt idx="32">
                  <c:v>0.704556599934181</c:v>
                </c:pt>
                <c:pt idx="33">
                  <c:v>3.11578905507854</c:v>
                </c:pt>
                <c:pt idx="34">
                  <c:v>1.01498071367777</c:v>
                </c:pt>
                <c:pt idx="35">
                  <c:v>1.51083226652162</c:v>
                </c:pt>
                <c:pt idx="36">
                  <c:v>1.01668187527794</c:v>
                </c:pt>
                <c:pt idx="37">
                  <c:v>0.775241962528414</c:v>
                </c:pt>
                <c:pt idx="38">
                  <c:v>0.9493132923863</c:v>
                </c:pt>
                <c:pt idx="39">
                  <c:v>0.779474474811788</c:v>
                </c:pt>
                <c:pt idx="40">
                  <c:v>0.79312861630632</c:v>
                </c:pt>
                <c:pt idx="41">
                  <c:v>0.496183662563217</c:v>
                </c:pt>
                <c:pt idx="42">
                  <c:v>0.30365966707548</c:v>
                </c:pt>
                <c:pt idx="43">
                  <c:v>0.740940354276662</c:v>
                </c:pt>
                <c:pt idx="44">
                  <c:v>0.165009102929571</c:v>
                </c:pt>
                <c:pt idx="45">
                  <c:v>29.7113567920692</c:v>
                </c:pt>
                <c:pt idx="46">
                  <c:v>21.392571559767</c:v>
                </c:pt>
                <c:pt idx="47">
                  <c:v>0.844974037488999</c:v>
                </c:pt>
                <c:pt idx="48">
                  <c:v>0.84166493238654</c:v>
                </c:pt>
                <c:pt idx="49">
                  <c:v>0.909470155583729</c:v>
                </c:pt>
                <c:pt idx="50">
                  <c:v>0.857089959232866</c:v>
                </c:pt>
                <c:pt idx="51">
                  <c:v>0.569567675766704</c:v>
                </c:pt>
                <c:pt idx="52">
                  <c:v>0.53091233700304</c:v>
                </c:pt>
                <c:pt idx="53">
                  <c:v>0.43923968844217</c:v>
                </c:pt>
                <c:pt idx="54">
                  <c:v>0.424685139881356</c:v>
                </c:pt>
                <c:pt idx="55">
                  <c:v>0.420638622581237</c:v>
                </c:pt>
                <c:pt idx="56">
                  <c:v>0.537345092558396</c:v>
                </c:pt>
                <c:pt idx="57">
                  <c:v>0.396271173131141</c:v>
                </c:pt>
                <c:pt idx="58">
                  <c:v>0.535421874689521</c:v>
                </c:pt>
                <c:pt idx="59">
                  <c:v>0.481366916728863</c:v>
                </c:pt>
                <c:pt idx="60">
                  <c:v>0.668837795944863</c:v>
                </c:pt>
                <c:pt idx="61">
                  <c:v>0.562394540377423</c:v>
                </c:pt>
                <c:pt idx="62">
                  <c:v>0.69032551025812</c:v>
                </c:pt>
                <c:pt idx="63">
                  <c:v>1.2879643423301</c:v>
                </c:pt>
                <c:pt idx="64">
                  <c:v>0.742754792149541</c:v>
                </c:pt>
                <c:pt idx="65">
                  <c:v>1.2329687222647</c:v>
                </c:pt>
                <c:pt idx="66">
                  <c:v>0.650672646220166</c:v>
                </c:pt>
                <c:pt idx="67">
                  <c:v>1.43447574762305</c:v>
                </c:pt>
                <c:pt idx="68">
                  <c:v>1.00111361429762</c:v>
                </c:pt>
                <c:pt idx="69">
                  <c:v>0.640766016556754</c:v>
                </c:pt>
                <c:pt idx="70">
                  <c:v>0.882439189549401</c:v>
                </c:pt>
                <c:pt idx="71">
                  <c:v>0.856587746783587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总表删错20231214!$AB$75:$AB$85</c:f>
              <c:numCache>
                <c:formatCode>0.000_ </c:formatCode>
                <c:ptCount val="11"/>
                <c:pt idx="0">
                  <c:v>45.8443161857168</c:v>
                </c:pt>
                <c:pt idx="1">
                  <c:v>64.987355172409</c:v>
                </c:pt>
                <c:pt idx="2">
                  <c:v>68.4627284988786</c:v>
                </c:pt>
                <c:pt idx="3">
                  <c:v>69.1265353349016</c:v>
                </c:pt>
                <c:pt idx="4">
                  <c:v>62.9209449284804</c:v>
                </c:pt>
                <c:pt idx="5">
                  <c:v>46.0150222639026</c:v>
                </c:pt>
                <c:pt idx="6">
                  <c:v>72.6567184524275</c:v>
                </c:pt>
                <c:pt idx="7">
                  <c:v>68.9477864182706</c:v>
                </c:pt>
                <c:pt idx="8">
                  <c:v>48.1166293082462</c:v>
                </c:pt>
                <c:pt idx="9">
                  <c:v>62.0419577538728</c:v>
                </c:pt>
                <c:pt idx="10">
                  <c:v>59.8381665890039</c:v>
                </c:pt>
              </c:numCache>
            </c:numRef>
          </c:xVal>
          <c:yVal>
            <c:numRef>
              <c:f>总表删错20231214!$BE$75:$BE$85</c:f>
              <c:numCache>
                <c:formatCode>0.000_ </c:formatCode>
                <c:ptCount val="11"/>
                <c:pt idx="0">
                  <c:v>0.891571328841235</c:v>
                </c:pt>
                <c:pt idx="1">
                  <c:v>1.17993718900893</c:v>
                </c:pt>
                <c:pt idx="2">
                  <c:v>1.22656594090716</c:v>
                </c:pt>
                <c:pt idx="3">
                  <c:v>1.21991692836815</c:v>
                </c:pt>
                <c:pt idx="4">
                  <c:v>1.2043839022408</c:v>
                </c:pt>
                <c:pt idx="5">
                  <c:v>0.693079147290279</c:v>
                </c:pt>
                <c:pt idx="6">
                  <c:v>1.01674182663614</c:v>
                </c:pt>
                <c:pt idx="7">
                  <c:v>1.00717541432396</c:v>
                </c:pt>
                <c:pt idx="8">
                  <c:v>0.900916417621635</c:v>
                </c:pt>
                <c:pt idx="9">
                  <c:v>0.915000471951222</c:v>
                </c:pt>
                <c:pt idx="10">
                  <c:v>0.887198461199956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总表删错20231214!$AB$86:$AB$107</c:f>
              <c:numCache>
                <c:formatCode>0.000_ </c:formatCode>
                <c:ptCount val="22"/>
                <c:pt idx="0">
                  <c:v>47.3636150846312</c:v>
                </c:pt>
                <c:pt idx="1">
                  <c:v>47.1910977027488</c:v>
                </c:pt>
                <c:pt idx="2">
                  <c:v>66.2254171305913</c:v>
                </c:pt>
                <c:pt idx="3">
                  <c:v>65.235457889892</c:v>
                </c:pt>
                <c:pt idx="4">
                  <c:v>76.444712506169</c:v>
                </c:pt>
                <c:pt idx="5">
                  <c:v>66.8708298533672</c:v>
                </c:pt>
                <c:pt idx="6">
                  <c:v>4.67332200319995</c:v>
                </c:pt>
                <c:pt idx="7">
                  <c:v>26.3266580613044</c:v>
                </c:pt>
                <c:pt idx="8">
                  <c:v>12.2958788861858</c:v>
                </c:pt>
                <c:pt idx="9">
                  <c:v>13.4218686186445</c:v>
                </c:pt>
                <c:pt idx="10">
                  <c:v>18.8914230753295</c:v>
                </c:pt>
                <c:pt idx="11">
                  <c:v>14.4789652575441</c:v>
                </c:pt>
                <c:pt idx="12">
                  <c:v>14.3891486459918</c:v>
                </c:pt>
                <c:pt idx="13">
                  <c:v>15.2946148145581</c:v>
                </c:pt>
                <c:pt idx="14">
                  <c:v>15.3127682605018</c:v>
                </c:pt>
                <c:pt idx="15">
                  <c:v>15.6368819536553</c:v>
                </c:pt>
                <c:pt idx="16">
                  <c:v>15.0461204276626</c:v>
                </c:pt>
                <c:pt idx="17">
                  <c:v>11.198693617463</c:v>
                </c:pt>
                <c:pt idx="18">
                  <c:v>10.0145948528705</c:v>
                </c:pt>
                <c:pt idx="19">
                  <c:v>635.112698555686</c:v>
                </c:pt>
                <c:pt idx="20">
                  <c:v>17.6762620221036</c:v>
                </c:pt>
                <c:pt idx="21">
                  <c:v>66.5084317002728</c:v>
                </c:pt>
              </c:numCache>
            </c:numRef>
          </c:xVal>
          <c:yVal>
            <c:numRef>
              <c:f>总表删错20231214!$BE$86:$BE$107</c:f>
              <c:numCache>
                <c:formatCode>0.000_ </c:formatCode>
                <c:ptCount val="22"/>
                <c:pt idx="0">
                  <c:v>0.992752360304801</c:v>
                </c:pt>
                <c:pt idx="1">
                  <c:v>0.72710519741542</c:v>
                </c:pt>
                <c:pt idx="2">
                  <c:v>0.884613025578186</c:v>
                </c:pt>
                <c:pt idx="3">
                  <c:v>0.864467315229884</c:v>
                </c:pt>
                <c:pt idx="4">
                  <c:v>0.950850631164876</c:v>
                </c:pt>
                <c:pt idx="5">
                  <c:v>0.870974665620604</c:v>
                </c:pt>
                <c:pt idx="6">
                  <c:v>0.134691725189391</c:v>
                </c:pt>
                <c:pt idx="7">
                  <c:v>0.671258886122131</c:v>
                </c:pt>
                <c:pt idx="8">
                  <c:v>0.240534703620117</c:v>
                </c:pt>
                <c:pt idx="9">
                  <c:v>0.279493807236056</c:v>
                </c:pt>
                <c:pt idx="10">
                  <c:v>0.317707281283006</c:v>
                </c:pt>
                <c:pt idx="11">
                  <c:v>0.872611404813205</c:v>
                </c:pt>
                <c:pt idx="12">
                  <c:v>0.841372084053665</c:v>
                </c:pt>
                <c:pt idx="13">
                  <c:v>0.909770115051233</c:v>
                </c:pt>
                <c:pt idx="14">
                  <c:v>0.913582908573194</c:v>
                </c:pt>
                <c:pt idx="15">
                  <c:v>0.89410159645242</c:v>
                </c:pt>
                <c:pt idx="16">
                  <c:v>0.909869011388067</c:v>
                </c:pt>
                <c:pt idx="17">
                  <c:v>0.726170651565599</c:v>
                </c:pt>
                <c:pt idx="18">
                  <c:v>0.630618492440257</c:v>
                </c:pt>
                <c:pt idx="19">
                  <c:v>18.9455697235412</c:v>
                </c:pt>
                <c:pt idx="20">
                  <c:v>0.34819534694339</c:v>
                </c:pt>
                <c:pt idx="21">
                  <c:v>1.43818996465561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At val="0"/>
        <c:crossBetween val="midCat"/>
      </c:valAx>
      <c:valAx>
        <c:axId val="87336794"/>
        <c:scaling>
          <c:logBase val="10"/>
          <c:orientation val="minMax"/>
          <c:max val="1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232957472382806"/>
              <c:y val="0.35196042506412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344380339539"/>
          <c:y val="0.55473479254824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b7eaa9-eb71-4ea7-add0-51d3cf19b9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37015907454909"/>
          <c:y val="0.0423668992261232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总表删错20231214!$AB$3:$AB$96</c:f>
              <c:numCache>
                <c:formatCode>0.000_ </c:formatCode>
                <c:ptCount val="94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858.530043063024</c:v>
                </c:pt>
                <c:pt idx="46">
                  <c:v>571.740935491015</c:v>
                </c:pt>
                <c:pt idx="47">
                  <c:v>24.6420438051209</c:v>
                </c:pt>
                <c:pt idx="48">
                  <c:v>23.0739996274934</c:v>
                </c:pt>
                <c:pt idx="49">
                  <c:v>26.6349515388322</c:v>
                </c:pt>
                <c:pt idx="50">
                  <c:v>23.6904115142342</c:v>
                </c:pt>
                <c:pt idx="51">
                  <c:v>15.5829884442118</c:v>
                </c:pt>
                <c:pt idx="52">
                  <c:v>15.5304393374087</c:v>
                </c:pt>
                <c:pt idx="53">
                  <c:v>12.9452596490475</c:v>
                </c:pt>
                <c:pt idx="54">
                  <c:v>13.8266134454377</c:v>
                </c:pt>
                <c:pt idx="55">
                  <c:v>13.5572034802801</c:v>
                </c:pt>
                <c:pt idx="56">
                  <c:v>17.0376579857058</c:v>
                </c:pt>
                <c:pt idx="57">
                  <c:v>12.3072678204838</c:v>
                </c:pt>
                <c:pt idx="58">
                  <c:v>16.6684934782528</c:v>
                </c:pt>
                <c:pt idx="59">
                  <c:v>13.8879335889062</c:v>
                </c:pt>
                <c:pt idx="60">
                  <c:v>18.6020114376394</c:v>
                </c:pt>
                <c:pt idx="61">
                  <c:v>16.1906887423071</c:v>
                </c:pt>
                <c:pt idx="62">
                  <c:v>19.9746945835606</c:v>
                </c:pt>
                <c:pt idx="63">
                  <c:v>37.0352165921172</c:v>
                </c:pt>
                <c:pt idx="64">
                  <c:v>34.0753244730079</c:v>
                </c:pt>
                <c:pt idx="65">
                  <c:v>55.444923712212</c:v>
                </c:pt>
                <c:pt idx="66">
                  <c:v>32.6196151074485</c:v>
                </c:pt>
                <c:pt idx="67">
                  <c:v>73.1477259148072</c:v>
                </c:pt>
                <c:pt idx="68">
                  <c:v>49.0263599167785</c:v>
                </c:pt>
                <c:pt idx="69">
                  <c:v>34.1842813220638</c:v>
                </c:pt>
                <c:pt idx="70">
                  <c:v>45.7512450044818</c:v>
                </c:pt>
                <c:pt idx="71">
                  <c:v>47.2830231818111</c:v>
                </c:pt>
                <c:pt idx="72">
                  <c:v>45.8443161857168</c:v>
                </c:pt>
                <c:pt idx="73">
                  <c:v>64.987355172409</c:v>
                </c:pt>
                <c:pt idx="74">
                  <c:v>68.4627284988786</c:v>
                </c:pt>
                <c:pt idx="75">
                  <c:v>69.1265353349016</c:v>
                </c:pt>
                <c:pt idx="76">
                  <c:v>62.9209449284804</c:v>
                </c:pt>
                <c:pt idx="77">
                  <c:v>46.0150222639026</c:v>
                </c:pt>
                <c:pt idx="78">
                  <c:v>72.6567184524275</c:v>
                </c:pt>
                <c:pt idx="79">
                  <c:v>68.9477864182706</c:v>
                </c:pt>
                <c:pt idx="80">
                  <c:v>48.1166293082462</c:v>
                </c:pt>
                <c:pt idx="81">
                  <c:v>62.0419577538728</c:v>
                </c:pt>
                <c:pt idx="82">
                  <c:v>59.8381665890039</c:v>
                </c:pt>
                <c:pt idx="83">
                  <c:v>47.3636150846312</c:v>
                </c:pt>
                <c:pt idx="84">
                  <c:v>47.1910977027488</c:v>
                </c:pt>
                <c:pt idx="85">
                  <c:v>66.2254171305913</c:v>
                </c:pt>
                <c:pt idx="86">
                  <c:v>65.235457889892</c:v>
                </c:pt>
                <c:pt idx="87">
                  <c:v>76.444712506169</c:v>
                </c:pt>
                <c:pt idx="88">
                  <c:v>66.8708298533672</c:v>
                </c:pt>
                <c:pt idx="89">
                  <c:v>4.67332200319995</c:v>
                </c:pt>
                <c:pt idx="90">
                  <c:v>26.3266580613044</c:v>
                </c:pt>
                <c:pt idx="91">
                  <c:v>12.2958788861858</c:v>
                </c:pt>
                <c:pt idx="92">
                  <c:v>13.4218686186445</c:v>
                </c:pt>
                <c:pt idx="93">
                  <c:v>18.8914230753295</c:v>
                </c:pt>
              </c:numCache>
            </c:numRef>
          </c:xVal>
          <c:yVal>
            <c:numRef>
              <c:f>总表删错20231214!$AC$3:$AC$96</c:f>
              <c:numCache>
                <c:formatCode>0.000_ </c:formatCode>
                <c:ptCount val="94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  <c:pt idx="21">
                  <c:v>3.70741266252123</c:v>
                </c:pt>
                <c:pt idx="22">
                  <c:v>6.00131712564687</c:v>
                </c:pt>
                <c:pt idx="23">
                  <c:v>6.29380576901394</c:v>
                </c:pt>
                <c:pt idx="24">
                  <c:v>6.39890961279557</c:v>
                </c:pt>
                <c:pt idx="25">
                  <c:v>5.72233664035863</c:v>
                </c:pt>
                <c:pt idx="26">
                  <c:v>5.67854565921208</c:v>
                </c:pt>
                <c:pt idx="27">
                  <c:v>5.2340971555774</c:v>
                </c:pt>
                <c:pt idx="28">
                  <c:v>5.11471908842709</c:v>
                </c:pt>
                <c:pt idx="29">
                  <c:v>5.22690348585162</c:v>
                </c:pt>
                <c:pt idx="30">
                  <c:v>5.09534738547879</c:v>
                </c:pt>
                <c:pt idx="31">
                  <c:v>6.59942010987446</c:v>
                </c:pt>
                <c:pt idx="32">
                  <c:v>6.13522234921878</c:v>
                </c:pt>
                <c:pt idx="33">
                  <c:v>6.02818213844176</c:v>
                </c:pt>
                <c:pt idx="34">
                  <c:v>6.13598567264896</c:v>
                </c:pt>
                <c:pt idx="35">
                  <c:v>6.09844497129276</c:v>
                </c:pt>
                <c:pt idx="36">
                  <c:v>5.68848995258772</c:v>
                </c:pt>
                <c:pt idx="37">
                  <c:v>5.88439861101181</c:v>
                </c:pt>
                <c:pt idx="38">
                  <c:v>5.72310403223283</c:v>
                </c:pt>
                <c:pt idx="39">
                  <c:v>5.53445712756113</c:v>
                </c:pt>
                <c:pt idx="40">
                  <c:v>5.73473549277107</c:v>
                </c:pt>
                <c:pt idx="41">
                  <c:v>4.89594138999651</c:v>
                </c:pt>
                <c:pt idx="42">
                  <c:v>5.63323509915774</c:v>
                </c:pt>
                <c:pt idx="43">
                  <c:v>5.83596994192761</c:v>
                </c:pt>
                <c:pt idx="44">
                  <c:v>5.71957775809919</c:v>
                </c:pt>
                <c:pt idx="45">
                  <c:v>3.65031010931607</c:v>
                </c:pt>
                <c:pt idx="46">
                  <c:v>3.28953216300107</c:v>
                </c:pt>
                <c:pt idx="47">
                  <c:v>3.69541789777316</c:v>
                </c:pt>
                <c:pt idx="48">
                  <c:v>3.40301561758373</c:v>
                </c:pt>
                <c:pt idx="49">
                  <c:v>3.7162394502436</c:v>
                </c:pt>
                <c:pt idx="50">
                  <c:v>3.44044015118003</c:v>
                </c:pt>
                <c:pt idx="51">
                  <c:v>3.39385250043867</c:v>
                </c:pt>
                <c:pt idx="52">
                  <c:v>3.71051031573697</c:v>
                </c:pt>
                <c:pt idx="53">
                  <c:v>3.74769867772342</c:v>
                </c:pt>
                <c:pt idx="54">
                  <c:v>4.27974033223633</c:v>
                </c:pt>
                <c:pt idx="55">
                  <c:v>4.22247449251643</c:v>
                </c:pt>
                <c:pt idx="56">
                  <c:v>4.13137442169454</c:v>
                </c:pt>
                <c:pt idx="57">
                  <c:v>4.01893799135279</c:v>
                </c:pt>
                <c:pt idx="58">
                  <c:v>4.03168008259807</c:v>
                </c:pt>
                <c:pt idx="59">
                  <c:v>3.64279110340268</c:v>
                </c:pt>
                <c:pt idx="60">
                  <c:v>3.46900195299014</c:v>
                </c:pt>
                <c:pt idx="61">
                  <c:v>3.63232512463612</c:v>
                </c:pt>
                <c:pt idx="62">
                  <c:v>3.65696421850038</c:v>
                </c:pt>
                <c:pt idx="63">
                  <c:v>3.62660684277443</c:v>
                </c:pt>
                <c:pt idx="64">
                  <c:v>6.76101336288738</c:v>
                </c:pt>
                <c:pt idx="65">
                  <c:v>6.58312424658697</c:v>
                </c:pt>
                <c:pt idx="66">
                  <c:v>7.11300471076456</c:v>
                </c:pt>
                <c:pt idx="67">
                  <c:v>7.2762600350121</c:v>
                </c:pt>
                <c:pt idx="68">
                  <c:v>6.43295333070307</c:v>
                </c:pt>
                <c:pt idx="69">
                  <c:v>7.2108202465386</c:v>
                </c:pt>
                <c:pt idx="70">
                  <c:v>6.94127948647555</c:v>
                </c:pt>
                <c:pt idx="71">
                  <c:v>7.02815833468254</c:v>
                </c:pt>
                <c:pt idx="72">
                  <c:v>6.39395494771192</c:v>
                </c:pt>
                <c:pt idx="73">
                  <c:v>6.51366972349799</c:v>
                </c:pt>
                <c:pt idx="74">
                  <c:v>6.63055943897094</c:v>
                </c:pt>
                <c:pt idx="75">
                  <c:v>6.27566754880175</c:v>
                </c:pt>
                <c:pt idx="76">
                  <c:v>5.63137278550661</c:v>
                </c:pt>
                <c:pt idx="77">
                  <c:v>7.75168812175796</c:v>
                </c:pt>
                <c:pt idx="78">
                  <c:v>7.91449116079493</c:v>
                </c:pt>
                <c:pt idx="79">
                  <c:v>7.474058542192</c:v>
                </c:pt>
                <c:pt idx="80">
                  <c:v>5.36805725901979</c:v>
                </c:pt>
                <c:pt idx="81">
                  <c:v>6.81472771164367</c:v>
                </c:pt>
                <c:pt idx="82">
                  <c:v>6.76663792663672</c:v>
                </c:pt>
                <c:pt idx="83">
                  <c:v>4.26482773119845</c:v>
                </c:pt>
                <c:pt idx="84">
                  <c:v>5.92210564108781</c:v>
                </c:pt>
                <c:pt idx="85">
                  <c:v>7.16397738755529</c:v>
                </c:pt>
                <c:pt idx="86">
                  <c:v>7.24056671583387</c:v>
                </c:pt>
                <c:pt idx="87">
                  <c:v>7.23886517323909</c:v>
                </c:pt>
                <c:pt idx="88">
                  <c:v>6.80767066541797</c:v>
                </c:pt>
                <c:pt idx="89">
                  <c:v>4.65870772563559</c:v>
                </c:pt>
                <c:pt idx="90">
                  <c:v>5.48563184196025</c:v>
                </c:pt>
                <c:pt idx="91">
                  <c:v>5.89714147165139</c:v>
                </c:pt>
                <c:pt idx="92">
                  <c:v>5.42567148527428</c:v>
                </c:pt>
                <c:pt idx="93">
                  <c:v>5.72022284969779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总表删错20231214!$AB$97:$AB$110</c:f>
              <c:numCache>
                <c:formatCode>0.000_ </c:formatCode>
                <c:ptCount val="14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  <c:pt idx="8">
                  <c:v>635.112698555686</c:v>
                </c:pt>
                <c:pt idx="9">
                  <c:v>17.6762620221036</c:v>
                </c:pt>
                <c:pt idx="10">
                  <c:v>66.5084317002728</c:v>
                </c:pt>
                <c:pt idx="11">
                  <c:v>62.8297848137785</c:v>
                </c:pt>
                <c:pt idx="12">
                  <c:v>67.7240322972302</c:v>
                </c:pt>
                <c:pt idx="13">
                  <c:v>17.8943470098128</c:v>
                </c:pt>
              </c:numCache>
            </c:numRef>
          </c:xVal>
          <c:yVal>
            <c:numRef>
              <c:f>总表删错20231214!$AC$97:$AC$110</c:f>
              <c:numCache>
                <c:formatCode>0.000_ </c:formatCode>
                <c:ptCount val="14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  <c:pt idx="8">
                  <c:v>4.44982822350614</c:v>
                </c:pt>
                <c:pt idx="9">
                  <c:v>6.28570007921685</c:v>
                </c:pt>
                <c:pt idx="10">
                  <c:v>5.15956443208434</c:v>
                </c:pt>
                <c:pt idx="11">
                  <c:v>7.3598406624916</c:v>
                </c:pt>
                <c:pt idx="12">
                  <c:v>7.18716979071478</c:v>
                </c:pt>
                <c:pt idx="13">
                  <c:v>6.53933829633019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总表删错20231214!$AB$111:$AB$143</c:f>
              <c:numCache>
                <c:formatCode>0.000_ </c:formatCode>
                <c:ptCount val="33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11.1692033723287</c:v>
                </c:pt>
                <c:pt idx="11">
                  <c:v>14.3635317606801</c:v>
                </c:pt>
                <c:pt idx="12">
                  <c:v>11.7743348628131</c:v>
                </c:pt>
                <c:pt idx="13">
                  <c:v>11.9354918465566</c:v>
                </c:pt>
                <c:pt idx="14">
                  <c:v>7.57333273586413</c:v>
                </c:pt>
                <c:pt idx="15">
                  <c:v>7.3628658312843</c:v>
                </c:pt>
                <c:pt idx="16">
                  <c:v>8.57526122054116</c:v>
                </c:pt>
                <c:pt idx="17">
                  <c:v>10.1319280992112</c:v>
                </c:pt>
                <c:pt idx="18">
                  <c:v>9.89573164790353</c:v>
                </c:pt>
                <c:pt idx="19">
                  <c:v>8.82620931709272</c:v>
                </c:pt>
                <c:pt idx="20">
                  <c:v>7.4685765857068</c:v>
                </c:pt>
                <c:pt idx="21">
                  <c:v>6.88423933298256</c:v>
                </c:pt>
                <c:pt idx="22">
                  <c:v>10.3023808355658</c:v>
                </c:pt>
                <c:pt idx="23">
                  <c:v>15.5148094154257</c:v>
                </c:pt>
                <c:pt idx="24">
                  <c:v>5.0898037752343</c:v>
                </c:pt>
                <c:pt idx="25">
                  <c:v>4.25837465938043</c:v>
                </c:pt>
                <c:pt idx="26">
                  <c:v>9.03118301341914</c:v>
                </c:pt>
                <c:pt idx="27">
                  <c:v>13.461670782126</c:v>
                </c:pt>
                <c:pt idx="28">
                  <c:v>14.5158445484009</c:v>
                </c:pt>
                <c:pt idx="29">
                  <c:v>25.7068249437963</c:v>
                </c:pt>
                <c:pt idx="30">
                  <c:v>23.3386904345037</c:v>
                </c:pt>
                <c:pt idx="31">
                  <c:v>14.711417622086</c:v>
                </c:pt>
                <c:pt idx="32">
                  <c:v>15.2230878931005</c:v>
                </c:pt>
              </c:numCache>
            </c:numRef>
          </c:xVal>
          <c:yVal>
            <c:numRef>
              <c:f>总表删错20231214!$AC$111:$AC$143</c:f>
              <c:numCache>
                <c:formatCode>0.000_ </c:formatCode>
                <c:ptCount val="33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1.70589820848416</c:v>
                </c:pt>
                <c:pt idx="10">
                  <c:v>1.57362928709765</c:v>
                </c:pt>
                <c:pt idx="11">
                  <c:v>1.79600423030684</c:v>
                </c:pt>
                <c:pt idx="12">
                  <c:v>1.68552385979283</c:v>
                </c:pt>
                <c:pt idx="13">
                  <c:v>1.66627746154534</c:v>
                </c:pt>
                <c:pt idx="14">
                  <c:v>1.64636675554716</c:v>
                </c:pt>
                <c:pt idx="15">
                  <c:v>1.4633328844295</c:v>
                </c:pt>
                <c:pt idx="16">
                  <c:v>1.69673331276319</c:v>
                </c:pt>
                <c:pt idx="17">
                  <c:v>1.63404837615802</c:v>
                </c:pt>
                <c:pt idx="18">
                  <c:v>1.49148551464658</c:v>
                </c:pt>
                <c:pt idx="19">
                  <c:v>3.14683940653703</c:v>
                </c:pt>
                <c:pt idx="20">
                  <c:v>3.50334349817808</c:v>
                </c:pt>
                <c:pt idx="21">
                  <c:v>3.26444724461408</c:v>
                </c:pt>
                <c:pt idx="22">
                  <c:v>5.64576078760546</c:v>
                </c:pt>
                <c:pt idx="23">
                  <c:v>5.72691665765607</c:v>
                </c:pt>
                <c:pt idx="24">
                  <c:v>4.94587045399771</c:v>
                </c:pt>
                <c:pt idx="25">
                  <c:v>4.25880647190897</c:v>
                </c:pt>
                <c:pt idx="26">
                  <c:v>5.16391494798663</c:v>
                </c:pt>
                <c:pt idx="27">
                  <c:v>5.11956626921921</c:v>
                </c:pt>
                <c:pt idx="28">
                  <c:v>5.19011733989259</c:v>
                </c:pt>
                <c:pt idx="29">
                  <c:v>6.67840918668214</c:v>
                </c:pt>
                <c:pt idx="30">
                  <c:v>6.39012679972256</c:v>
                </c:pt>
                <c:pt idx="31">
                  <c:v>5.63906642370967</c:v>
                </c:pt>
                <c:pt idx="32">
                  <c:v>6.65609803648866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0632a3-810b-4f44-9c4a-289466367467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37015907454909"/>
          <c:y val="0.0443252399774139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总表删错20231214!$AB$3:$AB$96</c:f>
              <c:numCache>
                <c:formatCode>0.000_ </c:formatCode>
                <c:ptCount val="94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858.530043063024</c:v>
                </c:pt>
                <c:pt idx="46">
                  <c:v>571.740935491015</c:v>
                </c:pt>
                <c:pt idx="47">
                  <c:v>24.6420438051209</c:v>
                </c:pt>
                <c:pt idx="48">
                  <c:v>23.0739996274934</c:v>
                </c:pt>
                <c:pt idx="49">
                  <c:v>26.6349515388322</c:v>
                </c:pt>
                <c:pt idx="50">
                  <c:v>23.6904115142342</c:v>
                </c:pt>
                <c:pt idx="51">
                  <c:v>15.5829884442118</c:v>
                </c:pt>
                <c:pt idx="52">
                  <c:v>15.5304393374087</c:v>
                </c:pt>
                <c:pt idx="53">
                  <c:v>12.9452596490475</c:v>
                </c:pt>
                <c:pt idx="54">
                  <c:v>13.8266134454377</c:v>
                </c:pt>
                <c:pt idx="55">
                  <c:v>13.5572034802801</c:v>
                </c:pt>
                <c:pt idx="56">
                  <c:v>17.0376579857058</c:v>
                </c:pt>
                <c:pt idx="57">
                  <c:v>12.3072678204838</c:v>
                </c:pt>
                <c:pt idx="58">
                  <c:v>16.6684934782528</c:v>
                </c:pt>
                <c:pt idx="59">
                  <c:v>13.8879335889062</c:v>
                </c:pt>
                <c:pt idx="60">
                  <c:v>18.6020114376394</c:v>
                </c:pt>
                <c:pt idx="61">
                  <c:v>16.1906887423071</c:v>
                </c:pt>
                <c:pt idx="62">
                  <c:v>19.9746945835606</c:v>
                </c:pt>
                <c:pt idx="63">
                  <c:v>37.0352165921172</c:v>
                </c:pt>
                <c:pt idx="64">
                  <c:v>34.0753244730079</c:v>
                </c:pt>
                <c:pt idx="65">
                  <c:v>55.444923712212</c:v>
                </c:pt>
                <c:pt idx="66">
                  <c:v>32.6196151074485</c:v>
                </c:pt>
                <c:pt idx="67">
                  <c:v>73.1477259148072</c:v>
                </c:pt>
                <c:pt idx="68">
                  <c:v>49.0263599167785</c:v>
                </c:pt>
                <c:pt idx="69">
                  <c:v>34.1842813220638</c:v>
                </c:pt>
                <c:pt idx="70">
                  <c:v>45.7512450044818</c:v>
                </c:pt>
                <c:pt idx="71">
                  <c:v>47.2830231818111</c:v>
                </c:pt>
                <c:pt idx="72">
                  <c:v>45.8443161857168</c:v>
                </c:pt>
                <c:pt idx="73">
                  <c:v>64.987355172409</c:v>
                </c:pt>
                <c:pt idx="74">
                  <c:v>68.4627284988786</c:v>
                </c:pt>
                <c:pt idx="75">
                  <c:v>69.1265353349016</c:v>
                </c:pt>
                <c:pt idx="76">
                  <c:v>62.9209449284804</c:v>
                </c:pt>
                <c:pt idx="77">
                  <c:v>46.0150222639026</c:v>
                </c:pt>
                <c:pt idx="78">
                  <c:v>72.6567184524275</c:v>
                </c:pt>
                <c:pt idx="79">
                  <c:v>68.9477864182706</c:v>
                </c:pt>
                <c:pt idx="80">
                  <c:v>48.1166293082462</c:v>
                </c:pt>
                <c:pt idx="81">
                  <c:v>62.0419577538728</c:v>
                </c:pt>
                <c:pt idx="82">
                  <c:v>59.8381665890039</c:v>
                </c:pt>
                <c:pt idx="83">
                  <c:v>47.3636150846312</c:v>
                </c:pt>
                <c:pt idx="84">
                  <c:v>47.1910977027488</c:v>
                </c:pt>
                <c:pt idx="85">
                  <c:v>66.2254171305913</c:v>
                </c:pt>
                <c:pt idx="86">
                  <c:v>65.235457889892</c:v>
                </c:pt>
                <c:pt idx="87">
                  <c:v>76.444712506169</c:v>
                </c:pt>
                <c:pt idx="88">
                  <c:v>66.8708298533672</c:v>
                </c:pt>
                <c:pt idx="89">
                  <c:v>4.67332200319995</c:v>
                </c:pt>
                <c:pt idx="90">
                  <c:v>26.3266580613044</c:v>
                </c:pt>
                <c:pt idx="91">
                  <c:v>12.2958788861858</c:v>
                </c:pt>
                <c:pt idx="92">
                  <c:v>13.4218686186445</c:v>
                </c:pt>
                <c:pt idx="93">
                  <c:v>18.8914230753295</c:v>
                </c:pt>
              </c:numCache>
            </c:numRef>
          </c:xVal>
          <c:yVal>
            <c:numRef>
              <c:f>总表删错20231214!$AR$3:$AR$96</c:f>
              <c:numCache>
                <c:formatCode>0.00E+00</c:formatCode>
                <c:ptCount val="94"/>
                <c:pt idx="0">
                  <c:v>2411.25473281122</c:v>
                </c:pt>
                <c:pt idx="1">
                  <c:v>2140.10863619714</c:v>
                </c:pt>
                <c:pt idx="2">
                  <c:v>1228.44136078131</c:v>
                </c:pt>
                <c:pt idx="3">
                  <c:v>2095.65852939582</c:v>
                </c:pt>
                <c:pt idx="4">
                  <c:v>1419.19904250559</c:v>
                </c:pt>
                <c:pt idx="5">
                  <c:v>943.607786041535</c:v>
                </c:pt>
                <c:pt idx="6">
                  <c:v>1542.94817633202</c:v>
                </c:pt>
                <c:pt idx="7">
                  <c:v>1374.69686134812</c:v>
                </c:pt>
                <c:pt idx="8">
                  <c:v>988.931660735775</c:v>
                </c:pt>
                <c:pt idx="9">
                  <c:v>960.275940360976</c:v>
                </c:pt>
                <c:pt idx="10">
                  <c:v>283.79213939661</c:v>
                </c:pt>
                <c:pt idx="11">
                  <c:v>753.418740379447</c:v>
                </c:pt>
                <c:pt idx="12">
                  <c:v>1168.21655299768</c:v>
                </c:pt>
                <c:pt idx="13">
                  <c:v>1261.10216498897</c:v>
                </c:pt>
                <c:pt idx="14">
                  <c:v>1617.18977729197</c:v>
                </c:pt>
                <c:pt idx="15">
                  <c:v>1647.22829641394</c:v>
                </c:pt>
                <c:pt idx="16">
                  <c:v>6005.80094935257</c:v>
                </c:pt>
                <c:pt idx="17">
                  <c:v>64.74014941043</c:v>
                </c:pt>
                <c:pt idx="18">
                  <c:v>1470.70316114044</c:v>
                </c:pt>
                <c:pt idx="19">
                  <c:v>1520.63110435214</c:v>
                </c:pt>
                <c:pt idx="20">
                  <c:v>986.803431452178</c:v>
                </c:pt>
                <c:pt idx="21">
                  <c:v>4776.21214974479</c:v>
                </c:pt>
                <c:pt idx="22">
                  <c:v>496.696707899241</c:v>
                </c:pt>
                <c:pt idx="23">
                  <c:v>297.99444502094</c:v>
                </c:pt>
                <c:pt idx="24">
                  <c:v>537.009783848614</c:v>
                </c:pt>
                <c:pt idx="25">
                  <c:v>278.370352559634</c:v>
                </c:pt>
                <c:pt idx="26">
                  <c:v>565.522250701889</c:v>
                </c:pt>
                <c:pt idx="27">
                  <c:v>525.526921495625</c:v>
                </c:pt>
                <c:pt idx="28">
                  <c:v>144.502810873393</c:v>
                </c:pt>
                <c:pt idx="29">
                  <c:v>384.941657517216</c:v>
                </c:pt>
                <c:pt idx="30">
                  <c:v>376.447485872349</c:v>
                </c:pt>
                <c:pt idx="31">
                  <c:v>1028.89150043125</c:v>
                </c:pt>
                <c:pt idx="32">
                  <c:v>958.147065029258</c:v>
                </c:pt>
                <c:pt idx="33">
                  <c:v>217.616088029874</c:v>
                </c:pt>
                <c:pt idx="34">
                  <c:v>665.084403545134</c:v>
                </c:pt>
                <c:pt idx="35">
                  <c:v>447.491313187433</c:v>
                </c:pt>
                <c:pt idx="36">
                  <c:v>676.661251549476</c:v>
                </c:pt>
                <c:pt idx="37">
                  <c:v>879.919301842596</c:v>
                </c:pt>
                <c:pt idx="38">
                  <c:v>723.582684881494</c:v>
                </c:pt>
                <c:pt idx="39">
                  <c:v>888.658671100032</c:v>
                </c:pt>
                <c:pt idx="40">
                  <c:v>865.632732754755</c:v>
                </c:pt>
                <c:pt idx="41">
                  <c:v>1439.47499364656</c:v>
                </c:pt>
                <c:pt idx="42">
                  <c:v>2271.06234783184</c:v>
                </c:pt>
                <c:pt idx="43">
                  <c:v>922.558952427199</c:v>
                </c:pt>
                <c:pt idx="44">
                  <c:v>4163.48248889638</c:v>
                </c:pt>
                <c:pt idx="45">
                  <c:v>25.8702552000721</c:v>
                </c:pt>
                <c:pt idx="46">
                  <c:v>36.8772994756331</c:v>
                </c:pt>
                <c:pt idx="47">
                  <c:v>906.872814695254</c:v>
                </c:pt>
                <c:pt idx="48">
                  <c:v>929.39518768814</c:v>
                </c:pt>
                <c:pt idx="49">
                  <c:v>841.37821549458</c:v>
                </c:pt>
                <c:pt idx="50">
                  <c:v>910.176731359356</c:v>
                </c:pt>
                <c:pt idx="51">
                  <c:v>1374.31745607335</c:v>
                </c:pt>
                <c:pt idx="52">
                  <c:v>1441.86436866035</c:v>
                </c:pt>
                <c:pt idx="53">
                  <c:v>1738.45277118048</c:v>
                </c:pt>
                <c:pt idx="54">
                  <c:v>1739.33893227744</c:v>
                </c:pt>
                <c:pt idx="55">
                  <c:v>1761.99524681927</c:v>
                </c:pt>
                <c:pt idx="56">
                  <c:v>1386.84751225914</c:v>
                </c:pt>
                <c:pt idx="57">
                  <c:v>1893.58729425427</c:v>
                </c:pt>
                <c:pt idx="58">
                  <c:v>1400.35456571246</c:v>
                </c:pt>
                <c:pt idx="59">
                  <c:v>1597.61022759058</c:v>
                </c:pt>
                <c:pt idx="60">
                  <c:v>1163.9483116436</c:v>
                </c:pt>
                <c:pt idx="61">
                  <c:v>1368.41669226193</c:v>
                </c:pt>
                <c:pt idx="62">
                  <c:v>1112.9394513154</c:v>
                </c:pt>
                <c:pt idx="63">
                  <c:v>597.759764405735</c:v>
                </c:pt>
                <c:pt idx="64">
                  <c:v>887.068641214561</c:v>
                </c:pt>
                <c:pt idx="65">
                  <c:v>537.954525389798</c:v>
                </c:pt>
                <c:pt idx="66">
                  <c:v>855.424244446874</c:v>
                </c:pt>
                <c:pt idx="67">
                  <c:v>385.822113505695</c:v>
                </c:pt>
                <c:pt idx="68">
                  <c:v>481.123829758859</c:v>
                </c:pt>
                <c:pt idx="69">
                  <c:v>730.545378036107</c:v>
                </c:pt>
                <c:pt idx="70">
                  <c:v>535.547708596937</c:v>
                </c:pt>
                <c:pt idx="71">
                  <c:v>456.252126275479</c:v>
                </c:pt>
                <c:pt idx="72">
                  <c:v>448.83700564189</c:v>
                </c:pt>
                <c:pt idx="73">
                  <c:v>273.921792077383</c:v>
                </c:pt>
                <c:pt idx="74">
                  <c:v>262.339364914566</c:v>
                </c:pt>
                <c:pt idx="75">
                  <c:v>210.642746169214</c:v>
                </c:pt>
                <c:pt idx="76">
                  <c:v>219.216498549315</c:v>
                </c:pt>
                <c:pt idx="77">
                  <c:v>351.689856917598</c:v>
                </c:pt>
                <c:pt idx="78">
                  <c:v>180.047477456328</c:v>
                </c:pt>
                <c:pt idx="79">
                  <c:v>184.378059925517</c:v>
                </c:pt>
                <c:pt idx="80">
                  <c:v>223.905465322994</c:v>
                </c:pt>
                <c:pt idx="81">
                  <c:v>146.740956160551</c:v>
                </c:pt>
                <c:pt idx="82">
                  <c:v>151.607531001295</c:v>
                </c:pt>
                <c:pt idx="83">
                  <c:v>152.061226111677</c:v>
                </c:pt>
                <c:pt idx="84">
                  <c:v>119.894516565378</c:v>
                </c:pt>
                <c:pt idx="85">
                  <c:v>93.9666460768146</c:v>
                </c:pt>
                <c:pt idx="86">
                  <c:v>95.9011665440386</c:v>
                </c:pt>
                <c:pt idx="87">
                  <c:v>40.9146765089835</c:v>
                </c:pt>
                <c:pt idx="88">
                  <c:v>45.3579988549171</c:v>
                </c:pt>
                <c:pt idx="89">
                  <c:v>5369.06122065384</c:v>
                </c:pt>
                <c:pt idx="90">
                  <c:v>1034.21045914552</c:v>
                </c:pt>
                <c:pt idx="91">
                  <c:v>1377.53859830803</c:v>
                </c:pt>
                <c:pt idx="92">
                  <c:v>1210.47644789285</c:v>
                </c:pt>
                <c:pt idx="93">
                  <c:v>441.52406990489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总表删错20231214!$AB$97:$AB$110</c:f>
              <c:numCache>
                <c:formatCode>0.000_ </c:formatCode>
                <c:ptCount val="14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  <c:pt idx="8">
                  <c:v>635.112698555686</c:v>
                </c:pt>
                <c:pt idx="9">
                  <c:v>17.6762620221036</c:v>
                </c:pt>
                <c:pt idx="10">
                  <c:v>66.5084317002728</c:v>
                </c:pt>
                <c:pt idx="11">
                  <c:v>62.8297848137785</c:v>
                </c:pt>
                <c:pt idx="12">
                  <c:v>67.7240322972302</c:v>
                </c:pt>
                <c:pt idx="13">
                  <c:v>17.8943470098128</c:v>
                </c:pt>
              </c:numCache>
            </c:numRef>
          </c:xVal>
          <c:yVal>
            <c:numRef>
              <c:f>总表删错20231214!$AR$97:$AR$110</c:f>
              <c:numCache>
                <c:formatCode>0.00E+00</c:formatCode>
                <c:ptCount val="14"/>
                <c:pt idx="0">
                  <c:v>1059.76060166605</c:v>
                </c:pt>
                <c:pt idx="1">
                  <c:v>1088.0873713261</c:v>
                </c:pt>
                <c:pt idx="2">
                  <c:v>1012.04597656022</c:v>
                </c:pt>
                <c:pt idx="3">
                  <c:v>1008.82922355334</c:v>
                </c:pt>
                <c:pt idx="4">
                  <c:v>1016.31008615828</c:v>
                </c:pt>
                <c:pt idx="5">
                  <c:v>1017.51333117544</c:v>
                </c:pt>
                <c:pt idx="6">
                  <c:v>1304.92620403189</c:v>
                </c:pt>
                <c:pt idx="7">
                  <c:v>1488.03086321137</c:v>
                </c:pt>
                <c:pt idx="8">
                  <c:v>38.6110984014449</c:v>
                </c:pt>
                <c:pt idx="9">
                  <c:v>1154.18590508965</c:v>
                </c:pt>
                <c:pt idx="10">
                  <c:v>238.216803618779</c:v>
                </c:pt>
                <c:pt idx="11">
                  <c:v>50.1949427646835</c:v>
                </c:pt>
                <c:pt idx="12">
                  <c:v>46.0179718230684</c:v>
                </c:pt>
                <c:pt idx="13">
                  <c:v>1661.27824218384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总表删错20231214!$AB$111:$AB$143</c:f>
              <c:numCache>
                <c:formatCode>0.000_ </c:formatCode>
                <c:ptCount val="33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11.1692033723287</c:v>
                </c:pt>
                <c:pt idx="11">
                  <c:v>14.3635317606801</c:v>
                </c:pt>
                <c:pt idx="12">
                  <c:v>11.7743348628131</c:v>
                </c:pt>
                <c:pt idx="13">
                  <c:v>11.9354918465566</c:v>
                </c:pt>
                <c:pt idx="14">
                  <c:v>7.57333273586413</c:v>
                </c:pt>
                <c:pt idx="15">
                  <c:v>7.3628658312843</c:v>
                </c:pt>
                <c:pt idx="16">
                  <c:v>8.57526122054116</c:v>
                </c:pt>
                <c:pt idx="17">
                  <c:v>10.1319280992112</c:v>
                </c:pt>
                <c:pt idx="18">
                  <c:v>9.89573164790353</c:v>
                </c:pt>
                <c:pt idx="19">
                  <c:v>8.82620931709272</c:v>
                </c:pt>
                <c:pt idx="20">
                  <c:v>7.4685765857068</c:v>
                </c:pt>
                <c:pt idx="21">
                  <c:v>6.88423933298256</c:v>
                </c:pt>
                <c:pt idx="22">
                  <c:v>10.3023808355658</c:v>
                </c:pt>
                <c:pt idx="23">
                  <c:v>15.5148094154257</c:v>
                </c:pt>
                <c:pt idx="24">
                  <c:v>5.0898037752343</c:v>
                </c:pt>
                <c:pt idx="25">
                  <c:v>4.25837465938043</c:v>
                </c:pt>
                <c:pt idx="26">
                  <c:v>9.03118301341914</c:v>
                </c:pt>
                <c:pt idx="27">
                  <c:v>13.461670782126</c:v>
                </c:pt>
                <c:pt idx="28">
                  <c:v>14.5158445484009</c:v>
                </c:pt>
                <c:pt idx="29">
                  <c:v>25.7068249437963</c:v>
                </c:pt>
                <c:pt idx="30">
                  <c:v>23.3386904345037</c:v>
                </c:pt>
                <c:pt idx="31">
                  <c:v>14.711417622086</c:v>
                </c:pt>
                <c:pt idx="32">
                  <c:v>15.2230878931005</c:v>
                </c:pt>
              </c:numCache>
            </c:numRef>
          </c:xVal>
          <c:yVal>
            <c:numRef>
              <c:f>总表删错20231214!$AR$111:$AR$143</c:f>
              <c:numCache>
                <c:formatCode>0.00E+00</c:formatCode>
                <c:ptCount val="33"/>
                <c:pt idx="0">
                  <c:v>11984.4686238862</c:v>
                </c:pt>
                <c:pt idx="1">
                  <c:v>8221.19364369178</c:v>
                </c:pt>
                <c:pt idx="2">
                  <c:v>8594.7633251459</c:v>
                </c:pt>
                <c:pt idx="3">
                  <c:v>8914.78150896826</c:v>
                </c:pt>
                <c:pt idx="4">
                  <c:v>7163.41620207471</c:v>
                </c:pt>
                <c:pt idx="5">
                  <c:v>4282.59733330896</c:v>
                </c:pt>
                <c:pt idx="6">
                  <c:v>2288.60492730649</c:v>
                </c:pt>
                <c:pt idx="7">
                  <c:v>2413.14148428687</c:v>
                </c:pt>
                <c:pt idx="8">
                  <c:v>5874.63989193412</c:v>
                </c:pt>
                <c:pt idx="9">
                  <c:v>2354.57605014456</c:v>
                </c:pt>
                <c:pt idx="10">
                  <c:v>1305.6306769649</c:v>
                </c:pt>
                <c:pt idx="11">
                  <c:v>1084.6353837134</c:v>
                </c:pt>
                <c:pt idx="12">
                  <c:v>1281.80629148269</c:v>
                </c:pt>
                <c:pt idx="13">
                  <c:v>1257.25875674842</c:v>
                </c:pt>
                <c:pt idx="14">
                  <c:v>1969.55260769022</c:v>
                </c:pt>
                <c:pt idx="15">
                  <c:v>1909.92366126673</c:v>
                </c:pt>
                <c:pt idx="16">
                  <c:v>1765.8376180659</c:v>
                </c:pt>
                <c:pt idx="17">
                  <c:v>1466.66755654608</c:v>
                </c:pt>
                <c:pt idx="18">
                  <c:v>1434.67304882926</c:v>
                </c:pt>
                <c:pt idx="19">
                  <c:v>2336.43873097447</c:v>
                </c:pt>
                <c:pt idx="20">
                  <c:v>2913.3646849016</c:v>
                </c:pt>
                <c:pt idx="21">
                  <c:v>3050.98587167775</c:v>
                </c:pt>
                <c:pt idx="22">
                  <c:v>2681.11206031922</c:v>
                </c:pt>
                <c:pt idx="23">
                  <c:v>537.930997673817</c:v>
                </c:pt>
                <c:pt idx="24">
                  <c:v>1523.81734686615</c:v>
                </c:pt>
                <c:pt idx="25">
                  <c:v>1690.10103694601</c:v>
                </c:pt>
                <c:pt idx="26">
                  <c:v>1755.04185071751</c:v>
                </c:pt>
                <c:pt idx="27">
                  <c:v>1172.35785926197</c:v>
                </c:pt>
                <c:pt idx="28">
                  <c:v>547.342112410403</c:v>
                </c:pt>
                <c:pt idx="29">
                  <c:v>116.863637984994</c:v>
                </c:pt>
                <c:pt idx="30">
                  <c:v>125.912713696492</c:v>
                </c:pt>
                <c:pt idx="31">
                  <c:v>1876.46475005754</c:v>
                </c:pt>
                <c:pt idx="32">
                  <c:v>1970.14608372247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We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C</a:t>
                </a:r>
                <a:r>
                  <a:rPr lang="en-US" altLang="zh-CN" sz="12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D</a:t>
                </a:r>
                <a:endParaRPr lang="en-US" altLang="zh-CN" sz="12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354770531400966"/>
              <c:y val="0.4175430888254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f834f5-916e-4252-9d47-ab4ba74d897c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83254636843"/>
          <c:y val="0.0394230654323822"/>
          <c:w val="0.853774852229984"/>
          <c:h val="0.80030114812723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总表删错20231214!$AC$3:$AC$96</c:f>
              <c:numCache>
                <c:formatCode>0.000_ </c:formatCode>
                <c:ptCount val="94"/>
                <c:pt idx="0">
                  <c:v>3.17215535920555</c:v>
                </c:pt>
                <c:pt idx="1">
                  <c:v>3.099138465095</c:v>
                </c:pt>
                <c:pt idx="2">
                  <c:v>3.52719040421772</c:v>
                </c:pt>
                <c:pt idx="3">
                  <c:v>2.91693740537625</c:v>
                </c:pt>
                <c:pt idx="4">
                  <c:v>2.71007354286196</c:v>
                </c:pt>
                <c:pt idx="5">
                  <c:v>2.67599440471401</c:v>
                </c:pt>
                <c:pt idx="6">
                  <c:v>2.3517187621876</c:v>
                </c:pt>
                <c:pt idx="7">
                  <c:v>2.76776567794363</c:v>
                </c:pt>
                <c:pt idx="8">
                  <c:v>2.43355265313893</c:v>
                </c:pt>
                <c:pt idx="9">
                  <c:v>2.54262798559502</c:v>
                </c:pt>
                <c:pt idx="10">
                  <c:v>2.59227419530496</c:v>
                </c:pt>
                <c:pt idx="11">
                  <c:v>1.65021764909484</c:v>
                </c:pt>
                <c:pt idx="12">
                  <c:v>1.6384360856402</c:v>
                </c:pt>
                <c:pt idx="13">
                  <c:v>1.64380705922199</c:v>
                </c:pt>
                <c:pt idx="14">
                  <c:v>1.66347988748394</c:v>
                </c:pt>
                <c:pt idx="15">
                  <c:v>1.65737719790822</c:v>
                </c:pt>
                <c:pt idx="16">
                  <c:v>3.97818530812634</c:v>
                </c:pt>
                <c:pt idx="17">
                  <c:v>3.8975853176908</c:v>
                </c:pt>
                <c:pt idx="18">
                  <c:v>4.70788771797932</c:v>
                </c:pt>
                <c:pt idx="19">
                  <c:v>5.27776423608644</c:v>
                </c:pt>
                <c:pt idx="20">
                  <c:v>6.09873036516308</c:v>
                </c:pt>
                <c:pt idx="21">
                  <c:v>3.70741266252123</c:v>
                </c:pt>
                <c:pt idx="22">
                  <c:v>6.00131712564687</c:v>
                </c:pt>
                <c:pt idx="23">
                  <c:v>6.29380576901394</c:v>
                </c:pt>
                <c:pt idx="24">
                  <c:v>6.39890961279557</c:v>
                </c:pt>
                <c:pt idx="25">
                  <c:v>5.72233664035863</c:v>
                </c:pt>
                <c:pt idx="26">
                  <c:v>5.67854565921208</c:v>
                </c:pt>
                <c:pt idx="27">
                  <c:v>5.2340971555774</c:v>
                </c:pt>
                <c:pt idx="28">
                  <c:v>5.11471908842709</c:v>
                </c:pt>
                <c:pt idx="29">
                  <c:v>5.22690348585162</c:v>
                </c:pt>
                <c:pt idx="30">
                  <c:v>5.09534738547879</c:v>
                </c:pt>
                <c:pt idx="31">
                  <c:v>6.59942010987446</c:v>
                </c:pt>
                <c:pt idx="32">
                  <c:v>6.13522234921878</c:v>
                </c:pt>
                <c:pt idx="33">
                  <c:v>6.02818213844176</c:v>
                </c:pt>
                <c:pt idx="34">
                  <c:v>6.13598567264896</c:v>
                </c:pt>
                <c:pt idx="35">
                  <c:v>6.09844497129276</c:v>
                </c:pt>
                <c:pt idx="36">
                  <c:v>5.68848995258772</c:v>
                </c:pt>
                <c:pt idx="37">
                  <c:v>5.88439861101181</c:v>
                </c:pt>
                <c:pt idx="38">
                  <c:v>5.72310403223283</c:v>
                </c:pt>
                <c:pt idx="39">
                  <c:v>5.53445712756113</c:v>
                </c:pt>
                <c:pt idx="40">
                  <c:v>5.73473549277107</c:v>
                </c:pt>
                <c:pt idx="41">
                  <c:v>4.89594138999651</c:v>
                </c:pt>
                <c:pt idx="42">
                  <c:v>5.63323509915774</c:v>
                </c:pt>
                <c:pt idx="43">
                  <c:v>5.83596994192761</c:v>
                </c:pt>
                <c:pt idx="44">
                  <c:v>5.71957775809919</c:v>
                </c:pt>
                <c:pt idx="45">
                  <c:v>3.65031010931607</c:v>
                </c:pt>
                <c:pt idx="46">
                  <c:v>3.28953216300107</c:v>
                </c:pt>
                <c:pt idx="47">
                  <c:v>3.69541789777316</c:v>
                </c:pt>
                <c:pt idx="48">
                  <c:v>3.40301561758373</c:v>
                </c:pt>
                <c:pt idx="49">
                  <c:v>3.7162394502436</c:v>
                </c:pt>
                <c:pt idx="50">
                  <c:v>3.44044015118003</c:v>
                </c:pt>
                <c:pt idx="51">
                  <c:v>3.39385250043867</c:v>
                </c:pt>
                <c:pt idx="52">
                  <c:v>3.71051031573697</c:v>
                </c:pt>
                <c:pt idx="53">
                  <c:v>3.74769867772342</c:v>
                </c:pt>
                <c:pt idx="54">
                  <c:v>4.27974033223633</c:v>
                </c:pt>
                <c:pt idx="55">
                  <c:v>4.22247449251643</c:v>
                </c:pt>
                <c:pt idx="56">
                  <c:v>4.13137442169454</c:v>
                </c:pt>
                <c:pt idx="57">
                  <c:v>4.01893799135279</c:v>
                </c:pt>
                <c:pt idx="58">
                  <c:v>4.03168008259807</c:v>
                </c:pt>
                <c:pt idx="59">
                  <c:v>3.64279110340268</c:v>
                </c:pt>
                <c:pt idx="60">
                  <c:v>3.46900195299014</c:v>
                </c:pt>
                <c:pt idx="61">
                  <c:v>3.63232512463612</c:v>
                </c:pt>
                <c:pt idx="62">
                  <c:v>3.65696421850038</c:v>
                </c:pt>
                <c:pt idx="63">
                  <c:v>3.62660684277443</c:v>
                </c:pt>
                <c:pt idx="64">
                  <c:v>6.76101336288738</c:v>
                </c:pt>
                <c:pt idx="65">
                  <c:v>6.58312424658697</c:v>
                </c:pt>
                <c:pt idx="66">
                  <c:v>7.11300471076456</c:v>
                </c:pt>
                <c:pt idx="67">
                  <c:v>7.2762600350121</c:v>
                </c:pt>
                <c:pt idx="68">
                  <c:v>6.43295333070307</c:v>
                </c:pt>
                <c:pt idx="69">
                  <c:v>7.2108202465386</c:v>
                </c:pt>
                <c:pt idx="70">
                  <c:v>6.94127948647555</c:v>
                </c:pt>
                <c:pt idx="71">
                  <c:v>7.02815833468254</c:v>
                </c:pt>
                <c:pt idx="72">
                  <c:v>6.39395494771192</c:v>
                </c:pt>
                <c:pt idx="73">
                  <c:v>6.51366972349799</c:v>
                </c:pt>
                <c:pt idx="74">
                  <c:v>6.63055943897094</c:v>
                </c:pt>
                <c:pt idx="75">
                  <c:v>6.27566754880175</c:v>
                </c:pt>
                <c:pt idx="76">
                  <c:v>5.63137278550661</c:v>
                </c:pt>
                <c:pt idx="77">
                  <c:v>7.75168812175796</c:v>
                </c:pt>
                <c:pt idx="78">
                  <c:v>7.91449116079493</c:v>
                </c:pt>
                <c:pt idx="79">
                  <c:v>7.474058542192</c:v>
                </c:pt>
                <c:pt idx="80">
                  <c:v>5.36805725901979</c:v>
                </c:pt>
                <c:pt idx="81">
                  <c:v>6.81472771164367</c:v>
                </c:pt>
                <c:pt idx="82">
                  <c:v>6.76663792663672</c:v>
                </c:pt>
                <c:pt idx="83">
                  <c:v>4.26482773119845</c:v>
                </c:pt>
                <c:pt idx="84">
                  <c:v>5.92210564108781</c:v>
                </c:pt>
                <c:pt idx="85">
                  <c:v>7.16397738755529</c:v>
                </c:pt>
                <c:pt idx="86">
                  <c:v>7.24056671583387</c:v>
                </c:pt>
                <c:pt idx="87">
                  <c:v>7.23886517323909</c:v>
                </c:pt>
                <c:pt idx="88">
                  <c:v>6.80767066541797</c:v>
                </c:pt>
                <c:pt idx="89">
                  <c:v>4.65870772563559</c:v>
                </c:pt>
                <c:pt idx="90">
                  <c:v>5.48563184196025</c:v>
                </c:pt>
                <c:pt idx="91">
                  <c:v>5.89714147165139</c:v>
                </c:pt>
                <c:pt idx="92">
                  <c:v>5.42567148527428</c:v>
                </c:pt>
                <c:pt idx="93">
                  <c:v>5.72022284969779</c:v>
                </c:pt>
              </c:numCache>
            </c:numRef>
          </c:xVal>
          <c:yVal>
            <c:numRef>
              <c:f>总表删错20231214!$AR$3:$AR$96</c:f>
              <c:numCache>
                <c:formatCode>0.00E+00</c:formatCode>
                <c:ptCount val="94"/>
                <c:pt idx="0">
                  <c:v>2411.25473281122</c:v>
                </c:pt>
                <c:pt idx="1">
                  <c:v>2140.10863619714</c:v>
                </c:pt>
                <c:pt idx="2">
                  <c:v>1228.44136078131</c:v>
                </c:pt>
                <c:pt idx="3">
                  <c:v>2095.65852939582</c:v>
                </c:pt>
                <c:pt idx="4">
                  <c:v>1419.19904250559</c:v>
                </c:pt>
                <c:pt idx="5">
                  <c:v>943.607786041535</c:v>
                </c:pt>
                <c:pt idx="6">
                  <c:v>1542.94817633202</c:v>
                </c:pt>
                <c:pt idx="7">
                  <c:v>1374.69686134812</c:v>
                </c:pt>
                <c:pt idx="8">
                  <c:v>988.931660735775</c:v>
                </c:pt>
                <c:pt idx="9">
                  <c:v>960.275940360976</c:v>
                </c:pt>
                <c:pt idx="10">
                  <c:v>283.79213939661</c:v>
                </c:pt>
                <c:pt idx="11">
                  <c:v>753.418740379447</c:v>
                </c:pt>
                <c:pt idx="12">
                  <c:v>1168.21655299768</c:v>
                </c:pt>
                <c:pt idx="13">
                  <c:v>1261.10216498897</c:v>
                </c:pt>
                <c:pt idx="14">
                  <c:v>1617.18977729197</c:v>
                </c:pt>
                <c:pt idx="15">
                  <c:v>1647.22829641394</c:v>
                </c:pt>
                <c:pt idx="16">
                  <c:v>6005.80094935257</c:v>
                </c:pt>
                <c:pt idx="17">
                  <c:v>64.74014941043</c:v>
                </c:pt>
                <c:pt idx="18">
                  <c:v>1470.70316114044</c:v>
                </c:pt>
                <c:pt idx="19">
                  <c:v>1520.63110435214</c:v>
                </c:pt>
                <c:pt idx="20">
                  <c:v>986.803431452178</c:v>
                </c:pt>
                <c:pt idx="21">
                  <c:v>4776.21214974479</c:v>
                </c:pt>
                <c:pt idx="22">
                  <c:v>496.696707899241</c:v>
                </c:pt>
                <c:pt idx="23">
                  <c:v>297.99444502094</c:v>
                </c:pt>
                <c:pt idx="24">
                  <c:v>537.009783848614</c:v>
                </c:pt>
                <c:pt idx="25">
                  <c:v>278.370352559634</c:v>
                </c:pt>
                <c:pt idx="26">
                  <c:v>565.522250701889</c:v>
                </c:pt>
                <c:pt idx="27">
                  <c:v>525.526921495625</c:v>
                </c:pt>
                <c:pt idx="28">
                  <c:v>144.502810873393</c:v>
                </c:pt>
                <c:pt idx="29">
                  <c:v>384.941657517216</c:v>
                </c:pt>
                <c:pt idx="30">
                  <c:v>376.447485872349</c:v>
                </c:pt>
                <c:pt idx="31">
                  <c:v>1028.89150043125</c:v>
                </c:pt>
                <c:pt idx="32">
                  <c:v>958.147065029258</c:v>
                </c:pt>
                <c:pt idx="33">
                  <c:v>217.616088029874</c:v>
                </c:pt>
                <c:pt idx="34">
                  <c:v>665.084403545134</c:v>
                </c:pt>
                <c:pt idx="35">
                  <c:v>447.491313187433</c:v>
                </c:pt>
                <c:pt idx="36">
                  <c:v>676.661251549476</c:v>
                </c:pt>
                <c:pt idx="37">
                  <c:v>879.919301842596</c:v>
                </c:pt>
                <c:pt idx="38">
                  <c:v>723.582684881494</c:v>
                </c:pt>
                <c:pt idx="39">
                  <c:v>888.658671100032</c:v>
                </c:pt>
                <c:pt idx="40">
                  <c:v>865.632732754755</c:v>
                </c:pt>
                <c:pt idx="41">
                  <c:v>1439.47499364656</c:v>
                </c:pt>
                <c:pt idx="42">
                  <c:v>2271.06234783184</c:v>
                </c:pt>
                <c:pt idx="43">
                  <c:v>922.558952427199</c:v>
                </c:pt>
                <c:pt idx="44">
                  <c:v>4163.48248889638</c:v>
                </c:pt>
                <c:pt idx="45">
                  <c:v>25.8702552000721</c:v>
                </c:pt>
                <c:pt idx="46">
                  <c:v>36.8772994756331</c:v>
                </c:pt>
                <c:pt idx="47">
                  <c:v>906.872814695254</c:v>
                </c:pt>
                <c:pt idx="48">
                  <c:v>929.39518768814</c:v>
                </c:pt>
                <c:pt idx="49">
                  <c:v>841.37821549458</c:v>
                </c:pt>
                <c:pt idx="50">
                  <c:v>910.176731359356</c:v>
                </c:pt>
                <c:pt idx="51">
                  <c:v>1374.31745607335</c:v>
                </c:pt>
                <c:pt idx="52">
                  <c:v>1441.86436866035</c:v>
                </c:pt>
                <c:pt idx="53">
                  <c:v>1738.45277118048</c:v>
                </c:pt>
                <c:pt idx="54">
                  <c:v>1739.33893227744</c:v>
                </c:pt>
                <c:pt idx="55">
                  <c:v>1761.99524681927</c:v>
                </c:pt>
                <c:pt idx="56">
                  <c:v>1386.84751225914</c:v>
                </c:pt>
                <c:pt idx="57">
                  <c:v>1893.58729425427</c:v>
                </c:pt>
                <c:pt idx="58">
                  <c:v>1400.35456571246</c:v>
                </c:pt>
                <c:pt idx="59">
                  <c:v>1597.61022759058</c:v>
                </c:pt>
                <c:pt idx="60">
                  <c:v>1163.9483116436</c:v>
                </c:pt>
                <c:pt idx="61">
                  <c:v>1368.41669226193</c:v>
                </c:pt>
                <c:pt idx="62">
                  <c:v>1112.9394513154</c:v>
                </c:pt>
                <c:pt idx="63">
                  <c:v>597.759764405735</c:v>
                </c:pt>
                <c:pt idx="64">
                  <c:v>887.068641214561</c:v>
                </c:pt>
                <c:pt idx="65">
                  <c:v>537.954525389798</c:v>
                </c:pt>
                <c:pt idx="66">
                  <c:v>855.424244446874</c:v>
                </c:pt>
                <c:pt idx="67">
                  <c:v>385.822113505695</c:v>
                </c:pt>
                <c:pt idx="68">
                  <c:v>481.123829758859</c:v>
                </c:pt>
                <c:pt idx="69">
                  <c:v>730.545378036107</c:v>
                </c:pt>
                <c:pt idx="70">
                  <c:v>535.547708596937</c:v>
                </c:pt>
                <c:pt idx="71">
                  <c:v>456.252126275479</c:v>
                </c:pt>
                <c:pt idx="72">
                  <c:v>448.83700564189</c:v>
                </c:pt>
                <c:pt idx="73">
                  <c:v>273.921792077383</c:v>
                </c:pt>
                <c:pt idx="74">
                  <c:v>262.339364914566</c:v>
                </c:pt>
                <c:pt idx="75">
                  <c:v>210.642746169214</c:v>
                </c:pt>
                <c:pt idx="76">
                  <c:v>219.216498549315</c:v>
                </c:pt>
                <c:pt idx="77">
                  <c:v>351.689856917598</c:v>
                </c:pt>
                <c:pt idx="78">
                  <c:v>180.047477456328</c:v>
                </c:pt>
                <c:pt idx="79">
                  <c:v>184.378059925517</c:v>
                </c:pt>
                <c:pt idx="80">
                  <c:v>223.905465322994</c:v>
                </c:pt>
                <c:pt idx="81">
                  <c:v>146.740956160551</c:v>
                </c:pt>
                <c:pt idx="82">
                  <c:v>151.607531001295</c:v>
                </c:pt>
                <c:pt idx="83">
                  <c:v>152.061226111677</c:v>
                </c:pt>
                <c:pt idx="84">
                  <c:v>119.894516565378</c:v>
                </c:pt>
                <c:pt idx="85">
                  <c:v>93.9666460768146</c:v>
                </c:pt>
                <c:pt idx="86">
                  <c:v>95.9011665440386</c:v>
                </c:pt>
                <c:pt idx="87">
                  <c:v>40.9146765089835</c:v>
                </c:pt>
                <c:pt idx="88">
                  <c:v>45.3579988549171</c:v>
                </c:pt>
                <c:pt idx="89">
                  <c:v>5369.06122065384</c:v>
                </c:pt>
                <c:pt idx="90">
                  <c:v>1034.21045914552</c:v>
                </c:pt>
                <c:pt idx="91">
                  <c:v>1377.53859830803</c:v>
                </c:pt>
                <c:pt idx="92">
                  <c:v>1210.47644789285</c:v>
                </c:pt>
                <c:pt idx="93">
                  <c:v>441.52406990489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总表删错20231214!$AC$97:$AC$110</c:f>
              <c:numCache>
                <c:formatCode>0.000_ </c:formatCode>
                <c:ptCount val="14"/>
                <c:pt idx="0">
                  <c:v>1.74223980800392</c:v>
                </c:pt>
                <c:pt idx="1">
                  <c:v>1.8139072577542</c:v>
                </c:pt>
                <c:pt idx="2">
                  <c:v>1.77294357514968</c:v>
                </c:pt>
                <c:pt idx="3">
                  <c:v>1.7658754529262</c:v>
                </c:pt>
                <c:pt idx="4">
                  <c:v>1.86883142087559</c:v>
                </c:pt>
                <c:pt idx="5">
                  <c:v>1.73438945268349</c:v>
                </c:pt>
                <c:pt idx="6">
                  <c:v>1.58024334982228</c:v>
                </c:pt>
                <c:pt idx="7">
                  <c:v>1.64326644597151</c:v>
                </c:pt>
                <c:pt idx="8">
                  <c:v>4.44982822350614</c:v>
                </c:pt>
                <c:pt idx="9">
                  <c:v>6.28570007921685</c:v>
                </c:pt>
                <c:pt idx="10">
                  <c:v>5.15956443208434</c:v>
                </c:pt>
                <c:pt idx="11">
                  <c:v>7.3598406624916</c:v>
                </c:pt>
                <c:pt idx="12">
                  <c:v>7.18716979071478</c:v>
                </c:pt>
                <c:pt idx="13">
                  <c:v>6.53933829633019</c:v>
                </c:pt>
              </c:numCache>
            </c:numRef>
          </c:xVal>
          <c:yVal>
            <c:numRef>
              <c:f>总表删错20231214!$AR$97:$AR$110</c:f>
              <c:numCache>
                <c:formatCode>0.00E+00</c:formatCode>
                <c:ptCount val="14"/>
                <c:pt idx="0">
                  <c:v>1059.76060166605</c:v>
                </c:pt>
                <c:pt idx="1">
                  <c:v>1088.0873713261</c:v>
                </c:pt>
                <c:pt idx="2">
                  <c:v>1012.04597656022</c:v>
                </c:pt>
                <c:pt idx="3">
                  <c:v>1008.82922355334</c:v>
                </c:pt>
                <c:pt idx="4">
                  <c:v>1016.31008615828</c:v>
                </c:pt>
                <c:pt idx="5">
                  <c:v>1017.51333117544</c:v>
                </c:pt>
                <c:pt idx="6">
                  <c:v>1304.92620403189</c:v>
                </c:pt>
                <c:pt idx="7">
                  <c:v>1488.03086321137</c:v>
                </c:pt>
                <c:pt idx="8">
                  <c:v>38.6110984014449</c:v>
                </c:pt>
                <c:pt idx="9">
                  <c:v>1154.18590508965</c:v>
                </c:pt>
                <c:pt idx="10">
                  <c:v>238.216803618779</c:v>
                </c:pt>
                <c:pt idx="11">
                  <c:v>50.1949427646835</c:v>
                </c:pt>
                <c:pt idx="12">
                  <c:v>46.0179718230684</c:v>
                </c:pt>
                <c:pt idx="13">
                  <c:v>1661.27824218384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总表删错20231214!$AC$111:$AC$143</c:f>
              <c:numCache>
                <c:formatCode>0.000_ </c:formatCode>
                <c:ptCount val="33"/>
                <c:pt idx="0">
                  <c:v>2.28334633509303</c:v>
                </c:pt>
                <c:pt idx="1">
                  <c:v>2.30847691788367</c:v>
                </c:pt>
                <c:pt idx="2">
                  <c:v>2.33303867143657</c:v>
                </c:pt>
                <c:pt idx="3">
                  <c:v>2.35440816230826</c:v>
                </c:pt>
                <c:pt idx="4">
                  <c:v>2.43926795121342</c:v>
                </c:pt>
                <c:pt idx="5">
                  <c:v>1.55199421087085</c:v>
                </c:pt>
                <c:pt idx="6">
                  <c:v>1.66292244410169</c:v>
                </c:pt>
                <c:pt idx="7">
                  <c:v>1.6521386438806</c:v>
                </c:pt>
                <c:pt idx="8">
                  <c:v>1.68802035378252</c:v>
                </c:pt>
                <c:pt idx="9">
                  <c:v>1.70589820848416</c:v>
                </c:pt>
                <c:pt idx="10">
                  <c:v>1.57362928709765</c:v>
                </c:pt>
                <c:pt idx="11">
                  <c:v>1.79600423030684</c:v>
                </c:pt>
                <c:pt idx="12">
                  <c:v>1.68552385979283</c:v>
                </c:pt>
                <c:pt idx="13">
                  <c:v>1.66627746154534</c:v>
                </c:pt>
                <c:pt idx="14">
                  <c:v>1.64636675554716</c:v>
                </c:pt>
                <c:pt idx="15">
                  <c:v>1.4633328844295</c:v>
                </c:pt>
                <c:pt idx="16">
                  <c:v>1.69673331276319</c:v>
                </c:pt>
                <c:pt idx="17">
                  <c:v>1.63404837615802</c:v>
                </c:pt>
                <c:pt idx="18">
                  <c:v>1.49148551464658</c:v>
                </c:pt>
                <c:pt idx="19">
                  <c:v>3.14683940653703</c:v>
                </c:pt>
                <c:pt idx="20">
                  <c:v>3.50334349817808</c:v>
                </c:pt>
                <c:pt idx="21">
                  <c:v>3.26444724461408</c:v>
                </c:pt>
                <c:pt idx="22">
                  <c:v>5.64576078760546</c:v>
                </c:pt>
                <c:pt idx="23">
                  <c:v>5.72691665765607</c:v>
                </c:pt>
                <c:pt idx="24">
                  <c:v>4.94587045399771</c:v>
                </c:pt>
                <c:pt idx="25">
                  <c:v>4.25880647190897</c:v>
                </c:pt>
                <c:pt idx="26">
                  <c:v>5.16391494798663</c:v>
                </c:pt>
                <c:pt idx="27">
                  <c:v>5.11956626921921</c:v>
                </c:pt>
                <c:pt idx="28">
                  <c:v>5.19011733989259</c:v>
                </c:pt>
                <c:pt idx="29">
                  <c:v>6.67840918668214</c:v>
                </c:pt>
                <c:pt idx="30">
                  <c:v>6.39012679972256</c:v>
                </c:pt>
                <c:pt idx="31">
                  <c:v>5.63906642370967</c:v>
                </c:pt>
                <c:pt idx="32">
                  <c:v>6.65609803648866</c:v>
                </c:pt>
              </c:numCache>
            </c:numRef>
          </c:xVal>
          <c:yVal>
            <c:numRef>
              <c:f>总表删错20231214!$AR$111:$AR$143</c:f>
              <c:numCache>
                <c:formatCode>0.00E+00</c:formatCode>
                <c:ptCount val="33"/>
                <c:pt idx="0">
                  <c:v>11984.4686238862</c:v>
                </c:pt>
                <c:pt idx="1">
                  <c:v>8221.19364369178</c:v>
                </c:pt>
                <c:pt idx="2">
                  <c:v>8594.7633251459</c:v>
                </c:pt>
                <c:pt idx="3">
                  <c:v>8914.78150896826</c:v>
                </c:pt>
                <c:pt idx="4">
                  <c:v>7163.41620207471</c:v>
                </c:pt>
                <c:pt idx="5">
                  <c:v>4282.59733330896</c:v>
                </c:pt>
                <c:pt idx="6">
                  <c:v>2288.60492730649</c:v>
                </c:pt>
                <c:pt idx="7">
                  <c:v>2413.14148428687</c:v>
                </c:pt>
                <c:pt idx="8">
                  <c:v>5874.63989193412</c:v>
                </c:pt>
                <c:pt idx="9">
                  <c:v>2354.57605014456</c:v>
                </c:pt>
                <c:pt idx="10">
                  <c:v>1305.6306769649</c:v>
                </c:pt>
                <c:pt idx="11">
                  <c:v>1084.6353837134</c:v>
                </c:pt>
                <c:pt idx="12">
                  <c:v>1281.80629148269</c:v>
                </c:pt>
                <c:pt idx="13">
                  <c:v>1257.25875674842</c:v>
                </c:pt>
                <c:pt idx="14">
                  <c:v>1969.55260769022</c:v>
                </c:pt>
                <c:pt idx="15">
                  <c:v>1909.92366126673</c:v>
                </c:pt>
                <c:pt idx="16">
                  <c:v>1765.8376180659</c:v>
                </c:pt>
                <c:pt idx="17">
                  <c:v>1466.66755654608</c:v>
                </c:pt>
                <c:pt idx="18">
                  <c:v>1434.67304882926</c:v>
                </c:pt>
                <c:pt idx="19">
                  <c:v>2336.43873097447</c:v>
                </c:pt>
                <c:pt idx="20">
                  <c:v>2913.3646849016</c:v>
                </c:pt>
                <c:pt idx="21">
                  <c:v>3050.98587167775</c:v>
                </c:pt>
                <c:pt idx="22">
                  <c:v>2681.11206031922</c:v>
                </c:pt>
                <c:pt idx="23">
                  <c:v>537.930997673817</c:v>
                </c:pt>
                <c:pt idx="24">
                  <c:v>1523.81734686615</c:v>
                </c:pt>
                <c:pt idx="25">
                  <c:v>1690.10103694601</c:v>
                </c:pt>
                <c:pt idx="26">
                  <c:v>1755.04185071751</c:v>
                </c:pt>
                <c:pt idx="27">
                  <c:v>1172.35785926197</c:v>
                </c:pt>
                <c:pt idx="28">
                  <c:v>547.342112410403</c:v>
                </c:pt>
                <c:pt idx="29">
                  <c:v>116.863637984994</c:v>
                </c:pt>
                <c:pt idx="30">
                  <c:v>125.912713696492</c:v>
                </c:pt>
                <c:pt idx="31">
                  <c:v>1876.46475005754</c:v>
                </c:pt>
                <c:pt idx="32">
                  <c:v>1970.14608372247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Bo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8467221923697"/>
              <c:y val="0.927065687935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C</a:t>
                </a:r>
                <a:r>
                  <a:rPr lang="en-US" altLang="zh-CN" sz="12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D</a:t>
                </a:r>
                <a:endParaRPr lang="en-US" altLang="zh-CN" sz="12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354770531400966"/>
              <c:y val="0.41292808799393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895e77-feb6-4ee7-929f-a8eca8bfd965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43245380689"/>
          <c:y val="0.0429733930693975"/>
          <c:w val="0.85376375008987"/>
          <c:h val="0.83578677882417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总表删错20231214!$AR$3:$AR$96</c:f>
              <c:numCache>
                <c:formatCode>0.00E+00</c:formatCode>
                <c:ptCount val="94"/>
                <c:pt idx="0">
                  <c:v>2411.25473281122</c:v>
                </c:pt>
                <c:pt idx="1">
                  <c:v>2140.10863619714</c:v>
                </c:pt>
                <c:pt idx="2">
                  <c:v>1228.44136078131</c:v>
                </c:pt>
                <c:pt idx="3">
                  <c:v>2095.65852939582</c:v>
                </c:pt>
                <c:pt idx="4">
                  <c:v>1419.19904250559</c:v>
                </c:pt>
                <c:pt idx="5">
                  <c:v>943.607786041535</c:v>
                </c:pt>
                <c:pt idx="6">
                  <c:v>1542.94817633202</c:v>
                </c:pt>
                <c:pt idx="7">
                  <c:v>1374.69686134812</c:v>
                </c:pt>
                <c:pt idx="8">
                  <c:v>988.931660735775</c:v>
                </c:pt>
                <c:pt idx="9">
                  <c:v>960.275940360976</c:v>
                </c:pt>
                <c:pt idx="10">
                  <c:v>283.79213939661</c:v>
                </c:pt>
                <c:pt idx="11">
                  <c:v>753.418740379447</c:v>
                </c:pt>
                <c:pt idx="12">
                  <c:v>1168.21655299768</c:v>
                </c:pt>
                <c:pt idx="13">
                  <c:v>1261.10216498897</c:v>
                </c:pt>
                <c:pt idx="14">
                  <c:v>1617.18977729197</c:v>
                </c:pt>
                <c:pt idx="15">
                  <c:v>1647.22829641394</c:v>
                </c:pt>
                <c:pt idx="16">
                  <c:v>6005.80094935257</c:v>
                </c:pt>
                <c:pt idx="17">
                  <c:v>64.74014941043</c:v>
                </c:pt>
                <c:pt idx="18">
                  <c:v>1470.70316114044</c:v>
                </c:pt>
                <c:pt idx="19">
                  <c:v>1520.63110435214</c:v>
                </c:pt>
                <c:pt idx="20">
                  <c:v>986.803431452178</c:v>
                </c:pt>
                <c:pt idx="21">
                  <c:v>4776.21214974479</c:v>
                </c:pt>
                <c:pt idx="22">
                  <c:v>496.696707899241</c:v>
                </c:pt>
                <c:pt idx="23">
                  <c:v>297.99444502094</c:v>
                </c:pt>
                <c:pt idx="24">
                  <c:v>537.009783848614</c:v>
                </c:pt>
                <c:pt idx="25">
                  <c:v>278.370352559634</c:v>
                </c:pt>
                <c:pt idx="26">
                  <c:v>565.522250701889</c:v>
                </c:pt>
                <c:pt idx="27">
                  <c:v>525.526921495625</c:v>
                </c:pt>
                <c:pt idx="28">
                  <c:v>144.502810873393</c:v>
                </c:pt>
                <c:pt idx="29">
                  <c:v>384.941657517216</c:v>
                </c:pt>
                <c:pt idx="30">
                  <c:v>376.447485872349</c:v>
                </c:pt>
                <c:pt idx="31">
                  <c:v>1028.89150043125</c:v>
                </c:pt>
                <c:pt idx="32">
                  <c:v>958.147065029258</c:v>
                </c:pt>
                <c:pt idx="33">
                  <c:v>217.616088029874</c:v>
                </c:pt>
                <c:pt idx="34">
                  <c:v>665.084403545134</c:v>
                </c:pt>
                <c:pt idx="35">
                  <c:v>447.491313187433</c:v>
                </c:pt>
                <c:pt idx="36">
                  <c:v>676.661251549476</c:v>
                </c:pt>
                <c:pt idx="37">
                  <c:v>879.919301842596</c:v>
                </c:pt>
                <c:pt idx="38">
                  <c:v>723.582684881494</c:v>
                </c:pt>
                <c:pt idx="39">
                  <c:v>888.658671100032</c:v>
                </c:pt>
                <c:pt idx="40">
                  <c:v>865.632732754755</c:v>
                </c:pt>
                <c:pt idx="41">
                  <c:v>1439.47499364656</c:v>
                </c:pt>
                <c:pt idx="42">
                  <c:v>2271.06234783184</c:v>
                </c:pt>
                <c:pt idx="43">
                  <c:v>922.558952427199</c:v>
                </c:pt>
                <c:pt idx="44">
                  <c:v>4163.48248889638</c:v>
                </c:pt>
                <c:pt idx="45">
                  <c:v>25.8702552000721</c:v>
                </c:pt>
                <c:pt idx="46">
                  <c:v>36.8772994756331</c:v>
                </c:pt>
                <c:pt idx="47">
                  <c:v>906.872814695254</c:v>
                </c:pt>
                <c:pt idx="48">
                  <c:v>929.39518768814</c:v>
                </c:pt>
                <c:pt idx="49">
                  <c:v>841.37821549458</c:v>
                </c:pt>
                <c:pt idx="50">
                  <c:v>910.176731359356</c:v>
                </c:pt>
                <c:pt idx="51">
                  <c:v>1374.31745607335</c:v>
                </c:pt>
                <c:pt idx="52">
                  <c:v>1441.86436866035</c:v>
                </c:pt>
                <c:pt idx="53">
                  <c:v>1738.45277118048</c:v>
                </c:pt>
                <c:pt idx="54">
                  <c:v>1739.33893227744</c:v>
                </c:pt>
                <c:pt idx="55">
                  <c:v>1761.99524681927</c:v>
                </c:pt>
                <c:pt idx="56">
                  <c:v>1386.84751225914</c:v>
                </c:pt>
                <c:pt idx="57">
                  <c:v>1893.58729425427</c:v>
                </c:pt>
                <c:pt idx="58">
                  <c:v>1400.35456571246</c:v>
                </c:pt>
                <c:pt idx="59">
                  <c:v>1597.61022759058</c:v>
                </c:pt>
                <c:pt idx="60">
                  <c:v>1163.9483116436</c:v>
                </c:pt>
                <c:pt idx="61">
                  <c:v>1368.41669226193</c:v>
                </c:pt>
                <c:pt idx="62">
                  <c:v>1112.9394513154</c:v>
                </c:pt>
                <c:pt idx="63">
                  <c:v>597.759764405735</c:v>
                </c:pt>
                <c:pt idx="64">
                  <c:v>887.068641214561</c:v>
                </c:pt>
                <c:pt idx="65">
                  <c:v>537.954525389798</c:v>
                </c:pt>
                <c:pt idx="66">
                  <c:v>855.424244446874</c:v>
                </c:pt>
                <c:pt idx="67">
                  <c:v>385.822113505695</c:v>
                </c:pt>
                <c:pt idx="68">
                  <c:v>481.123829758859</c:v>
                </c:pt>
                <c:pt idx="69">
                  <c:v>730.545378036107</c:v>
                </c:pt>
                <c:pt idx="70">
                  <c:v>535.547708596937</c:v>
                </c:pt>
                <c:pt idx="71">
                  <c:v>456.252126275479</c:v>
                </c:pt>
                <c:pt idx="72">
                  <c:v>448.83700564189</c:v>
                </c:pt>
                <c:pt idx="73">
                  <c:v>273.921792077383</c:v>
                </c:pt>
                <c:pt idx="74">
                  <c:v>262.339364914566</c:v>
                </c:pt>
                <c:pt idx="75">
                  <c:v>210.642746169214</c:v>
                </c:pt>
                <c:pt idx="76">
                  <c:v>219.216498549315</c:v>
                </c:pt>
                <c:pt idx="77">
                  <c:v>351.689856917598</c:v>
                </c:pt>
                <c:pt idx="78">
                  <c:v>180.047477456328</c:v>
                </c:pt>
                <c:pt idx="79">
                  <c:v>184.378059925517</c:v>
                </c:pt>
                <c:pt idx="80">
                  <c:v>223.905465322994</c:v>
                </c:pt>
                <c:pt idx="81">
                  <c:v>146.740956160551</c:v>
                </c:pt>
                <c:pt idx="82">
                  <c:v>151.607531001295</c:v>
                </c:pt>
                <c:pt idx="83">
                  <c:v>152.061226111677</c:v>
                </c:pt>
                <c:pt idx="84">
                  <c:v>119.894516565378</c:v>
                </c:pt>
                <c:pt idx="85">
                  <c:v>93.9666460768146</c:v>
                </c:pt>
                <c:pt idx="86">
                  <c:v>95.9011665440386</c:v>
                </c:pt>
                <c:pt idx="87">
                  <c:v>40.9146765089835</c:v>
                </c:pt>
                <c:pt idx="88">
                  <c:v>45.3579988549171</c:v>
                </c:pt>
                <c:pt idx="89">
                  <c:v>5369.06122065384</c:v>
                </c:pt>
                <c:pt idx="90">
                  <c:v>1034.21045914552</c:v>
                </c:pt>
                <c:pt idx="91">
                  <c:v>1377.53859830803</c:v>
                </c:pt>
                <c:pt idx="92">
                  <c:v>1210.47644789285</c:v>
                </c:pt>
                <c:pt idx="93">
                  <c:v>441.52406990489</c:v>
                </c:pt>
              </c:numCache>
            </c:numRef>
          </c:xVal>
          <c:yVal>
            <c:numRef>
              <c:f>总表删错20231214!$BE$3:$BE$96</c:f>
              <c:numCache>
                <c:formatCode>0.000_ </c:formatCode>
                <c:ptCount val="94"/>
                <c:pt idx="0">
                  <c:v>0.330159602093124</c:v>
                </c:pt>
                <c:pt idx="1">
                  <c:v>0.374161909408699</c:v>
                </c:pt>
                <c:pt idx="2">
                  <c:v>0.63109389843819</c:v>
                </c:pt>
                <c:pt idx="3">
                  <c:v>0.387929977379539</c:v>
                </c:pt>
                <c:pt idx="4">
                  <c:v>0.583468022657874</c:v>
                </c:pt>
                <c:pt idx="5">
                  <c:v>0.880324567110261</c:v>
                </c:pt>
                <c:pt idx="6">
                  <c:v>0.556042455279372</c:v>
                </c:pt>
                <c:pt idx="7">
                  <c:v>0.599192497407829</c:v>
                </c:pt>
                <c:pt idx="8">
                  <c:v>0.860159855877793</c:v>
                </c:pt>
                <c:pt idx="9">
                  <c:v>0.876171019759605</c:v>
                </c:pt>
                <c:pt idx="10">
                  <c:v>2.95042814088531</c:v>
                </c:pt>
                <c:pt idx="11">
                  <c:v>1.2441819954562</c:v>
                </c:pt>
                <c:pt idx="12">
                  <c:v>0.803849796288749</c:v>
                </c:pt>
                <c:pt idx="13">
                  <c:v>0.744033784809289</c:v>
                </c:pt>
                <c:pt idx="14">
                  <c:v>0.57848254857925</c:v>
                </c:pt>
                <c:pt idx="15">
                  <c:v>0.568455540687007</c:v>
                </c:pt>
                <c:pt idx="16">
                  <c:v>0.125260301090443</c:v>
                </c:pt>
                <c:pt idx="17">
                  <c:v>11.679736172143</c:v>
                </c:pt>
                <c:pt idx="18">
                  <c:v>0.490426679258394</c:v>
                </c:pt>
                <c:pt idx="19">
                  <c:v>0.460966401063924</c:v>
                </c:pt>
                <c:pt idx="20">
                  <c:v>0.685117606828518</c:v>
                </c:pt>
                <c:pt idx="21">
                  <c:v>0.160307668035049</c:v>
                </c:pt>
                <c:pt idx="22">
                  <c:v>1.3666355450194</c:v>
                </c:pt>
                <c:pt idx="23">
                  <c:v>2.2509670377423</c:v>
                </c:pt>
                <c:pt idx="24">
                  <c:v>1.24393287517423</c:v>
                </c:pt>
                <c:pt idx="25">
                  <c:v>2.46768264926978</c:v>
                </c:pt>
                <c:pt idx="26">
                  <c:v>1.21701704330583</c:v>
                </c:pt>
                <c:pt idx="27">
                  <c:v>1.33659620617291</c:v>
                </c:pt>
                <c:pt idx="28">
                  <c:v>4.88904344120413</c:v>
                </c:pt>
                <c:pt idx="29">
                  <c:v>1.82536452326973</c:v>
                </c:pt>
                <c:pt idx="30">
                  <c:v>1.87848524110253</c:v>
                </c:pt>
                <c:pt idx="31">
                  <c:v>0.64425769476532</c:v>
                </c:pt>
                <c:pt idx="32">
                  <c:v>0.704556599934181</c:v>
                </c:pt>
                <c:pt idx="33">
                  <c:v>3.11578905507854</c:v>
                </c:pt>
                <c:pt idx="34">
                  <c:v>1.01498071367777</c:v>
                </c:pt>
                <c:pt idx="35">
                  <c:v>1.51083226652162</c:v>
                </c:pt>
                <c:pt idx="36">
                  <c:v>1.01668187527794</c:v>
                </c:pt>
                <c:pt idx="37">
                  <c:v>0.775241962528414</c:v>
                </c:pt>
                <c:pt idx="38">
                  <c:v>0.9493132923863</c:v>
                </c:pt>
                <c:pt idx="39">
                  <c:v>0.779474474811788</c:v>
                </c:pt>
                <c:pt idx="40">
                  <c:v>0.79312861630632</c:v>
                </c:pt>
                <c:pt idx="41">
                  <c:v>0.496183662563217</c:v>
                </c:pt>
                <c:pt idx="42">
                  <c:v>0.30365966707548</c:v>
                </c:pt>
                <c:pt idx="43">
                  <c:v>0.740940354276662</c:v>
                </c:pt>
                <c:pt idx="44">
                  <c:v>0.165009102929571</c:v>
                </c:pt>
                <c:pt idx="45">
                  <c:v>29.7113567920692</c:v>
                </c:pt>
                <c:pt idx="46">
                  <c:v>21.392571559767</c:v>
                </c:pt>
                <c:pt idx="47">
                  <c:v>0.844974037488999</c:v>
                </c:pt>
                <c:pt idx="48">
                  <c:v>0.84166493238654</c:v>
                </c:pt>
                <c:pt idx="49">
                  <c:v>0.909470155583729</c:v>
                </c:pt>
                <c:pt idx="50">
                  <c:v>0.857089959232866</c:v>
                </c:pt>
                <c:pt idx="51">
                  <c:v>0.569567675766704</c:v>
                </c:pt>
                <c:pt idx="52">
                  <c:v>0.53091233700304</c:v>
                </c:pt>
                <c:pt idx="53">
                  <c:v>0.43923968844217</c:v>
                </c:pt>
                <c:pt idx="54">
                  <c:v>0.424685139881356</c:v>
                </c:pt>
                <c:pt idx="55">
                  <c:v>0.420638622581237</c:v>
                </c:pt>
                <c:pt idx="56">
                  <c:v>0.537345092558396</c:v>
                </c:pt>
                <c:pt idx="57">
                  <c:v>0.396271173131141</c:v>
                </c:pt>
                <c:pt idx="58">
                  <c:v>0.535421874689521</c:v>
                </c:pt>
                <c:pt idx="59">
                  <c:v>0.481366916728863</c:v>
                </c:pt>
                <c:pt idx="60">
                  <c:v>0.668837795944863</c:v>
                </c:pt>
                <c:pt idx="61">
                  <c:v>0.562394540377423</c:v>
                </c:pt>
                <c:pt idx="62">
                  <c:v>0.69032551025812</c:v>
                </c:pt>
                <c:pt idx="63">
                  <c:v>1.2879643423301</c:v>
                </c:pt>
                <c:pt idx="64">
                  <c:v>0.742754792149541</c:v>
                </c:pt>
                <c:pt idx="65">
                  <c:v>1.2329687222647</c:v>
                </c:pt>
                <c:pt idx="66">
                  <c:v>0.650672646220166</c:v>
                </c:pt>
                <c:pt idx="67">
                  <c:v>1.43447574762305</c:v>
                </c:pt>
                <c:pt idx="68">
                  <c:v>1.00111361429762</c:v>
                </c:pt>
                <c:pt idx="69">
                  <c:v>0.640766016556754</c:v>
                </c:pt>
                <c:pt idx="70">
                  <c:v>0.882439189549401</c:v>
                </c:pt>
                <c:pt idx="71">
                  <c:v>0.856587746783587</c:v>
                </c:pt>
                <c:pt idx="72">
                  <c:v>0.891571328841235</c:v>
                </c:pt>
                <c:pt idx="73">
                  <c:v>1.17993718900893</c:v>
                </c:pt>
                <c:pt idx="74">
                  <c:v>1.22656594090716</c:v>
                </c:pt>
                <c:pt idx="75">
                  <c:v>1.21991692836815</c:v>
                </c:pt>
                <c:pt idx="76">
                  <c:v>1.2043839022408</c:v>
                </c:pt>
                <c:pt idx="77">
                  <c:v>0.693079147290279</c:v>
                </c:pt>
                <c:pt idx="78">
                  <c:v>1.01674182663614</c:v>
                </c:pt>
                <c:pt idx="79">
                  <c:v>1.00717541432396</c:v>
                </c:pt>
                <c:pt idx="80">
                  <c:v>0.900916417621635</c:v>
                </c:pt>
                <c:pt idx="81">
                  <c:v>0.915000471951222</c:v>
                </c:pt>
                <c:pt idx="82">
                  <c:v>0.887198461199956</c:v>
                </c:pt>
                <c:pt idx="83">
                  <c:v>0.992752360304801</c:v>
                </c:pt>
                <c:pt idx="84">
                  <c:v>0.72710519741542</c:v>
                </c:pt>
                <c:pt idx="85">
                  <c:v>0.884613025578186</c:v>
                </c:pt>
                <c:pt idx="86">
                  <c:v>0.864467315229884</c:v>
                </c:pt>
                <c:pt idx="87">
                  <c:v>0.950850631164876</c:v>
                </c:pt>
                <c:pt idx="88">
                  <c:v>0.870974665620604</c:v>
                </c:pt>
                <c:pt idx="89">
                  <c:v>0.134691725189391</c:v>
                </c:pt>
                <c:pt idx="90">
                  <c:v>0.671258886122131</c:v>
                </c:pt>
                <c:pt idx="91">
                  <c:v>0.240534703620117</c:v>
                </c:pt>
                <c:pt idx="92">
                  <c:v>0.279493807236056</c:v>
                </c:pt>
                <c:pt idx="93">
                  <c:v>0.317707281283006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总表删错20231214!$AR$97:$AR$110</c:f>
              <c:numCache>
                <c:formatCode>0.00E+00</c:formatCode>
                <c:ptCount val="14"/>
                <c:pt idx="0">
                  <c:v>1059.76060166605</c:v>
                </c:pt>
                <c:pt idx="1">
                  <c:v>1088.0873713261</c:v>
                </c:pt>
                <c:pt idx="2">
                  <c:v>1012.04597656022</c:v>
                </c:pt>
                <c:pt idx="3">
                  <c:v>1008.82922355334</c:v>
                </c:pt>
                <c:pt idx="4">
                  <c:v>1016.31008615828</c:v>
                </c:pt>
                <c:pt idx="5">
                  <c:v>1017.51333117544</c:v>
                </c:pt>
                <c:pt idx="6">
                  <c:v>1304.92620403189</c:v>
                </c:pt>
                <c:pt idx="7">
                  <c:v>1488.03086321137</c:v>
                </c:pt>
                <c:pt idx="8">
                  <c:v>38.6110984014449</c:v>
                </c:pt>
                <c:pt idx="9">
                  <c:v>1154.18590508965</c:v>
                </c:pt>
                <c:pt idx="10">
                  <c:v>238.216803618779</c:v>
                </c:pt>
                <c:pt idx="11">
                  <c:v>50.1949427646835</c:v>
                </c:pt>
                <c:pt idx="12">
                  <c:v>46.0179718230684</c:v>
                </c:pt>
                <c:pt idx="13">
                  <c:v>1661.27824218384</c:v>
                </c:pt>
              </c:numCache>
            </c:numRef>
          </c:xVal>
          <c:yVal>
            <c:numRef>
              <c:f>总表删错20231214!$BE$97:$BE$110</c:f>
              <c:numCache>
                <c:formatCode>0.000_ </c:formatCode>
                <c:ptCount val="14"/>
                <c:pt idx="0">
                  <c:v>0.872611404813205</c:v>
                </c:pt>
                <c:pt idx="1">
                  <c:v>0.841372084053665</c:v>
                </c:pt>
                <c:pt idx="2">
                  <c:v>0.909770115051233</c:v>
                </c:pt>
                <c:pt idx="3">
                  <c:v>0.913582908573194</c:v>
                </c:pt>
                <c:pt idx="4">
                  <c:v>0.89410159645242</c:v>
                </c:pt>
                <c:pt idx="5">
                  <c:v>0.909869011388067</c:v>
                </c:pt>
                <c:pt idx="6">
                  <c:v>0.726170651565599</c:v>
                </c:pt>
                <c:pt idx="7">
                  <c:v>0.630618492440257</c:v>
                </c:pt>
                <c:pt idx="8">
                  <c:v>18.9455697235412</c:v>
                </c:pt>
                <c:pt idx="9">
                  <c:v>0.34819534694339</c:v>
                </c:pt>
                <c:pt idx="10">
                  <c:v>1.43818996465561</c:v>
                </c:pt>
                <c:pt idx="11">
                  <c:v>0.771848343521178</c:v>
                </c:pt>
                <c:pt idx="12">
                  <c:v>0.846919422681994</c:v>
                </c:pt>
                <c:pt idx="13">
                  <c:v>0.399926156550917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总表删错20231214!$AR$111:$AR$143</c:f>
              <c:numCache>
                <c:formatCode>0.00E+00</c:formatCode>
                <c:ptCount val="33"/>
                <c:pt idx="0">
                  <c:v>11984.4686238862</c:v>
                </c:pt>
                <c:pt idx="1">
                  <c:v>8221.19364369178</c:v>
                </c:pt>
                <c:pt idx="2">
                  <c:v>8594.7633251459</c:v>
                </c:pt>
                <c:pt idx="3">
                  <c:v>8914.78150896826</c:v>
                </c:pt>
                <c:pt idx="4">
                  <c:v>7163.41620207471</c:v>
                </c:pt>
                <c:pt idx="5">
                  <c:v>4282.59733330896</c:v>
                </c:pt>
                <c:pt idx="6">
                  <c:v>2288.60492730649</c:v>
                </c:pt>
                <c:pt idx="7">
                  <c:v>2413.14148428687</c:v>
                </c:pt>
                <c:pt idx="8">
                  <c:v>5874.63989193412</c:v>
                </c:pt>
                <c:pt idx="9">
                  <c:v>2354.57605014456</c:v>
                </c:pt>
                <c:pt idx="10">
                  <c:v>1305.6306769649</c:v>
                </c:pt>
                <c:pt idx="11">
                  <c:v>1084.6353837134</c:v>
                </c:pt>
                <c:pt idx="12">
                  <c:v>1281.80629148269</c:v>
                </c:pt>
                <c:pt idx="13">
                  <c:v>1257.25875674842</c:v>
                </c:pt>
                <c:pt idx="14">
                  <c:v>1969.55260769022</c:v>
                </c:pt>
                <c:pt idx="15">
                  <c:v>1909.92366126673</c:v>
                </c:pt>
                <c:pt idx="16">
                  <c:v>1765.8376180659</c:v>
                </c:pt>
                <c:pt idx="17">
                  <c:v>1466.66755654608</c:v>
                </c:pt>
                <c:pt idx="18">
                  <c:v>1434.67304882926</c:v>
                </c:pt>
                <c:pt idx="19">
                  <c:v>2336.43873097447</c:v>
                </c:pt>
                <c:pt idx="20">
                  <c:v>2913.3646849016</c:v>
                </c:pt>
                <c:pt idx="21">
                  <c:v>3050.98587167775</c:v>
                </c:pt>
                <c:pt idx="22">
                  <c:v>2681.11206031922</c:v>
                </c:pt>
                <c:pt idx="23">
                  <c:v>537.930997673817</c:v>
                </c:pt>
                <c:pt idx="24">
                  <c:v>1523.81734686615</c:v>
                </c:pt>
                <c:pt idx="25">
                  <c:v>1690.10103694601</c:v>
                </c:pt>
                <c:pt idx="26">
                  <c:v>1755.04185071751</c:v>
                </c:pt>
                <c:pt idx="27">
                  <c:v>1172.35785926197</c:v>
                </c:pt>
                <c:pt idx="28">
                  <c:v>547.342112410403</c:v>
                </c:pt>
                <c:pt idx="29">
                  <c:v>116.863637984994</c:v>
                </c:pt>
                <c:pt idx="30">
                  <c:v>125.912713696492</c:v>
                </c:pt>
                <c:pt idx="31">
                  <c:v>1876.46475005754</c:v>
                </c:pt>
                <c:pt idx="32">
                  <c:v>1970.14608372247</c:v>
                </c:pt>
              </c:numCache>
            </c:numRef>
          </c:xVal>
          <c:yVal>
            <c:numRef>
              <c:f>总表删错20231214!$BE$111:$BE$143</c:f>
              <c:numCache>
                <c:formatCode>0.000_ </c:formatCode>
                <c:ptCount val="33"/>
                <c:pt idx="0">
                  <c:v>0.0721180387656849</c:v>
                </c:pt>
                <c:pt idx="1">
                  <c:v>0.104842984665422</c:v>
                </c:pt>
                <c:pt idx="2">
                  <c:v>0.100021009028852</c:v>
                </c:pt>
                <c:pt idx="3">
                  <c:v>0.0962109483639809</c:v>
                </c:pt>
                <c:pt idx="4">
                  <c:v>0.118678097472065</c:v>
                </c:pt>
                <c:pt idx="5">
                  <c:v>0.222267452221029</c:v>
                </c:pt>
                <c:pt idx="6">
                  <c:v>0.408805575660166</c:v>
                </c:pt>
                <c:pt idx="7">
                  <c:v>0.388339198360256</c:v>
                </c:pt>
                <c:pt idx="8">
                  <c:v>0.15866457327666</c:v>
                </c:pt>
                <c:pt idx="9">
                  <c:v>0.394824993893278</c:v>
                </c:pt>
                <c:pt idx="10">
                  <c:v>0.726540259558976</c:v>
                </c:pt>
                <c:pt idx="11">
                  <c:v>0.846145464393344</c:v>
                </c:pt>
                <c:pt idx="12">
                  <c:v>0.7274439105986</c:v>
                </c:pt>
                <c:pt idx="13">
                  <c:v>0.743779387814938</c:v>
                </c:pt>
                <c:pt idx="14">
                  <c:v>0.476218656345178</c:v>
                </c:pt>
                <c:pt idx="15">
                  <c:v>0.505770908750927</c:v>
                </c:pt>
                <c:pt idx="16">
                  <c:v>0.527170957845326</c:v>
                </c:pt>
                <c:pt idx="17">
                  <c:v>0.64070442749641</c:v>
                </c:pt>
                <c:pt idx="18">
                  <c:v>0.670112837610281</c:v>
                </c:pt>
                <c:pt idx="19">
                  <c:v>0.341414998499145</c:v>
                </c:pt>
                <c:pt idx="20">
                  <c:v>0.266557008616302</c:v>
                </c:pt>
                <c:pt idx="21">
                  <c:v>0.259067555752197</c:v>
                </c:pt>
                <c:pt idx="22">
                  <c:v>0.257075123638734</c:v>
                </c:pt>
                <c:pt idx="23">
                  <c:v>0.260692179616416</c:v>
                </c:pt>
                <c:pt idx="24">
                  <c:v>0.0954643439295504</c:v>
                </c:pt>
                <c:pt idx="25">
                  <c:v>0.0893511497125527</c:v>
                </c:pt>
                <c:pt idx="26">
                  <c:v>0.195168471029138</c:v>
                </c:pt>
                <c:pt idx="27">
                  <c:v>0.292801579813068</c:v>
                </c:pt>
                <c:pt idx="28">
                  <c:v>0.262592084992851</c:v>
                </c:pt>
                <c:pt idx="29">
                  <c:v>0.339673279883048</c:v>
                </c:pt>
                <c:pt idx="30">
                  <c:v>0.318758731448707</c:v>
                </c:pt>
                <c:pt idx="31">
                  <c:v>0.367420534644389</c:v>
                </c:pt>
                <c:pt idx="32">
                  <c:v>0.335739377313487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300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C</a:t>
                </a:r>
                <a:r>
                  <a:rPr lang="en-US" altLang="zh-CN" sz="1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D</a:t>
                </a:r>
                <a:endParaRPr lang="en-US" altLang="zh-CN" sz="1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84194216761974"/>
              <c:y val="0.9162768984634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354770531400966"/>
              <c:y val="0.4175430888254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4be9b6-2deb-4cb6-8e0e-11e601f767fe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60938072948"/>
          <c:y val="0.0351324761157655"/>
          <c:w val="0.85376375008987"/>
          <c:h val="0.83578677882417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总表删错20231214!$AB$3:$AB$96</c:f>
              <c:numCache>
                <c:formatCode>0.000_ </c:formatCode>
                <c:ptCount val="94"/>
                <c:pt idx="0">
                  <c:v>8.58668361288856</c:v>
                </c:pt>
                <c:pt idx="1">
                  <c:v>9.56260022918224</c:v>
                </c:pt>
                <c:pt idx="2">
                  <c:v>17.7726157473111</c:v>
                </c:pt>
                <c:pt idx="3">
                  <c:v>9.47402148172661</c:v>
                </c:pt>
                <c:pt idx="4">
                  <c:v>13.4846152147477</c:v>
                </c:pt>
                <c:pt idx="5">
                  <c:v>20.1531257302145</c:v>
                </c:pt>
                <c:pt idx="6">
                  <c:v>11.5540084845228</c:v>
                </c:pt>
                <c:pt idx="7">
                  <c:v>14.068540599858</c:v>
                </c:pt>
                <c:pt idx="8">
                  <c:v>18.3377235863719</c:v>
                </c:pt>
                <c:pt idx="9">
                  <c:v>19.3035281468344</c:v>
                </c:pt>
                <c:pt idx="10">
                  <c:v>65.9525263249546</c:v>
                </c:pt>
                <c:pt idx="11">
                  <c:v>19.8209983251457</c:v>
                </c:pt>
                <c:pt idx="12">
                  <c:v>12.7374568614026</c:v>
                </c:pt>
                <c:pt idx="13">
                  <c:v>11.8186121014361</c:v>
                </c:pt>
                <c:pt idx="14">
                  <c:v>9.27126766249949</c:v>
                </c:pt>
                <c:pt idx="15">
                  <c:v>9.08548708338167</c:v>
                </c:pt>
                <c:pt idx="16">
                  <c:v>3.86067194738948</c:v>
                </c:pt>
                <c:pt idx="17">
                  <c:v>354.499353538623</c:v>
                </c:pt>
                <c:pt idx="18">
                  <c:v>17.1506013362995</c:v>
                </c:pt>
                <c:pt idx="19">
                  <c:v>17.5627473108163</c:v>
                </c:pt>
                <c:pt idx="20">
                  <c:v>29.0924565946736</c:v>
                </c:pt>
                <c:pt idx="21">
                  <c:v>4.68644133631692</c:v>
                </c:pt>
                <c:pt idx="22">
                  <c:v>57.3354646504331</c:v>
                </c:pt>
                <c:pt idx="23">
                  <c:v>97.8678007905309</c:v>
                </c:pt>
                <c:pt idx="24">
                  <c:v>54.759833524411</c:v>
                </c:pt>
                <c:pt idx="25">
                  <c:v>99.8975993582069</c:v>
                </c:pt>
                <c:pt idx="26">
                  <c:v>48.9846707818248</c:v>
                </c:pt>
                <c:pt idx="27">
                  <c:v>50.6077758093399</c:v>
                </c:pt>
                <c:pt idx="28">
                  <c:v>181.939052074865</c:v>
                </c:pt>
                <c:pt idx="29">
                  <c:v>69.0428417133407</c:v>
                </c:pt>
                <c:pt idx="30">
                  <c:v>69.7065883672252</c:v>
                </c:pt>
                <c:pt idx="31">
                  <c:v>29.0251610343803</c:v>
                </c:pt>
                <c:pt idx="32">
                  <c:v>30.0520642983501</c:v>
                </c:pt>
                <c:pt idx="33">
                  <c:v>131.157615843054</c:v>
                </c:pt>
                <c:pt idx="34">
                  <c:v>43.2968932069873</c:v>
                </c:pt>
                <c:pt idx="35">
                  <c:v>64.1528973328695</c:v>
                </c:pt>
                <c:pt idx="36">
                  <c:v>40.9749582354826</c:v>
                </c:pt>
                <c:pt idx="37">
                  <c:v>32.0478963451122</c:v>
                </c:pt>
                <c:pt idx="38">
                  <c:v>38.4343007346128</c:v>
                </c:pt>
                <c:pt idx="39">
                  <c:v>30.7747023014864</c:v>
                </c:pt>
                <c:pt idx="40">
                  <c:v>32.159875215424</c:v>
                </c:pt>
                <c:pt idx="41">
                  <c:v>17.869208238031</c:v>
                </c:pt>
                <c:pt idx="42">
                  <c:v>12.149018985606</c:v>
                </c:pt>
                <c:pt idx="43">
                  <c:v>30.4406362286586</c:v>
                </c:pt>
                <c:pt idx="44">
                  <c:v>6.67754112661533</c:v>
                </c:pt>
                <c:pt idx="45">
                  <c:v>858.530043063024</c:v>
                </c:pt>
                <c:pt idx="46">
                  <c:v>571.740935491015</c:v>
                </c:pt>
                <c:pt idx="47">
                  <c:v>24.6420438051209</c:v>
                </c:pt>
                <c:pt idx="48">
                  <c:v>23.0739996274934</c:v>
                </c:pt>
                <c:pt idx="49">
                  <c:v>26.6349515388322</c:v>
                </c:pt>
                <c:pt idx="50">
                  <c:v>23.6904115142342</c:v>
                </c:pt>
                <c:pt idx="51">
                  <c:v>15.5829884442118</c:v>
                </c:pt>
                <c:pt idx="52">
                  <c:v>15.5304393374087</c:v>
                </c:pt>
                <c:pt idx="53">
                  <c:v>12.9452596490475</c:v>
                </c:pt>
                <c:pt idx="54">
                  <c:v>13.8266134454377</c:v>
                </c:pt>
                <c:pt idx="55">
                  <c:v>13.5572034802801</c:v>
                </c:pt>
                <c:pt idx="56">
                  <c:v>17.0376579857058</c:v>
                </c:pt>
                <c:pt idx="57">
                  <c:v>12.3072678204838</c:v>
                </c:pt>
                <c:pt idx="58">
                  <c:v>16.6684934782528</c:v>
                </c:pt>
                <c:pt idx="59">
                  <c:v>13.8879335889062</c:v>
                </c:pt>
                <c:pt idx="60">
                  <c:v>18.6020114376394</c:v>
                </c:pt>
                <c:pt idx="61">
                  <c:v>16.1906887423071</c:v>
                </c:pt>
                <c:pt idx="62">
                  <c:v>19.9746945835606</c:v>
                </c:pt>
                <c:pt idx="63">
                  <c:v>37.0352165921172</c:v>
                </c:pt>
                <c:pt idx="64">
                  <c:v>34.0753244730079</c:v>
                </c:pt>
                <c:pt idx="65">
                  <c:v>55.444923712212</c:v>
                </c:pt>
                <c:pt idx="66">
                  <c:v>32.6196151074485</c:v>
                </c:pt>
                <c:pt idx="67">
                  <c:v>73.1477259148072</c:v>
                </c:pt>
                <c:pt idx="68">
                  <c:v>49.0263599167785</c:v>
                </c:pt>
                <c:pt idx="69">
                  <c:v>34.1842813220638</c:v>
                </c:pt>
                <c:pt idx="70">
                  <c:v>45.7512450044818</c:v>
                </c:pt>
                <c:pt idx="71">
                  <c:v>47.2830231818111</c:v>
                </c:pt>
                <c:pt idx="72">
                  <c:v>45.8443161857168</c:v>
                </c:pt>
                <c:pt idx="73">
                  <c:v>64.987355172409</c:v>
                </c:pt>
                <c:pt idx="74">
                  <c:v>68.4627284988786</c:v>
                </c:pt>
                <c:pt idx="75">
                  <c:v>69.1265353349016</c:v>
                </c:pt>
                <c:pt idx="76">
                  <c:v>62.9209449284804</c:v>
                </c:pt>
                <c:pt idx="77">
                  <c:v>46.0150222639026</c:v>
                </c:pt>
                <c:pt idx="78">
                  <c:v>72.6567184524275</c:v>
                </c:pt>
                <c:pt idx="79">
                  <c:v>68.9477864182706</c:v>
                </c:pt>
                <c:pt idx="80">
                  <c:v>48.1166293082462</c:v>
                </c:pt>
                <c:pt idx="81">
                  <c:v>62.0419577538728</c:v>
                </c:pt>
                <c:pt idx="82">
                  <c:v>59.8381665890039</c:v>
                </c:pt>
                <c:pt idx="83">
                  <c:v>47.3636150846312</c:v>
                </c:pt>
                <c:pt idx="84">
                  <c:v>47.1910977027488</c:v>
                </c:pt>
                <c:pt idx="85">
                  <c:v>66.2254171305913</c:v>
                </c:pt>
                <c:pt idx="86">
                  <c:v>65.235457889892</c:v>
                </c:pt>
                <c:pt idx="87">
                  <c:v>76.444712506169</c:v>
                </c:pt>
                <c:pt idx="88">
                  <c:v>66.8708298533672</c:v>
                </c:pt>
                <c:pt idx="89">
                  <c:v>4.67332200319995</c:v>
                </c:pt>
                <c:pt idx="90">
                  <c:v>26.3266580613044</c:v>
                </c:pt>
                <c:pt idx="91">
                  <c:v>12.2958788861858</c:v>
                </c:pt>
                <c:pt idx="92">
                  <c:v>13.4218686186445</c:v>
                </c:pt>
                <c:pt idx="93">
                  <c:v>18.8914230753295</c:v>
                </c:pt>
              </c:numCache>
            </c:numRef>
          </c:xVal>
          <c:yVal>
            <c:numRef>
              <c:f>总表删错20231214!$BI$3:$BI$96</c:f>
              <c:numCache>
                <c:formatCode>0.00_);[Red]\(0.00\)</c:formatCode>
                <c:ptCount val="94"/>
                <c:pt idx="0">
                  <c:v>13.0038374750443</c:v>
                </c:pt>
                <c:pt idx="1">
                  <c:v>12.7786928448895</c:v>
                </c:pt>
                <c:pt idx="2">
                  <c:v>14.0808014396069</c:v>
                </c:pt>
                <c:pt idx="3">
                  <c:v>12.210994295573</c:v>
                </c:pt>
                <c:pt idx="4">
                  <c:v>11.5555734771215</c:v>
                </c:pt>
                <c:pt idx="5">
                  <c:v>11.446417879924</c:v>
                </c:pt>
                <c:pt idx="6">
                  <c:v>10.3895020738279</c:v>
                </c:pt>
                <c:pt idx="7">
                  <c:v>11.7395834066014</c:v>
                </c:pt>
                <c:pt idx="8">
                  <c:v>10.6594858275839</c:v>
                </c:pt>
                <c:pt idx="9">
                  <c:v>11.0158449158309</c:v>
                </c:pt>
                <c:pt idx="10">
                  <c:v>11.1767721794378</c:v>
                </c:pt>
                <c:pt idx="11">
                  <c:v>7.96547386054966</c:v>
                </c:pt>
                <c:pt idx="12">
                  <c:v>7.92278415707108</c:v>
                </c:pt>
                <c:pt idx="13">
                  <c:v>7.94225500423038</c:v>
                </c:pt>
                <c:pt idx="14">
                  <c:v>8.01343764411708</c:v>
                </c:pt>
                <c:pt idx="15">
                  <c:v>7.9913787737924</c:v>
                </c:pt>
                <c:pt idx="16">
                  <c:v>15.4105966287033</c:v>
                </c:pt>
                <c:pt idx="17">
                  <c:v>15.1758288164133</c:v>
                </c:pt>
                <c:pt idx="18">
                  <c:v>17.485387787461</c:v>
                </c:pt>
                <c:pt idx="19">
                  <c:v>19.04992128524</c:v>
                </c:pt>
                <c:pt idx="20">
                  <c:v>21.2317245278119</c:v>
                </c:pt>
                <c:pt idx="21">
                  <c:v>14.6170217362662</c:v>
                </c:pt>
                <c:pt idx="22">
                  <c:v>20.9768671901547</c:v>
                </c:pt>
                <c:pt idx="23">
                  <c:v>21.739056847472</c:v>
                </c:pt>
                <c:pt idx="24">
                  <c:v>22.0107670668086</c:v>
                </c:pt>
                <c:pt idx="25">
                  <c:v>20.2411763497563</c:v>
                </c:pt>
                <c:pt idx="26">
                  <c:v>20.1248910404598</c:v>
                </c:pt>
                <c:pt idx="27">
                  <c:v>18.9315874067329</c:v>
                </c:pt>
                <c:pt idx="28">
                  <c:v>18.6068148363655</c:v>
                </c:pt>
                <c:pt idx="29">
                  <c:v>18.9120695710865</c:v>
                </c:pt>
                <c:pt idx="30">
                  <c:v>18.5539355971497</c:v>
                </c:pt>
                <c:pt idx="31">
                  <c:v>22.5260491804861</c:v>
                </c:pt>
                <c:pt idx="32">
                  <c:v>21.3269340611936</c:v>
                </c:pt>
                <c:pt idx="33">
                  <c:v>21.0472553700763</c:v>
                </c:pt>
                <c:pt idx="34">
                  <c:v>21.3289240985189</c:v>
                </c:pt>
                <c:pt idx="35">
                  <c:v>21.2309793596639</c:v>
                </c:pt>
                <c:pt idx="36">
                  <c:v>20.1513173549399</c:v>
                </c:pt>
                <c:pt idx="37">
                  <c:v>20.6696089054503</c:v>
                </c:pt>
                <c:pt idx="38">
                  <c:v>20.2432121423266</c:v>
                </c:pt>
                <c:pt idx="39">
                  <c:v>19.7406735537538</c:v>
                </c:pt>
                <c:pt idx="40">
                  <c:v>20.2740605711566</c:v>
                </c:pt>
                <c:pt idx="41">
                  <c:v>18.0066471210692</c:v>
                </c:pt>
                <c:pt idx="42">
                  <c:v>20.0043342973602</c:v>
                </c:pt>
                <c:pt idx="43">
                  <c:v>20.5418938602528</c:v>
                </c:pt>
                <c:pt idx="44">
                  <c:v>20.2338568238427</c:v>
                </c:pt>
                <c:pt idx="45">
                  <c:v>14.4478431104868</c:v>
                </c:pt>
                <c:pt idx="46">
                  <c:v>13.3630717067762</c:v>
                </c:pt>
                <c:pt idx="47">
                  <c:v>14.5815390247666</c:v>
                </c:pt>
                <c:pt idx="48">
                  <c:v>13.7073547558095</c:v>
                </c:pt>
                <c:pt idx="49">
                  <c:v>14.6431146614905</c:v>
                </c:pt>
                <c:pt idx="50">
                  <c:v>13.8202596232945</c:v>
                </c:pt>
                <c:pt idx="51">
                  <c:v>13.6796636354365</c:v>
                </c:pt>
                <c:pt idx="52">
                  <c:v>14.6261804962725</c:v>
                </c:pt>
                <c:pt idx="53">
                  <c:v>14.7359858292404</c:v>
                </c:pt>
                <c:pt idx="54">
                  <c:v>16.2786640583898</c:v>
                </c:pt>
                <c:pt idx="55">
                  <c:v>16.1150245751171</c:v>
                </c:pt>
                <c:pt idx="56">
                  <c:v>15.8535531650494</c:v>
                </c:pt>
                <c:pt idx="57">
                  <c:v>15.5288457184985</c:v>
                </c:pt>
                <c:pt idx="58">
                  <c:v>15.5657568976972</c:v>
                </c:pt>
                <c:pt idx="59">
                  <c:v>14.4255173198045</c:v>
                </c:pt>
                <c:pt idx="60">
                  <c:v>13.9062202752466</c:v>
                </c:pt>
                <c:pt idx="61">
                  <c:v>14.3944220470575</c:v>
                </c:pt>
                <c:pt idx="62">
                  <c:v>14.4675912209096</c:v>
                </c:pt>
                <c:pt idx="63">
                  <c:v>14.377423106728</c:v>
                </c:pt>
                <c:pt idx="64">
                  <c:v>22.9384750076089</c:v>
                </c:pt>
                <c:pt idx="65">
                  <c:v>22.4843188278011</c:v>
                </c:pt>
                <c:pt idx="66">
                  <c:v>23.8284349216563</c:v>
                </c:pt>
                <c:pt idx="67">
                  <c:v>24.2374460017835</c:v>
                </c:pt>
                <c:pt idx="68">
                  <c:v>22.0985356671708</c:v>
                </c:pt>
                <c:pt idx="69">
                  <c:v>24.0737750567254</c:v>
                </c:pt>
                <c:pt idx="70">
                  <c:v>23.3956623331909</c:v>
                </c:pt>
                <c:pt idx="71">
                  <c:v>23.6149401283453</c:v>
                </c:pt>
                <c:pt idx="72">
                  <c:v>21.9979836539747</c:v>
                </c:pt>
                <c:pt idx="73">
                  <c:v>22.3061694215543</c:v>
                </c:pt>
                <c:pt idx="74">
                  <c:v>22.6057190382596</c:v>
                </c:pt>
                <c:pt idx="75">
                  <c:v>21.6920522967825</c:v>
                </c:pt>
                <c:pt idx="76">
                  <c:v>19.9993741078899</c:v>
                </c:pt>
                <c:pt idx="77">
                  <c:v>25.415749094847</c:v>
                </c:pt>
                <c:pt idx="78">
                  <c:v>25.8150484747713</c:v>
                </c:pt>
                <c:pt idx="79">
                  <c:v>24.7299402759137</c:v>
                </c:pt>
                <c:pt idx="80">
                  <c:v>19.2938345862225</c:v>
                </c:pt>
                <c:pt idx="81">
                  <c:v>23.0750195167554</c:v>
                </c:pt>
                <c:pt idx="82">
                  <c:v>22.9527856030973</c:v>
                </c:pt>
                <c:pt idx="83">
                  <c:v>16.2361036880736</c:v>
                </c:pt>
                <c:pt idx="84">
                  <c:v>20.7688671715708</c:v>
                </c:pt>
                <c:pt idx="85">
                  <c:v>23.9563886909058</c:v>
                </c:pt>
                <c:pt idx="86">
                  <c:v>24.1482195532334</c:v>
                </c:pt>
                <c:pt idx="87">
                  <c:v>24.1439632809458</c:v>
                </c:pt>
                <c:pt idx="88">
                  <c:v>23.0570955540136</c:v>
                </c:pt>
                <c:pt idx="89">
                  <c:v>17.3482149576329</c:v>
                </c:pt>
                <c:pt idx="90">
                  <c:v>19.609914003071</c:v>
                </c:pt>
                <c:pt idx="91">
                  <c:v>20.7031703698357</c:v>
                </c:pt>
                <c:pt idx="92">
                  <c:v>19.4489346447666</c:v>
                </c:pt>
                <c:pt idx="93">
                  <c:v>20.2355683803051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总表删错20231214!$AB$97:$AB$110</c:f>
              <c:numCache>
                <c:formatCode>0.000_ </c:formatCode>
                <c:ptCount val="14"/>
                <c:pt idx="0">
                  <c:v>14.4789652575441</c:v>
                </c:pt>
                <c:pt idx="1">
                  <c:v>14.3891486459918</c:v>
                </c:pt>
                <c:pt idx="2">
                  <c:v>15.2946148145581</c:v>
                </c:pt>
                <c:pt idx="3">
                  <c:v>15.3127682605018</c:v>
                </c:pt>
                <c:pt idx="4">
                  <c:v>15.6368819536553</c:v>
                </c:pt>
                <c:pt idx="5">
                  <c:v>15.0461204276626</c:v>
                </c:pt>
                <c:pt idx="6">
                  <c:v>11.198693617463</c:v>
                </c:pt>
                <c:pt idx="7">
                  <c:v>10.0145948528705</c:v>
                </c:pt>
                <c:pt idx="8">
                  <c:v>635.112698555686</c:v>
                </c:pt>
                <c:pt idx="9">
                  <c:v>17.6762620221036</c:v>
                </c:pt>
                <c:pt idx="10">
                  <c:v>66.5084317002728</c:v>
                </c:pt>
                <c:pt idx="11">
                  <c:v>62.8297848137785</c:v>
                </c:pt>
                <c:pt idx="12">
                  <c:v>67.7240322972302</c:v>
                </c:pt>
                <c:pt idx="13">
                  <c:v>17.8943470098128</c:v>
                </c:pt>
              </c:numCache>
            </c:numRef>
          </c:xVal>
          <c:yVal>
            <c:numRef>
              <c:f>总表删错20231214!$BI$97:$BI$110</c:f>
              <c:numCache>
                <c:formatCode>0.00_);[Red]\(0.00\)</c:formatCode>
                <c:ptCount val="14"/>
                <c:pt idx="0">
                  <c:v>8.29634197861734</c:v>
                </c:pt>
                <c:pt idx="1">
                  <c:v>8.55100193998951</c:v>
                </c:pt>
                <c:pt idx="2">
                  <c:v>8.40575798299154</c:v>
                </c:pt>
                <c:pt idx="3">
                  <c:v>8.38061226671634</c:v>
                </c:pt>
                <c:pt idx="4">
                  <c:v>8.74446596208902</c:v>
                </c:pt>
                <c:pt idx="5">
                  <c:v>8.26828930282435</c:v>
                </c:pt>
                <c:pt idx="6">
                  <c:v>7.7107864338217</c:v>
                </c:pt>
                <c:pt idx="7">
                  <c:v>7.94029589436695</c:v>
                </c:pt>
                <c:pt idx="8">
                  <c:v>16.7615096252955</c:v>
                </c:pt>
                <c:pt idx="9">
                  <c:v>21.7180554327185</c:v>
                </c:pt>
                <c:pt idx="10">
                  <c:v>18.7290382359611</c:v>
                </c:pt>
                <c:pt idx="11">
                  <c:v>24.4459548436799</c:v>
                </c:pt>
                <c:pt idx="12">
                  <c:v>24.0145318486794</c:v>
                </c:pt>
                <c:pt idx="13">
                  <c:v>22.3720638381583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总表删错20231214!$AB$111:$AB$143</c:f>
              <c:numCache>
                <c:formatCode>0.000_ </c:formatCode>
                <c:ptCount val="33"/>
                <c:pt idx="0">
                  <c:v>1.46574506865045</c:v>
                </c:pt>
                <c:pt idx="1">
                  <c:v>2.14842016517725</c:v>
                </c:pt>
                <c:pt idx="2">
                  <c:v>2.06594319667637</c:v>
                </c:pt>
                <c:pt idx="3">
                  <c:v>2.00088212001439</c:v>
                </c:pt>
                <c:pt idx="4">
                  <c:v>2.53455021287435</c:v>
                </c:pt>
                <c:pt idx="5">
                  <c:v>3.38165373458118</c:v>
                </c:pt>
                <c:pt idx="6">
                  <c:v>6.55022922572627</c:v>
                </c:pt>
                <c:pt idx="7">
                  <c:v>6.19201199107086</c:v>
                </c:pt>
                <c:pt idx="8">
                  <c:v>2.57098130705514</c:v>
                </c:pt>
                <c:pt idx="9">
                  <c:v>6.44844743369992</c:v>
                </c:pt>
                <c:pt idx="10">
                  <c:v>11.1692033723287</c:v>
                </c:pt>
                <c:pt idx="11">
                  <c:v>14.3635317606801</c:v>
                </c:pt>
                <c:pt idx="12">
                  <c:v>11.7743348628131</c:v>
                </c:pt>
                <c:pt idx="13">
                  <c:v>11.9354918465566</c:v>
                </c:pt>
                <c:pt idx="14">
                  <c:v>7.57333273586413</c:v>
                </c:pt>
                <c:pt idx="15">
                  <c:v>7.3628658312843</c:v>
                </c:pt>
                <c:pt idx="16">
                  <c:v>8.57526122054116</c:v>
                </c:pt>
                <c:pt idx="17">
                  <c:v>10.1319280992112</c:v>
                </c:pt>
                <c:pt idx="18">
                  <c:v>9.89573164790353</c:v>
                </c:pt>
                <c:pt idx="19">
                  <c:v>8.82620931709272</c:v>
                </c:pt>
                <c:pt idx="20">
                  <c:v>7.4685765857068</c:v>
                </c:pt>
                <c:pt idx="21">
                  <c:v>6.88423933298256</c:v>
                </c:pt>
                <c:pt idx="22">
                  <c:v>10.3023808355658</c:v>
                </c:pt>
                <c:pt idx="23">
                  <c:v>15.5148094154257</c:v>
                </c:pt>
                <c:pt idx="24">
                  <c:v>5.0898037752343</c:v>
                </c:pt>
                <c:pt idx="25">
                  <c:v>4.25837465938043</c:v>
                </c:pt>
                <c:pt idx="26">
                  <c:v>9.03118301341914</c:v>
                </c:pt>
                <c:pt idx="27">
                  <c:v>13.461670782126</c:v>
                </c:pt>
                <c:pt idx="28">
                  <c:v>14.5158445484009</c:v>
                </c:pt>
                <c:pt idx="29">
                  <c:v>25.7068249437963</c:v>
                </c:pt>
                <c:pt idx="30">
                  <c:v>23.3386904345037</c:v>
                </c:pt>
                <c:pt idx="31">
                  <c:v>14.711417622086</c:v>
                </c:pt>
                <c:pt idx="32">
                  <c:v>15.2230878931005</c:v>
                </c:pt>
              </c:numCache>
            </c:numRef>
          </c:xVal>
          <c:yVal>
            <c:numRef>
              <c:f>总表删错20231214!$BI$111:$BI$143</c:f>
              <c:numCache>
                <c:formatCode>0.00_);[Red]\(0.00\)</c:formatCode>
                <c:ptCount val="33"/>
                <c:pt idx="0">
                  <c:v>10.1621251335795</c:v>
                </c:pt>
                <c:pt idx="1">
                  <c:v>10.2458937621499</c:v>
                </c:pt>
                <c:pt idx="2">
                  <c:v>10.3275462662071</c:v>
                </c:pt>
                <c:pt idx="3">
                  <c:v>10.3984117922045</c:v>
                </c:pt>
                <c:pt idx="4">
                  <c:v>10.6782560003161</c:v>
                </c:pt>
                <c:pt idx="5">
                  <c:v>7.60717257697805</c:v>
                </c:pt>
                <c:pt idx="6">
                  <c:v>8.01142354180044</c:v>
                </c:pt>
                <c:pt idx="7">
                  <c:v>7.97242721983301</c:v>
                </c:pt>
                <c:pt idx="8">
                  <c:v>8.10193874398218</c:v>
                </c:pt>
                <c:pt idx="9">
                  <c:v>8.16620975550872</c:v>
                </c:pt>
                <c:pt idx="10">
                  <c:v>7.68656879324806</c:v>
                </c:pt>
                <c:pt idx="11">
                  <c:v>8.48762557096389</c:v>
                </c:pt>
                <c:pt idx="12">
                  <c:v>8.09295032322438</c:v>
                </c:pt>
                <c:pt idx="13">
                  <c:v>8.02354303042767</c:v>
                </c:pt>
                <c:pt idx="14">
                  <c:v>7.95152881450192</c:v>
                </c:pt>
                <c:pt idx="15">
                  <c:v>7.27885461964186</c:v>
                </c:pt>
                <c:pt idx="16">
                  <c:v>8.1332830393297</c:v>
                </c:pt>
                <c:pt idx="17">
                  <c:v>7.90686599342093</c:v>
                </c:pt>
                <c:pt idx="18">
                  <c:v>7.38363085476256</c:v>
                </c:pt>
                <c:pt idx="19">
                  <c:v>12.9259249826349</c:v>
                </c:pt>
                <c:pt idx="20">
                  <c:v>14.0093419874348</c:v>
                </c:pt>
                <c:pt idx="21">
                  <c:v>13.2865717457254</c:v>
                </c:pt>
                <c:pt idx="22">
                  <c:v>20.0376852683025</c:v>
                </c:pt>
                <c:pt idx="23">
                  <c:v>20.2533255387864</c:v>
                </c:pt>
                <c:pt idx="24">
                  <c:v>18.1441968379071</c:v>
                </c:pt>
                <c:pt idx="25">
                  <c:v>16.2189085527437</c:v>
                </c:pt>
                <c:pt idx="26">
                  <c:v>18.7408811533329</c:v>
                </c:pt>
                <c:pt idx="27">
                  <c:v>18.6200384241154</c:v>
                </c:pt>
                <c:pt idx="28">
                  <c:v>18.8121563070424</c:v>
                </c:pt>
                <c:pt idx="29">
                  <c:v>22.7279604347799</c:v>
                </c:pt>
                <c:pt idx="30">
                  <c:v>21.9881050450213</c:v>
                </c:pt>
                <c:pt idx="31">
                  <c:v>20.0198631199595</c:v>
                </c:pt>
                <c:pt idx="32">
                  <c:v>22.6709896451711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8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/>
                  <a:t>We</a:t>
                </a:r>
                <a:r>
                  <a:rPr lang="en-US" altLang="zh-CN" sz="900"/>
                  <a:t>D</a:t>
                </a:r>
                <a:endParaRPr lang="en-US" altLang="zh-CN" sz="9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Oh*R^2/epsilon^2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22051708096182"/>
              <c:y val="0.3595502073646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1ef3fe-f383-4fea-89cc-d6b005b91c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46895004738644"/>
          <c:y val="0.0603901289364317"/>
          <c:w val="0.85376375008987"/>
          <c:h val="0.835786778824175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总表删错20231214!$BK$3:$BK$96</c:f>
              <c:numCache>
                <c:formatCode>0.00_ </c:formatCode>
                <c:ptCount val="94"/>
                <c:pt idx="0">
                  <c:v>1.00803635860028</c:v>
                </c:pt>
                <c:pt idx="1">
                  <c:v>0.920431980723164</c:v>
                </c:pt>
                <c:pt idx="2">
                  <c:v>0.447070892913817</c:v>
                </c:pt>
                <c:pt idx="3">
                  <c:v>0.967500992786117</c:v>
                </c:pt>
                <c:pt idx="4">
                  <c:v>0.710428348285303</c:v>
                </c:pt>
                <c:pt idx="5">
                  <c:v>0.478735225479552</c:v>
                </c:pt>
                <c:pt idx="6">
                  <c:v>0.891167986367464</c:v>
                </c:pt>
                <c:pt idx="7">
                  <c:v>0.672739903398953</c:v>
                </c:pt>
                <c:pt idx="8">
                  <c:v>0.552571023660354</c:v>
                </c:pt>
                <c:pt idx="9">
                  <c:v>0.513623413989007</c:v>
                </c:pt>
                <c:pt idx="10">
                  <c:v>0.148826014048778</c:v>
                </c:pt>
                <c:pt idx="11">
                  <c:v>0.590261121558533</c:v>
                </c:pt>
                <c:pt idx="12">
                  <c:v>0.920366440199168</c:v>
                </c:pt>
                <c:pt idx="13">
                  <c:v>0.9910119547906</c:v>
                </c:pt>
                <c:pt idx="14">
                  <c:v>1.25905546576412</c:v>
                </c:pt>
                <c:pt idx="15">
                  <c:v>1.28614409958902</c:v>
                </c:pt>
                <c:pt idx="16">
                  <c:v>1.82445685096608</c:v>
                </c:pt>
                <c:pt idx="17">
                  <c:v>0.0203239562856733</c:v>
                </c:pt>
                <c:pt idx="18">
                  <c:v>0.325599345150788</c:v>
                </c:pt>
                <c:pt idx="19">
                  <c:v>0.253062430903958</c:v>
                </c:pt>
                <c:pt idx="20">
                  <c:v>0.0963321629630593</c:v>
                </c:pt>
                <c:pt idx="21">
                  <c:v>1.61853614088313</c:v>
                </c:pt>
                <c:pt idx="22">
                  <c:v>0.0522776917738576</c:v>
                </c:pt>
                <c:pt idx="23">
                  <c:v>0.0246494602155762</c:v>
                </c:pt>
                <c:pt idx="24">
                  <c:v>0.0402152569259943</c:v>
                </c:pt>
                <c:pt idx="25">
                  <c:v>0.0355897112855961</c:v>
                </c:pt>
                <c:pt idx="26">
                  <c:v>0.0743683406141724</c:v>
                </c:pt>
                <c:pt idx="27">
                  <c:v>0.0895476162777507</c:v>
                </c:pt>
                <c:pt idx="28">
                  <c:v>0.0262206588895649</c:v>
                </c:pt>
                <c:pt idx="29">
                  <c:v>0.0658459720874775</c:v>
                </c:pt>
                <c:pt idx="30">
                  <c:v>0.0689935534315099</c:v>
                </c:pt>
                <c:pt idx="31">
                  <c:v>0.0620551175622284</c:v>
                </c:pt>
                <c:pt idx="32">
                  <c:v>0.0908275476341337</c:v>
                </c:pt>
                <c:pt idx="33">
                  <c:v>0.0224434982611982</c:v>
                </c:pt>
                <c:pt idx="34">
                  <c:v>0.0630074920539986</c:v>
                </c:pt>
                <c:pt idx="35">
                  <c:v>0.0436942082735565</c:v>
                </c:pt>
                <c:pt idx="36">
                  <c:v>0.0884203486920748</c:v>
                </c:pt>
                <c:pt idx="37">
                  <c:v>0.100824177137268</c:v>
                </c:pt>
                <c:pt idx="38">
                  <c:v>0.092464071613352</c:v>
                </c:pt>
                <c:pt idx="39">
                  <c:v>0.127737571800584</c:v>
                </c:pt>
                <c:pt idx="40">
                  <c:v>0.109780557008026</c:v>
                </c:pt>
                <c:pt idx="41">
                  <c:v>0.291457637665363</c:v>
                </c:pt>
                <c:pt idx="42">
                  <c:v>0.307311216330137</c:v>
                </c:pt>
                <c:pt idx="43">
                  <c:v>0.109329518974099</c:v>
                </c:pt>
                <c:pt idx="44">
                  <c:v>0.533256840547012</c:v>
                </c:pt>
                <c:pt idx="45">
                  <c:v>0.00896809592579704</c:v>
                </c:pt>
                <c:pt idx="46">
                  <c:v>0.0147285862376916</c:v>
                </c:pt>
                <c:pt idx="47">
                  <c:v>0.308787869408478</c:v>
                </c:pt>
                <c:pt idx="48">
                  <c:v>0.355116967024181</c:v>
                </c:pt>
                <c:pt idx="49">
                  <c:v>0.284119950001778</c:v>
                </c:pt>
                <c:pt idx="50">
                  <c:v>0.342717545989509</c:v>
                </c:pt>
                <c:pt idx="51">
                  <c:v>0.527003856065431</c:v>
                </c:pt>
                <c:pt idx="52">
                  <c:v>0.488008046898604</c:v>
                </c:pt>
                <c:pt idx="53">
                  <c:v>0.579718201720683</c:v>
                </c:pt>
                <c:pt idx="54">
                  <c:v>0.465805987919078</c:v>
                </c:pt>
                <c:pt idx="55">
                  <c:v>0.483510557653127</c:v>
                </c:pt>
                <c:pt idx="56">
                  <c:v>0.395432938157539</c:v>
                </c:pt>
                <c:pt idx="57">
                  <c:v>0.565692086890876</c:v>
                </c:pt>
                <c:pt idx="58">
                  <c:v>0.416152776125451</c:v>
                </c:pt>
                <c:pt idx="59">
                  <c:v>0.555476287657148</c:v>
                </c:pt>
                <c:pt idx="60">
                  <c:v>0.433393782228681</c:v>
                </c:pt>
                <c:pt idx="61">
                  <c:v>0.477765330051394</c:v>
                </c:pt>
                <c:pt idx="62">
                  <c:v>0.384790442269139</c:v>
                </c:pt>
                <c:pt idx="63">
                  <c:v>0.209173511789317</c:v>
                </c:pt>
                <c:pt idx="64">
                  <c:v>0.0433737109501627</c:v>
                </c:pt>
                <c:pt idx="65">
                  <c:v>0.033073388581869</c:v>
                </c:pt>
                <c:pt idx="66">
                  <c:v>0.0237277655153616</c:v>
                </c:pt>
                <c:pt idx="67">
                  <c:v>0.0061174824559409</c:v>
                </c:pt>
                <c:pt idx="68">
                  <c:v>0.0435295082526308</c:v>
                </c:pt>
                <c:pt idx="69">
                  <c:v>0.0169188727846536</c:v>
                </c:pt>
                <c:pt idx="70">
                  <c:v>0.02442427581893</c:v>
                </c:pt>
                <c:pt idx="71">
                  <c:v>0.0199581851398608</c:v>
                </c:pt>
                <c:pt idx="72">
                  <c:v>0.0482522216192498</c:v>
                </c:pt>
                <c:pt idx="73">
                  <c:v>0.0303545289352154</c:v>
                </c:pt>
                <c:pt idx="74">
                  <c:v>0.0253989456772323</c:v>
                </c:pt>
                <c:pt idx="75">
                  <c:v>0.0354229369450283</c:v>
                </c:pt>
                <c:pt idx="76">
                  <c:v>0.0593960315318653</c:v>
                </c:pt>
                <c:pt idx="77">
                  <c:v>-0.0109393893287497</c:v>
                </c:pt>
                <c:pt idx="78">
                  <c:v>-0.01140957559393</c:v>
                </c:pt>
                <c:pt idx="79">
                  <c:v>0.000752495740780611</c:v>
                </c:pt>
                <c:pt idx="80">
                  <c:v>0.0886156312954712</c:v>
                </c:pt>
                <c:pt idx="81">
                  <c:v>0.0220906081357031</c:v>
                </c:pt>
                <c:pt idx="82">
                  <c:v>0.0245115154814268</c:v>
                </c:pt>
                <c:pt idx="83">
                  <c:v>0.136610022821139</c:v>
                </c:pt>
                <c:pt idx="84">
                  <c:v>0.0668725431585068</c:v>
                </c:pt>
                <c:pt idx="85">
                  <c:v>0.0101478443474987</c:v>
                </c:pt>
                <c:pt idx="86">
                  <c:v>0.00795375069196308</c:v>
                </c:pt>
                <c:pt idx="87">
                  <c:v>0.00683199185921038</c:v>
                </c:pt>
                <c:pt idx="88">
                  <c:v>0.0207064675614212</c:v>
                </c:pt>
                <c:pt idx="89">
                  <c:v>1.21596255187162</c:v>
                </c:pt>
                <c:pt idx="90">
                  <c:v>0.153028778157036</c:v>
                </c:pt>
                <c:pt idx="91">
                  <c:v>0.26071475543719</c:v>
                </c:pt>
                <c:pt idx="92">
                  <c:v>0.309096829012948</c:v>
                </c:pt>
                <c:pt idx="93">
                  <c:v>0.188421713198138</c:v>
                </c:pt>
              </c:numCache>
            </c:numRef>
          </c:xVal>
          <c:yVal>
            <c:numRef>
              <c:f>总表删错20231214!$BJ$3:$BJ$96</c:f>
              <c:numCache>
                <c:formatCode>0.00_);[Red]\(0.00\)</c:formatCode>
                <c:ptCount val="94"/>
                <c:pt idx="0">
                  <c:v>4.28342399678021</c:v>
                </c:pt>
                <c:pt idx="1">
                  <c:v>3.77968341194331</c:v>
                </c:pt>
                <c:pt idx="2">
                  <c:v>2.24089246603864</c:v>
                </c:pt>
                <c:pt idx="3">
                  <c:v>3.64553822812582</c:v>
                </c:pt>
                <c:pt idx="4">
                  <c:v>2.42380645974551</c:v>
                </c:pt>
                <c:pt idx="5">
                  <c:v>1.60646835861388</c:v>
                </c:pt>
                <c:pt idx="6">
                  <c:v>2.54335536602606</c:v>
                </c:pt>
                <c:pt idx="7">
                  <c:v>2.36019904870494</c:v>
                </c:pt>
                <c:pt idx="8">
                  <c:v>1.64412876596047</c:v>
                </c:pt>
                <c:pt idx="9">
                  <c:v>1.61408392936931</c:v>
                </c:pt>
                <c:pt idx="10">
                  <c:v>0.479324862305828</c:v>
                </c:pt>
                <c:pt idx="11">
                  <c:v>1.13666133052709</c:v>
                </c:pt>
                <c:pt idx="12">
                  <c:v>1.75930076601661</c:v>
                </c:pt>
                <c:pt idx="13">
                  <c:v>1.90073836866909</c:v>
                </c:pt>
                <c:pt idx="14">
                  <c:v>2.44469529088889</c:v>
                </c:pt>
                <c:pt idx="15">
                  <c:v>2.48781735976035</c:v>
                </c:pt>
                <c:pt idx="16">
                  <c:v>11.2901976928187</c:v>
                </c:pt>
                <c:pt idx="17">
                  <c:v>0.121082663300743</c:v>
                </c:pt>
                <c:pt idx="18">
                  <c:v>2.88363912932229</c:v>
                </c:pt>
                <c:pt idx="19">
                  <c:v>3.0679319774913</c:v>
                </c:pt>
                <c:pt idx="20">
                  <c:v>2.06419094806166</c:v>
                </c:pt>
                <c:pt idx="21">
                  <c:v>8.82187096667077</c:v>
                </c:pt>
                <c:pt idx="22">
                  <c:v>1.03481397621121</c:v>
                </c:pt>
                <c:pt idx="23">
                  <c:v>0.628269334317546</c:v>
                </c:pt>
                <c:pt idx="24">
                  <c:v>1.13688896772265</c:v>
                </c:pt>
                <c:pt idx="25">
                  <c:v>0.573093773946815</c:v>
                </c:pt>
                <c:pt idx="26">
                  <c:v>1.16203266844285</c:v>
                </c:pt>
                <c:pt idx="27">
                  <c:v>1.05807090865717</c:v>
                </c:pt>
                <c:pt idx="28">
                  <c:v>0.289261811513948</c:v>
                </c:pt>
                <c:pt idx="29">
                  <c:v>0.774756792051511</c:v>
                </c:pt>
                <c:pt idx="30">
                  <c:v>0.752847843267089</c:v>
                </c:pt>
                <c:pt idx="31">
                  <c:v>2.19510542732166</c:v>
                </c:pt>
                <c:pt idx="32">
                  <c:v>2.0072391096829</c:v>
                </c:pt>
                <c:pt idx="33">
                  <c:v>0.453886170524932</c:v>
                </c:pt>
                <c:pt idx="34">
                  <c:v>1.39334032983614</c:v>
                </c:pt>
                <c:pt idx="35">
                  <c:v>0.936049350884616</c:v>
                </c:pt>
                <c:pt idx="36">
                  <c:v>1.39100892497614</c:v>
                </c:pt>
                <c:pt idx="37">
                  <c:v>1.82422215350767</c:v>
                </c:pt>
                <c:pt idx="38">
                  <c:v>1.48972270136255</c:v>
                </c:pt>
                <c:pt idx="39">
                  <c:v>1.81431670705391</c:v>
                </c:pt>
                <c:pt idx="40">
                  <c:v>1.78308225588837</c:v>
                </c:pt>
                <c:pt idx="41">
                  <c:v>2.85018163449288</c:v>
                </c:pt>
                <c:pt idx="42">
                  <c:v>4.65723214410812</c:v>
                </c:pt>
                <c:pt idx="43">
                  <c:v>1.90867396303945</c:v>
                </c:pt>
                <c:pt idx="44">
                  <c:v>8.57051845786175</c:v>
                </c:pt>
                <c:pt idx="45">
                  <c:v>0.0475984174088808</c:v>
                </c:pt>
                <c:pt idx="46">
                  <c:v>0.0661076934309668</c:v>
                </c:pt>
                <c:pt idx="47">
                  <c:v>1.67367694109952</c:v>
                </c:pt>
                <c:pt idx="48">
                  <c:v>1.68025719969477</c:v>
                </c:pt>
                <c:pt idx="49">
                  <c:v>1.55498622323171</c:v>
                </c:pt>
                <c:pt idx="50">
                  <c:v>1.65001765233474</c:v>
                </c:pt>
                <c:pt idx="51">
                  <c:v>2.4829596596566</c:v>
                </c:pt>
                <c:pt idx="52">
                  <c:v>2.66374213557783</c:v>
                </c:pt>
                <c:pt idx="53">
                  <c:v>3.21968528706688</c:v>
                </c:pt>
                <c:pt idx="54">
                  <c:v>3.33002836588109</c:v>
                </c:pt>
                <c:pt idx="55">
                  <c:v>3.36206303095711</c:v>
                </c:pt>
                <c:pt idx="56">
                  <c:v>2.63185349965656</c:v>
                </c:pt>
                <c:pt idx="57">
                  <c:v>3.56880252277417</c:v>
                </c:pt>
                <c:pt idx="58">
                  <c:v>2.64130703138187</c:v>
                </c:pt>
                <c:pt idx="59">
                  <c:v>2.93791183653294</c:v>
                </c:pt>
                <c:pt idx="60">
                  <c:v>2.11443427830696</c:v>
                </c:pt>
                <c:pt idx="61">
                  <c:v>2.5146288963332</c:v>
                </c:pt>
                <c:pt idx="62">
                  <c:v>2.04861842907168</c:v>
                </c:pt>
                <c:pt idx="63">
                  <c:v>1.09802229447951</c:v>
                </c:pt>
                <c:pt idx="64">
                  <c:v>1.90401136057345</c:v>
                </c:pt>
                <c:pt idx="65">
                  <c:v>1.14699873308667</c:v>
                </c:pt>
                <c:pt idx="66">
                  <c:v>2.17346398467559</c:v>
                </c:pt>
                <c:pt idx="67">
                  <c:v>0.985874849900019</c:v>
                </c:pt>
                <c:pt idx="68">
                  <c:v>1.41264042579753</c:v>
                </c:pt>
                <c:pt idx="69">
                  <c:v>2.20706705073494</c:v>
                </c:pt>
                <c:pt idx="70">
                  <c:v>1.6026187176651</c:v>
                </c:pt>
                <c:pt idx="71">
                  <c:v>1.65098504815571</c:v>
                </c:pt>
                <c:pt idx="72">
                  <c:v>1.58620350007344</c:v>
                </c:pt>
                <c:pt idx="73">
                  <c:v>1.19854986820183</c:v>
                </c:pt>
                <c:pt idx="74">
                  <c:v>1.15298616666883</c:v>
                </c:pt>
                <c:pt idx="75">
                  <c:v>1.15927038102902</c:v>
                </c:pt>
                <c:pt idx="76">
                  <c:v>1.17422157481672</c:v>
                </c:pt>
                <c:pt idx="77">
                  <c:v>2.04047916879656</c:v>
                </c:pt>
                <c:pt idx="78">
                  <c:v>1.39092690526167</c:v>
                </c:pt>
                <c:pt idx="79">
                  <c:v>1.40413828838579</c:v>
                </c:pt>
                <c:pt idx="80">
                  <c:v>1.5697500175505</c:v>
                </c:pt>
                <c:pt idx="81">
                  <c:v>1.54558779555306</c:v>
                </c:pt>
                <c:pt idx="82">
                  <c:v>1.5940216583112</c:v>
                </c:pt>
                <c:pt idx="83">
                  <c:v>1.42453810126313</c:v>
                </c:pt>
                <c:pt idx="84">
                  <c:v>1.94499168400952</c:v>
                </c:pt>
                <c:pt idx="85">
                  <c:v>1.59868046420497</c:v>
                </c:pt>
                <c:pt idx="86">
                  <c:v>1.63593641709521</c:v>
                </c:pt>
                <c:pt idx="87">
                  <c:v>1.48731411224974</c:v>
                </c:pt>
                <c:pt idx="88">
                  <c:v>1.623713775148</c:v>
                </c:pt>
                <c:pt idx="89">
                  <c:v>10.499632107203</c:v>
                </c:pt>
                <c:pt idx="90">
                  <c:v>2.10680795682724</c:v>
                </c:pt>
                <c:pt idx="91">
                  <c:v>5.87945747989279</c:v>
                </c:pt>
                <c:pt idx="92">
                  <c:v>5.05991018677088</c:v>
                </c:pt>
                <c:pt idx="93">
                  <c:v>4.45130988708235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总表删错20231214!$BK$97:$BK$110</c:f>
              <c:numCache>
                <c:formatCode>0.00_ </c:formatCode>
                <c:ptCount val="14"/>
                <c:pt idx="0">
                  <c:v>0.795327578950584</c:v>
                </c:pt>
                <c:pt idx="1">
                  <c:v>0.7903306696091</c:v>
                </c:pt>
                <c:pt idx="2">
                  <c:v>0.748898418729586</c:v>
                </c:pt>
                <c:pt idx="3">
                  <c:v>0.74893375900745</c:v>
                </c:pt>
                <c:pt idx="4">
                  <c:v>0.72024187377178</c:v>
                </c:pt>
                <c:pt idx="5">
                  <c:v>0.766391652258254</c:v>
                </c:pt>
                <c:pt idx="6">
                  <c:v>1.05722271764746</c:v>
                </c:pt>
                <c:pt idx="7">
                  <c:v>1.16963963896148</c:v>
                </c:pt>
                <c:pt idx="8">
                  <c:v>0.0096051355402916</c:v>
                </c:pt>
                <c:pt idx="9">
                  <c:v>0.137393292684246</c:v>
                </c:pt>
                <c:pt idx="10">
                  <c:v>0.0703801159667417</c:v>
                </c:pt>
                <c:pt idx="11">
                  <c:v>0.00446155713962169</c:v>
                </c:pt>
                <c:pt idx="12">
                  <c:v>0.00923838107903144</c:v>
                </c:pt>
                <c:pt idx="13">
                  <c:v>0.107370411800219</c:v>
                </c:pt>
              </c:numCache>
            </c:numRef>
          </c:xVal>
          <c:yVal>
            <c:numRef>
              <c:f>总表删错20231214!$BJ$97:$BJ$110</c:f>
              <c:numCache>
                <c:formatCode>0.00_);[Red]\(0.00\)</c:formatCode>
                <c:ptCount val="14"/>
                <c:pt idx="0">
                  <c:v>1.62066820874961</c:v>
                </c:pt>
                <c:pt idx="1">
                  <c:v>1.68084203074521</c:v>
                </c:pt>
                <c:pt idx="2">
                  <c:v>1.55447353015487</c:v>
                </c:pt>
                <c:pt idx="3">
                  <c:v>1.54798601101434</c:v>
                </c:pt>
                <c:pt idx="4">
                  <c:v>1.58171461496585</c:v>
                </c:pt>
                <c:pt idx="5">
                  <c:v>1.55430456985849</c:v>
                </c:pt>
                <c:pt idx="6">
                  <c:v>1.94749479247626</c:v>
                </c:pt>
                <c:pt idx="7">
                  <c:v>2.24258181345209</c:v>
                </c:pt>
                <c:pt idx="8">
                  <c:v>0.074646135376749</c:v>
                </c:pt>
                <c:pt idx="9">
                  <c:v>4.06155215682138</c:v>
                </c:pt>
                <c:pt idx="10">
                  <c:v>0.983328765412254</c:v>
                </c:pt>
                <c:pt idx="11">
                  <c:v>1.83224278997794</c:v>
                </c:pt>
                <c:pt idx="12">
                  <c:v>1.66983248287613</c:v>
                </c:pt>
                <c:pt idx="13">
                  <c:v>3.53618671649211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总表删错20231214!$BK$111:$BK$143</c:f>
              <c:numCache>
                <c:formatCode>0.00_ </c:formatCode>
                <c:ptCount val="33"/>
                <c:pt idx="0">
                  <c:v>7.11809137411605</c:v>
                </c:pt>
                <c:pt idx="1">
                  <c:v>4.83287502720681</c:v>
                </c:pt>
                <c:pt idx="2">
                  <c:v>5.00203620010066</c:v>
                </c:pt>
                <c:pt idx="3">
                  <c:v>5.14332332346968</c:v>
                </c:pt>
                <c:pt idx="4">
                  <c:v>3.99339655855338</c:v>
                </c:pt>
                <c:pt idx="5">
                  <c:v>3.51780889232044</c:v>
                </c:pt>
                <c:pt idx="6">
                  <c:v>1.78225138533258</c:v>
                </c:pt>
                <c:pt idx="7">
                  <c:v>1.88884044945399</c:v>
                </c:pt>
                <c:pt idx="8">
                  <c:v>4.5212150164364</c:v>
                </c:pt>
                <c:pt idx="9">
                  <c:v>1.79705327556384</c:v>
                </c:pt>
                <c:pt idx="10">
                  <c:v>1.06119846068605</c:v>
                </c:pt>
                <c:pt idx="11">
                  <c:v>0.794233043060861</c:v>
                </c:pt>
                <c:pt idx="12">
                  <c:v>0.98765258640147</c:v>
                </c:pt>
                <c:pt idx="13">
                  <c:v>0.977542042414899</c:v>
                </c:pt>
                <c:pt idx="14">
                  <c:v>1.54585397172172</c:v>
                </c:pt>
                <c:pt idx="15">
                  <c:v>1.63976018411775</c:v>
                </c:pt>
                <c:pt idx="16">
                  <c:v>1.35349035743324</c:v>
                </c:pt>
                <c:pt idx="17">
                  <c:v>1.1579141830465</c:v>
                </c:pt>
                <c:pt idx="18">
                  <c:v>1.21436487955418</c:v>
                </c:pt>
                <c:pt idx="19">
                  <c:v>0.986416804104724</c:v>
                </c:pt>
                <c:pt idx="20">
                  <c:v>1.07025922703146</c:v>
                </c:pt>
                <c:pt idx="21">
                  <c:v>1.23050711938305</c:v>
                </c:pt>
                <c:pt idx="22">
                  <c:v>0.359963243834542</c:v>
                </c:pt>
                <c:pt idx="23">
                  <c:v>0.228566564353801</c:v>
                </c:pt>
                <c:pt idx="24">
                  <c:v>1.00362593875624</c:v>
                </c:pt>
                <c:pt idx="25">
                  <c:v>1.52226790141692</c:v>
                </c:pt>
                <c:pt idx="26">
                  <c:v>0.51733755113638</c:v>
                </c:pt>
                <c:pt idx="27">
                  <c:v>0.353660963680893</c:v>
                </c:pt>
                <c:pt idx="28">
                  <c:v>0.318256736961525</c:v>
                </c:pt>
                <c:pt idx="29">
                  <c:v>0.063920053535521</c:v>
                </c:pt>
                <c:pt idx="30">
                  <c:v>0.0951101522505833</c:v>
                </c:pt>
                <c:pt idx="31">
                  <c:v>0.252991740713898</c:v>
                </c:pt>
                <c:pt idx="32">
                  <c:v>0.110871325113194</c:v>
                </c:pt>
              </c:numCache>
            </c:numRef>
          </c:xVal>
          <c:yVal>
            <c:numRef>
              <c:f>总表删错20231214!$BJ$111:$BJ$143</c:f>
              <c:numCache>
                <c:formatCode>0.00_);[Red]\(0.00\)</c:formatCode>
                <c:ptCount val="33"/>
                <c:pt idx="0">
                  <c:v>19.6097063450095</c:v>
                </c:pt>
                <c:pt idx="1">
                  <c:v>13.4888716387289</c:v>
                </c:pt>
                <c:pt idx="2">
                  <c:v>14.1391651224509</c:v>
                </c:pt>
                <c:pt idx="3">
                  <c:v>14.6990918021399</c:v>
                </c:pt>
                <c:pt idx="4">
                  <c:v>11.9163821505142</c:v>
                </c:pt>
                <c:pt idx="5">
                  <c:v>6.36266600548767</c:v>
                </c:pt>
                <c:pt idx="6">
                  <c:v>3.45937933965145</c:v>
                </c:pt>
                <c:pt idx="7">
                  <c:v>3.64169666195055</c:v>
                </c:pt>
                <c:pt idx="8">
                  <c:v>8.91322828510157</c:v>
                </c:pt>
                <c:pt idx="9">
                  <c:v>3.58187446146168</c:v>
                </c:pt>
                <c:pt idx="10">
                  <c:v>1.94650405640501</c:v>
                </c:pt>
                <c:pt idx="11">
                  <c:v>1.67135985700406</c:v>
                </c:pt>
                <c:pt idx="12">
                  <c:v>1.94408605497758</c:v>
                </c:pt>
                <c:pt idx="13">
                  <c:v>1.90138848365743</c:v>
                </c:pt>
                <c:pt idx="14">
                  <c:v>2.96967274072528</c:v>
                </c:pt>
                <c:pt idx="15">
                  <c:v>2.79615442071529</c:v>
                </c:pt>
                <c:pt idx="16">
                  <c:v>2.68264695034287</c:v>
                </c:pt>
                <c:pt idx="17">
                  <c:v>2.20727920969614</c:v>
                </c:pt>
                <c:pt idx="18">
                  <c:v>2.11041108750637</c:v>
                </c:pt>
                <c:pt idx="19">
                  <c:v>4.14221275746512</c:v>
                </c:pt>
                <c:pt idx="20">
                  <c:v>5.3054825671787</c:v>
                </c:pt>
                <c:pt idx="21">
                  <c:v>5.45886017362134</c:v>
                </c:pt>
                <c:pt idx="22">
                  <c:v>5.50116846140461</c:v>
                </c:pt>
                <c:pt idx="23">
                  <c:v>5.42484076221227</c:v>
                </c:pt>
                <c:pt idx="24">
                  <c:v>14.8140499809724</c:v>
                </c:pt>
                <c:pt idx="25">
                  <c:v>15.8275922237452</c:v>
                </c:pt>
                <c:pt idx="26">
                  <c:v>7.24611693126376</c:v>
                </c:pt>
                <c:pt idx="27">
                  <c:v>4.82993829225909</c:v>
                </c:pt>
                <c:pt idx="28">
                  <c:v>5.38559097244532</c:v>
                </c:pt>
                <c:pt idx="29">
                  <c:v>4.16345248840303</c:v>
                </c:pt>
                <c:pt idx="30">
                  <c:v>4.43662689942867</c:v>
                </c:pt>
                <c:pt idx="31">
                  <c:v>3.84903245470984</c:v>
                </c:pt>
                <c:pt idx="32">
                  <c:v>4.21223621038832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/>
                  <a:t>15-2Bo/We</a:t>
                </a:r>
                <a:endParaRPr lang="en-US" altLang="zh-CN" sz="9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Oh*D^2/We*epsilon^2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808377702917608"/>
              <c:y val="0.3560132547712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0089f1-512a-4393-9f03-498c3a64a5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47214271450443"/>
          <c:y val="0.0603679074186026"/>
          <c:w val="0.853757571723358"/>
          <c:h val="0.810087226876241"/>
        </c:manualLayout>
      </c:layout>
      <c:scatterChart>
        <c:scatterStyle val="marker"/>
        <c:varyColors val="0"/>
        <c:ser>
          <c:idx val="0"/>
          <c:order val="0"/>
          <c:tx>
            <c:strRef>
              <c:f>"Antibubble"</c:f>
              <c:strCache>
                <c:ptCount val="1"/>
                <c:pt idx="0">
                  <c:v>Antibubble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D6FC"/>
              </a:solidFill>
              <a:ln w="9525">
                <a:solidFill>
                  <a:srgbClr val="FCD6FC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总表删错20231214!$BL$3:$BL$96</c:f>
              <c:numCache>
                <c:formatCode>0.00_);[Red]\(0.00\)</c:formatCode>
                <c:ptCount val="94"/>
                <c:pt idx="0">
                  <c:v>14.9309943312997</c:v>
                </c:pt>
                <c:pt idx="1">
                  <c:v>15.7608771593722</c:v>
                </c:pt>
                <c:pt idx="2">
                  <c:v>24.8269965557466</c:v>
                </c:pt>
                <c:pt idx="3">
                  <c:v>15.3078962924791</c:v>
                </c:pt>
                <c:pt idx="4">
                  <c:v>18.9047623004716</c:v>
                </c:pt>
                <c:pt idx="5">
                  <c:v>25.5051145396425</c:v>
                </c:pt>
                <c:pt idx="6">
                  <c:v>16.257446008898</c:v>
                </c:pt>
                <c:pt idx="7">
                  <c:v>19.6040719557453</c:v>
                </c:pt>
                <c:pt idx="8">
                  <c:v>23.2048288926498</c:v>
                </c:pt>
                <c:pt idx="9">
                  <c:v>24.3887841180244</c:v>
                </c:pt>
                <c:pt idx="10">
                  <c:v>71.1370747155645</c:v>
                </c:pt>
                <c:pt idx="11">
                  <c:v>23.1214336233354</c:v>
                </c:pt>
                <c:pt idx="12">
                  <c:v>16.014329032683</c:v>
                </c:pt>
                <c:pt idx="13">
                  <c:v>15.1062262198801</c:v>
                </c:pt>
                <c:pt idx="14">
                  <c:v>12.5982274374674</c:v>
                </c:pt>
                <c:pt idx="15">
                  <c:v>12.4002414791981</c:v>
                </c:pt>
                <c:pt idx="16">
                  <c:v>11.8170425636422</c:v>
                </c:pt>
                <c:pt idx="17">
                  <c:v>362.294524174004</c:v>
                </c:pt>
                <c:pt idx="18">
                  <c:v>26.5663767722582</c:v>
                </c:pt>
                <c:pt idx="19">
                  <c:v>28.1182757829891</c:v>
                </c:pt>
                <c:pt idx="20">
                  <c:v>41.2899173249998</c:v>
                </c:pt>
                <c:pt idx="21">
                  <c:v>12.1012666613594</c:v>
                </c:pt>
                <c:pt idx="22">
                  <c:v>69.3380989017269</c:v>
                </c:pt>
                <c:pt idx="23">
                  <c:v>110.455412328559</c:v>
                </c:pt>
                <c:pt idx="24">
                  <c:v>67.5576527500021</c:v>
                </c:pt>
                <c:pt idx="25">
                  <c:v>111.342272638924</c:v>
                </c:pt>
                <c:pt idx="26">
                  <c:v>60.3417621002489</c:v>
                </c:pt>
                <c:pt idx="27">
                  <c:v>61.0759701204947</c:v>
                </c:pt>
                <c:pt idx="28">
                  <c:v>192.168490251719</c:v>
                </c:pt>
                <c:pt idx="29">
                  <c:v>79.496648685044</c:v>
                </c:pt>
                <c:pt idx="30">
                  <c:v>79.8972831381828</c:v>
                </c:pt>
                <c:pt idx="31">
                  <c:v>42.2240012541292</c:v>
                </c:pt>
                <c:pt idx="32">
                  <c:v>42.3225089967877</c:v>
                </c:pt>
                <c:pt idx="33">
                  <c:v>143.213980119937</c:v>
                </c:pt>
                <c:pt idx="34">
                  <c:v>55.5688645522852</c:v>
                </c:pt>
                <c:pt idx="35">
                  <c:v>76.349787275455</c:v>
                </c:pt>
                <c:pt idx="36">
                  <c:v>52.351938140658</c:v>
                </c:pt>
                <c:pt idx="37">
                  <c:v>43.8166935671358</c:v>
                </c:pt>
                <c:pt idx="38">
                  <c:v>49.8805087990785</c:v>
                </c:pt>
                <c:pt idx="39">
                  <c:v>41.8436165566087</c:v>
                </c:pt>
                <c:pt idx="40">
                  <c:v>43.6293462009661</c:v>
                </c:pt>
                <c:pt idx="41">
                  <c:v>27.6610910180241</c:v>
                </c:pt>
                <c:pt idx="42">
                  <c:v>23.4154891839215</c:v>
                </c:pt>
                <c:pt idx="43">
                  <c:v>42.1125761125138</c:v>
                </c:pt>
                <c:pt idx="44">
                  <c:v>18.1166966428137</c:v>
                </c:pt>
                <c:pt idx="45">
                  <c:v>865.830663281656</c:v>
                </c:pt>
                <c:pt idx="46">
                  <c:v>578.319999817017</c:v>
                </c:pt>
                <c:pt idx="47">
                  <c:v>32.0328796006673</c:v>
                </c:pt>
                <c:pt idx="48">
                  <c:v>29.8800308626609</c:v>
                </c:pt>
                <c:pt idx="49">
                  <c:v>34.0674304393194</c:v>
                </c:pt>
                <c:pt idx="50">
                  <c:v>30.5712918165942</c:v>
                </c:pt>
                <c:pt idx="51">
                  <c:v>22.3706934450891</c:v>
                </c:pt>
                <c:pt idx="52">
                  <c:v>22.9514599688826</c:v>
                </c:pt>
                <c:pt idx="53">
                  <c:v>20.4406570044944</c:v>
                </c:pt>
                <c:pt idx="54">
                  <c:v>22.3860941099104</c:v>
                </c:pt>
                <c:pt idx="55">
                  <c:v>22.002152465313</c:v>
                </c:pt>
                <c:pt idx="56">
                  <c:v>25.3004068290949</c:v>
                </c:pt>
                <c:pt idx="57">
                  <c:v>20.3451438031894</c:v>
                </c:pt>
                <c:pt idx="58">
                  <c:v>24.7318536434489</c:v>
                </c:pt>
                <c:pt idx="59">
                  <c:v>21.1735157957116</c:v>
                </c:pt>
                <c:pt idx="60">
                  <c:v>25.5400153436197</c:v>
                </c:pt>
                <c:pt idx="61">
                  <c:v>23.4553389915794</c:v>
                </c:pt>
                <c:pt idx="62">
                  <c:v>27.2886230205613</c:v>
                </c:pt>
                <c:pt idx="63">
                  <c:v>44.2884302776661</c:v>
                </c:pt>
                <c:pt idx="64">
                  <c:v>47.5973511987827</c:v>
                </c:pt>
                <c:pt idx="65">
                  <c:v>68.6111722053859</c:v>
                </c:pt>
                <c:pt idx="66">
                  <c:v>46.8456245289776</c:v>
                </c:pt>
                <c:pt idx="67">
                  <c:v>87.7002459848314</c:v>
                </c:pt>
                <c:pt idx="68">
                  <c:v>61.8922665781847</c:v>
                </c:pt>
                <c:pt idx="69">
                  <c:v>48.605921815141</c:v>
                </c:pt>
                <c:pt idx="70">
                  <c:v>59.6338039774329</c:v>
                </c:pt>
                <c:pt idx="71">
                  <c:v>61.3393398511762</c:v>
                </c:pt>
                <c:pt idx="72">
                  <c:v>58.6322260811406</c:v>
                </c:pt>
                <c:pt idx="73">
                  <c:v>78.014694619405</c:v>
                </c:pt>
                <c:pt idx="74">
                  <c:v>81.7238473768205</c:v>
                </c:pt>
                <c:pt idx="75">
                  <c:v>81.6778704325052</c:v>
                </c:pt>
                <c:pt idx="76">
                  <c:v>74.1836904994936</c:v>
                </c:pt>
                <c:pt idx="77">
                  <c:v>61.5183985074186</c:v>
                </c:pt>
                <c:pt idx="78">
                  <c:v>88.4857007740174</c:v>
                </c:pt>
                <c:pt idx="79">
                  <c:v>83.8959035026546</c:v>
                </c:pt>
                <c:pt idx="80">
                  <c:v>58.8527438262858</c:v>
                </c:pt>
                <c:pt idx="81">
                  <c:v>75.6714131771601</c:v>
                </c:pt>
                <c:pt idx="82">
                  <c:v>73.3714424422773</c:v>
                </c:pt>
                <c:pt idx="83">
                  <c:v>55.8932705470281</c:v>
                </c:pt>
                <c:pt idx="84">
                  <c:v>59.0353089849244</c:v>
                </c:pt>
                <c:pt idx="85">
                  <c:v>80.5533719057019</c:v>
                </c:pt>
                <c:pt idx="86">
                  <c:v>79.7165913215597</c:v>
                </c:pt>
                <c:pt idx="87">
                  <c:v>90.9224428526472</c:v>
                </c:pt>
                <c:pt idx="88">
                  <c:v>80.4861711842031</c:v>
                </c:pt>
                <c:pt idx="89">
                  <c:v>13.9907374544711</c:v>
                </c:pt>
                <c:pt idx="90">
                  <c:v>37.297921745225</c:v>
                </c:pt>
                <c:pt idx="91">
                  <c:v>24.0901618294885</c:v>
                </c:pt>
                <c:pt idx="92">
                  <c:v>24.2732115891931</c:v>
                </c:pt>
                <c:pt idx="93">
                  <c:v>30.3318687747251</c:v>
                </c:pt>
              </c:numCache>
            </c:numRef>
          </c:xVal>
          <c:yVal>
            <c:numRef>
              <c:f>总表删错20231214!$BE$3:$BE$96</c:f>
              <c:numCache>
                <c:formatCode>0.000_ </c:formatCode>
                <c:ptCount val="94"/>
                <c:pt idx="0">
                  <c:v>0.330159602093124</c:v>
                </c:pt>
                <c:pt idx="1">
                  <c:v>0.374161909408699</c:v>
                </c:pt>
                <c:pt idx="2">
                  <c:v>0.63109389843819</c:v>
                </c:pt>
                <c:pt idx="3">
                  <c:v>0.387929977379539</c:v>
                </c:pt>
                <c:pt idx="4">
                  <c:v>0.583468022657874</c:v>
                </c:pt>
                <c:pt idx="5">
                  <c:v>0.880324567110261</c:v>
                </c:pt>
                <c:pt idx="6">
                  <c:v>0.556042455279372</c:v>
                </c:pt>
                <c:pt idx="7">
                  <c:v>0.599192497407829</c:v>
                </c:pt>
                <c:pt idx="8">
                  <c:v>0.860159855877793</c:v>
                </c:pt>
                <c:pt idx="9">
                  <c:v>0.876171019759605</c:v>
                </c:pt>
                <c:pt idx="10">
                  <c:v>2.95042814088531</c:v>
                </c:pt>
                <c:pt idx="11">
                  <c:v>1.2441819954562</c:v>
                </c:pt>
                <c:pt idx="12">
                  <c:v>0.803849796288749</c:v>
                </c:pt>
                <c:pt idx="13">
                  <c:v>0.744033784809289</c:v>
                </c:pt>
                <c:pt idx="14">
                  <c:v>0.57848254857925</c:v>
                </c:pt>
                <c:pt idx="15">
                  <c:v>0.568455540687007</c:v>
                </c:pt>
                <c:pt idx="16">
                  <c:v>0.125260301090443</c:v>
                </c:pt>
                <c:pt idx="17">
                  <c:v>11.679736172143</c:v>
                </c:pt>
                <c:pt idx="18">
                  <c:v>0.490426679258394</c:v>
                </c:pt>
                <c:pt idx="19">
                  <c:v>0.460966401063924</c:v>
                </c:pt>
                <c:pt idx="20">
                  <c:v>0.685117606828518</c:v>
                </c:pt>
                <c:pt idx="21">
                  <c:v>0.160307668035049</c:v>
                </c:pt>
                <c:pt idx="22">
                  <c:v>1.3666355450194</c:v>
                </c:pt>
                <c:pt idx="23">
                  <c:v>2.2509670377423</c:v>
                </c:pt>
                <c:pt idx="24">
                  <c:v>1.24393287517423</c:v>
                </c:pt>
                <c:pt idx="25">
                  <c:v>2.46768264926978</c:v>
                </c:pt>
                <c:pt idx="26">
                  <c:v>1.21701704330583</c:v>
                </c:pt>
                <c:pt idx="27">
                  <c:v>1.33659620617291</c:v>
                </c:pt>
                <c:pt idx="28">
                  <c:v>4.88904344120413</c:v>
                </c:pt>
                <c:pt idx="29">
                  <c:v>1.82536452326973</c:v>
                </c:pt>
                <c:pt idx="30">
                  <c:v>1.87848524110253</c:v>
                </c:pt>
                <c:pt idx="31">
                  <c:v>0.64425769476532</c:v>
                </c:pt>
                <c:pt idx="32">
                  <c:v>0.704556599934181</c:v>
                </c:pt>
                <c:pt idx="33">
                  <c:v>3.11578905507854</c:v>
                </c:pt>
                <c:pt idx="34">
                  <c:v>1.01498071367777</c:v>
                </c:pt>
                <c:pt idx="35">
                  <c:v>1.51083226652162</c:v>
                </c:pt>
                <c:pt idx="36">
                  <c:v>1.01668187527794</c:v>
                </c:pt>
                <c:pt idx="37">
                  <c:v>0.775241962528414</c:v>
                </c:pt>
                <c:pt idx="38">
                  <c:v>0.9493132923863</c:v>
                </c:pt>
                <c:pt idx="39">
                  <c:v>0.779474474811788</c:v>
                </c:pt>
                <c:pt idx="40">
                  <c:v>0.79312861630632</c:v>
                </c:pt>
                <c:pt idx="41">
                  <c:v>0.496183662563217</c:v>
                </c:pt>
                <c:pt idx="42">
                  <c:v>0.30365966707548</c:v>
                </c:pt>
                <c:pt idx="43">
                  <c:v>0.740940354276662</c:v>
                </c:pt>
                <c:pt idx="44">
                  <c:v>0.165009102929571</c:v>
                </c:pt>
                <c:pt idx="45">
                  <c:v>29.7113567920692</c:v>
                </c:pt>
                <c:pt idx="46">
                  <c:v>21.392571559767</c:v>
                </c:pt>
                <c:pt idx="47">
                  <c:v>0.844974037488999</c:v>
                </c:pt>
                <c:pt idx="48">
                  <c:v>0.84166493238654</c:v>
                </c:pt>
                <c:pt idx="49">
                  <c:v>0.909470155583729</c:v>
                </c:pt>
                <c:pt idx="50">
                  <c:v>0.857089959232866</c:v>
                </c:pt>
                <c:pt idx="51">
                  <c:v>0.569567675766704</c:v>
                </c:pt>
                <c:pt idx="52">
                  <c:v>0.53091233700304</c:v>
                </c:pt>
                <c:pt idx="53">
                  <c:v>0.43923968844217</c:v>
                </c:pt>
                <c:pt idx="54">
                  <c:v>0.424685139881356</c:v>
                </c:pt>
                <c:pt idx="55">
                  <c:v>0.420638622581237</c:v>
                </c:pt>
                <c:pt idx="56">
                  <c:v>0.537345092558396</c:v>
                </c:pt>
                <c:pt idx="57">
                  <c:v>0.396271173131141</c:v>
                </c:pt>
                <c:pt idx="58">
                  <c:v>0.535421874689521</c:v>
                </c:pt>
                <c:pt idx="59">
                  <c:v>0.481366916728863</c:v>
                </c:pt>
                <c:pt idx="60">
                  <c:v>0.668837795944863</c:v>
                </c:pt>
                <c:pt idx="61">
                  <c:v>0.562394540377423</c:v>
                </c:pt>
                <c:pt idx="62">
                  <c:v>0.69032551025812</c:v>
                </c:pt>
                <c:pt idx="63">
                  <c:v>1.2879643423301</c:v>
                </c:pt>
                <c:pt idx="64">
                  <c:v>0.742754792149541</c:v>
                </c:pt>
                <c:pt idx="65">
                  <c:v>1.2329687222647</c:v>
                </c:pt>
                <c:pt idx="66">
                  <c:v>0.650672646220166</c:v>
                </c:pt>
                <c:pt idx="67">
                  <c:v>1.43447574762305</c:v>
                </c:pt>
                <c:pt idx="68">
                  <c:v>1.00111361429762</c:v>
                </c:pt>
                <c:pt idx="69">
                  <c:v>0.640766016556754</c:v>
                </c:pt>
                <c:pt idx="70">
                  <c:v>0.882439189549401</c:v>
                </c:pt>
                <c:pt idx="71">
                  <c:v>0.856587746783587</c:v>
                </c:pt>
                <c:pt idx="72">
                  <c:v>0.891571328841235</c:v>
                </c:pt>
                <c:pt idx="73">
                  <c:v>1.17993718900893</c:v>
                </c:pt>
                <c:pt idx="74">
                  <c:v>1.22656594090716</c:v>
                </c:pt>
                <c:pt idx="75">
                  <c:v>1.21991692836815</c:v>
                </c:pt>
                <c:pt idx="76">
                  <c:v>1.2043839022408</c:v>
                </c:pt>
                <c:pt idx="77">
                  <c:v>0.693079147290279</c:v>
                </c:pt>
                <c:pt idx="78">
                  <c:v>1.01674182663614</c:v>
                </c:pt>
                <c:pt idx="79">
                  <c:v>1.00717541432396</c:v>
                </c:pt>
                <c:pt idx="80">
                  <c:v>0.900916417621635</c:v>
                </c:pt>
                <c:pt idx="81">
                  <c:v>0.915000471951222</c:v>
                </c:pt>
                <c:pt idx="82">
                  <c:v>0.887198461199956</c:v>
                </c:pt>
                <c:pt idx="83">
                  <c:v>0.992752360304801</c:v>
                </c:pt>
                <c:pt idx="84">
                  <c:v>0.72710519741542</c:v>
                </c:pt>
                <c:pt idx="85">
                  <c:v>0.884613025578186</c:v>
                </c:pt>
                <c:pt idx="86">
                  <c:v>0.864467315229884</c:v>
                </c:pt>
                <c:pt idx="87">
                  <c:v>0.950850631164876</c:v>
                </c:pt>
                <c:pt idx="88">
                  <c:v>0.870974665620604</c:v>
                </c:pt>
                <c:pt idx="89">
                  <c:v>0.134691725189391</c:v>
                </c:pt>
                <c:pt idx="90">
                  <c:v>0.671258886122131</c:v>
                </c:pt>
                <c:pt idx="91">
                  <c:v>0.240534703620117</c:v>
                </c:pt>
                <c:pt idx="92">
                  <c:v>0.279493807236056</c:v>
                </c:pt>
                <c:pt idx="93">
                  <c:v>0.317707281283006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"Inner Coal"</c:f>
              <c:strCache>
                <c:ptCount val="1"/>
                <c:pt idx="0">
                  <c:v>Inner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D697"/>
              </a:solidFill>
              <a:ln w="9525">
                <a:solidFill>
                  <a:srgbClr val="FFD6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总表删错20231214!$BL$97:$BL$110</c:f>
              <c:numCache>
                <c:formatCode>0.00_);[Red]\(0.00\)</c:formatCode>
                <c:ptCount val="14"/>
                <c:pt idx="0">
                  <c:v>17.9634448735519</c:v>
                </c:pt>
                <c:pt idx="1">
                  <c:v>18.0169631615002</c:v>
                </c:pt>
                <c:pt idx="2">
                  <c:v>18.8405019648574</c:v>
                </c:pt>
                <c:pt idx="3">
                  <c:v>18.8445191663542</c:v>
                </c:pt>
                <c:pt idx="4">
                  <c:v>19.3745447954065</c:v>
                </c:pt>
                <c:pt idx="5">
                  <c:v>18.5148993330296</c:v>
                </c:pt>
                <c:pt idx="6">
                  <c:v>14.3591803171075</c:v>
                </c:pt>
                <c:pt idx="7">
                  <c:v>13.3011277448135</c:v>
                </c:pt>
                <c:pt idx="8">
                  <c:v>644.012355002698</c:v>
                </c:pt>
                <c:pt idx="9">
                  <c:v>30.2476621805373</c:v>
                </c:pt>
                <c:pt idx="10">
                  <c:v>76.8275605644415</c:v>
                </c:pt>
                <c:pt idx="11">
                  <c:v>77.5494661387617</c:v>
                </c:pt>
                <c:pt idx="12">
                  <c:v>82.0983718786597</c:v>
                </c:pt>
                <c:pt idx="13">
                  <c:v>30.9730236024732</c:v>
                </c:pt>
              </c:numCache>
            </c:numRef>
          </c:xVal>
          <c:yVal>
            <c:numRef>
              <c:f>总表删错20231214!$BE$97:$BE$110</c:f>
              <c:numCache>
                <c:formatCode>0.000_ </c:formatCode>
                <c:ptCount val="14"/>
                <c:pt idx="0">
                  <c:v>0.872611404813205</c:v>
                </c:pt>
                <c:pt idx="1">
                  <c:v>0.841372084053665</c:v>
                </c:pt>
                <c:pt idx="2">
                  <c:v>0.909770115051233</c:v>
                </c:pt>
                <c:pt idx="3">
                  <c:v>0.913582908573194</c:v>
                </c:pt>
                <c:pt idx="4">
                  <c:v>0.89410159645242</c:v>
                </c:pt>
                <c:pt idx="5">
                  <c:v>0.909869011388067</c:v>
                </c:pt>
                <c:pt idx="6">
                  <c:v>0.726170651565599</c:v>
                </c:pt>
                <c:pt idx="7">
                  <c:v>0.630618492440257</c:v>
                </c:pt>
                <c:pt idx="8">
                  <c:v>18.9455697235412</c:v>
                </c:pt>
                <c:pt idx="9">
                  <c:v>0.34819534694339</c:v>
                </c:pt>
                <c:pt idx="10">
                  <c:v>1.43818996465561</c:v>
                </c:pt>
                <c:pt idx="11">
                  <c:v>0.771848343521178</c:v>
                </c:pt>
                <c:pt idx="12">
                  <c:v>0.846919422681994</c:v>
                </c:pt>
                <c:pt idx="13">
                  <c:v>0.399926156550917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"Outer Coal"</c:f>
              <c:strCache>
                <c:ptCount val="1"/>
                <c:pt idx="0">
                  <c:v>Outer Coal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4C97"/>
              </a:solidFill>
              <a:ln w="0">
                <a:solidFill>
                  <a:srgbClr val="FF4C97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总表删错20231214!$BL$111:$BL$143</c:f>
              <c:numCache>
                <c:formatCode>0.00_);[Red]\(0.00\)</c:formatCode>
                <c:ptCount val="33"/>
                <c:pt idx="0">
                  <c:v>6.03243773883652</c:v>
                </c:pt>
                <c:pt idx="1">
                  <c:v>6.7653740009446</c:v>
                </c:pt>
                <c:pt idx="2">
                  <c:v>6.73202053954951</c:v>
                </c:pt>
                <c:pt idx="3">
                  <c:v>6.70969844463091</c:v>
                </c:pt>
                <c:pt idx="4">
                  <c:v>7.41308611530119</c:v>
                </c:pt>
                <c:pt idx="5">
                  <c:v>6.48564215632288</c:v>
                </c:pt>
                <c:pt idx="6">
                  <c:v>9.87607411392965</c:v>
                </c:pt>
                <c:pt idx="7">
                  <c:v>9.49628927883206</c:v>
                </c:pt>
                <c:pt idx="8">
                  <c:v>5.94702201462017</c:v>
                </c:pt>
                <c:pt idx="9">
                  <c:v>9.86024385066824</c:v>
                </c:pt>
                <c:pt idx="10">
                  <c:v>14.316461946524</c:v>
                </c:pt>
                <c:pt idx="11">
                  <c:v>17.9555402212938</c:v>
                </c:pt>
                <c:pt idx="12">
                  <c:v>15.1453825823987</c:v>
                </c:pt>
                <c:pt idx="13">
                  <c:v>15.2680467696473</c:v>
                </c:pt>
                <c:pt idx="14">
                  <c:v>10.8660662469585</c:v>
                </c:pt>
                <c:pt idx="15">
                  <c:v>10.2895316001433</c:v>
                </c:pt>
                <c:pt idx="16">
                  <c:v>11.9687278460675</c:v>
                </c:pt>
                <c:pt idx="17">
                  <c:v>13.4000248515272</c:v>
                </c:pt>
                <c:pt idx="18">
                  <c:v>12.8787026771967</c:v>
                </c:pt>
                <c:pt idx="19">
                  <c:v>15.1198881301668</c:v>
                </c:pt>
                <c:pt idx="20">
                  <c:v>14.475263582063</c:v>
                </c:pt>
                <c:pt idx="21">
                  <c:v>13.4131338222107</c:v>
                </c:pt>
                <c:pt idx="22">
                  <c:v>21.5939024107767</c:v>
                </c:pt>
                <c:pt idx="23">
                  <c:v>26.9686427307378</c:v>
                </c:pt>
                <c:pt idx="24">
                  <c:v>14.9815446832297</c:v>
                </c:pt>
                <c:pt idx="25">
                  <c:v>12.7759876031984</c:v>
                </c:pt>
                <c:pt idx="26">
                  <c:v>19.3590129093924</c:v>
                </c:pt>
                <c:pt idx="27">
                  <c:v>23.7008033205644</c:v>
                </c:pt>
                <c:pt idx="28">
                  <c:v>24.8960792281861</c:v>
                </c:pt>
                <c:pt idx="29">
                  <c:v>39.0636433171606</c:v>
                </c:pt>
                <c:pt idx="30">
                  <c:v>36.1189440339488</c:v>
                </c:pt>
                <c:pt idx="31">
                  <c:v>25.9895504695054</c:v>
                </c:pt>
                <c:pt idx="32">
                  <c:v>28.5352839660779</c:v>
                </c:pt>
              </c:numCache>
            </c:numRef>
          </c:xVal>
          <c:yVal>
            <c:numRef>
              <c:f>总表删错20231214!$BE$111:$BE$143</c:f>
              <c:numCache>
                <c:formatCode>0.000_ </c:formatCode>
                <c:ptCount val="33"/>
                <c:pt idx="0">
                  <c:v>0.0721180387656849</c:v>
                </c:pt>
                <c:pt idx="1">
                  <c:v>0.104842984665422</c:v>
                </c:pt>
                <c:pt idx="2">
                  <c:v>0.100021009028852</c:v>
                </c:pt>
                <c:pt idx="3">
                  <c:v>0.0962109483639809</c:v>
                </c:pt>
                <c:pt idx="4">
                  <c:v>0.118678097472065</c:v>
                </c:pt>
                <c:pt idx="5">
                  <c:v>0.222267452221029</c:v>
                </c:pt>
                <c:pt idx="6">
                  <c:v>0.408805575660166</c:v>
                </c:pt>
                <c:pt idx="7">
                  <c:v>0.388339198360256</c:v>
                </c:pt>
                <c:pt idx="8">
                  <c:v>0.15866457327666</c:v>
                </c:pt>
                <c:pt idx="9">
                  <c:v>0.394824993893278</c:v>
                </c:pt>
                <c:pt idx="10">
                  <c:v>0.726540259558976</c:v>
                </c:pt>
                <c:pt idx="11">
                  <c:v>0.846145464393344</c:v>
                </c:pt>
                <c:pt idx="12">
                  <c:v>0.7274439105986</c:v>
                </c:pt>
                <c:pt idx="13">
                  <c:v>0.743779387814938</c:v>
                </c:pt>
                <c:pt idx="14">
                  <c:v>0.476218656345178</c:v>
                </c:pt>
                <c:pt idx="15">
                  <c:v>0.505770908750927</c:v>
                </c:pt>
                <c:pt idx="16">
                  <c:v>0.527170957845326</c:v>
                </c:pt>
                <c:pt idx="17">
                  <c:v>0.64070442749641</c:v>
                </c:pt>
                <c:pt idx="18">
                  <c:v>0.670112837610281</c:v>
                </c:pt>
                <c:pt idx="19">
                  <c:v>0.341414998499145</c:v>
                </c:pt>
                <c:pt idx="20">
                  <c:v>0.266557008616302</c:v>
                </c:pt>
                <c:pt idx="21">
                  <c:v>0.259067555752197</c:v>
                </c:pt>
                <c:pt idx="22">
                  <c:v>0.257075123638734</c:v>
                </c:pt>
                <c:pt idx="23">
                  <c:v>0.260692179616416</c:v>
                </c:pt>
                <c:pt idx="24">
                  <c:v>0.0954643439295504</c:v>
                </c:pt>
                <c:pt idx="25">
                  <c:v>0.0893511497125527</c:v>
                </c:pt>
                <c:pt idx="26">
                  <c:v>0.195168471029138</c:v>
                </c:pt>
                <c:pt idx="27">
                  <c:v>0.292801579813068</c:v>
                </c:pt>
                <c:pt idx="28">
                  <c:v>0.262592084992851</c:v>
                </c:pt>
                <c:pt idx="29">
                  <c:v>0.339673279883048</c:v>
                </c:pt>
                <c:pt idx="30">
                  <c:v>0.318758731448707</c:v>
                </c:pt>
                <c:pt idx="31">
                  <c:v>0.367420534644389</c:v>
                </c:pt>
                <c:pt idx="32">
                  <c:v>0.335739377313487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9454"/>
        <c:axId val="87336794"/>
      </c:scatterChart>
      <c:valAx>
        <c:axId val="78639454"/>
        <c:scaling>
          <c:orientation val="minMax"/>
          <c:max val="6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/>
                  <a:t>We</a:t>
                </a:r>
                <a:r>
                  <a:rPr lang="en-US" altLang="zh-CN" sz="1000"/>
                  <a:t>D</a:t>
                </a:r>
                <a:r>
                  <a:rPr lang="en-US" altLang="zh-CN"/>
                  <a:t>+2Bo</a:t>
                </a:r>
                <a:r>
                  <a:rPr lang="en-US" altLang="zh-CN" sz="1000"/>
                  <a:t>D</a:t>
                </a:r>
                <a:endParaRPr lang="en-US" altLang="zh-CN" sz="1000"/>
              </a:p>
            </c:rich>
          </c:tx>
          <c:layout>
            <c:manualLayout>
              <c:xMode val="edge"/>
              <c:yMode val="edge"/>
              <c:x val="0.442321773280969"/>
              <c:y val="0.93997754555661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336794"/>
        <c:crosses val="autoZero"/>
        <c:crossBetween val="midCat"/>
      </c:valAx>
      <c:valAx>
        <c:axId val="8733679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20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t-cap/t-drain</a:t>
                </a:r>
                <a:endParaRPr lang="en-US" altLang="zh-CN" sz="20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808377702917608"/>
              <c:y val="0.3560132547712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63945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210248681236"/>
          <c:y val="0.6489256495549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d02d48-21f7-4cea-a298-5575e99e98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20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ATAN</a:t>
            </a:r>
            <a:r>
              <a:t>积分法</a:t>
            </a:r>
            <a:r>
              <a:rPr lang="en-US" altLang="zh-CN"/>
              <a:t>t/t</a:t>
            </a:r>
            <a:endParaRPr lang="en-US" altLang="zh-CN"/>
          </a:p>
        </c:rich>
      </c:tx>
      <c:layout>
        <c:manualLayout>
          <c:xMode val="edge"/>
          <c:yMode val="edge"/>
          <c:x val="0.39307128580946"/>
          <c:y val="0.03246753246753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2990996999"/>
          <c:y val="0.202538482311639"/>
          <c:w val="0.84434811603868"/>
          <c:h val="0.7339994598973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总表删错20231214!$BL$3:$BL$96</c:f>
              <c:numCache>
                <c:formatCode>0.00_);[Red]\(0.00\)</c:formatCode>
                <c:ptCount val="94"/>
                <c:pt idx="0">
                  <c:v>14.9309943312997</c:v>
                </c:pt>
                <c:pt idx="1">
                  <c:v>15.7608771593722</c:v>
                </c:pt>
                <c:pt idx="2">
                  <c:v>24.8269965557466</c:v>
                </c:pt>
                <c:pt idx="3">
                  <c:v>15.3078962924791</c:v>
                </c:pt>
                <c:pt idx="4">
                  <c:v>18.9047623004716</c:v>
                </c:pt>
                <c:pt idx="5">
                  <c:v>25.5051145396425</c:v>
                </c:pt>
                <c:pt idx="6">
                  <c:v>16.257446008898</c:v>
                </c:pt>
                <c:pt idx="7">
                  <c:v>19.6040719557453</c:v>
                </c:pt>
                <c:pt idx="8">
                  <c:v>23.2048288926498</c:v>
                </c:pt>
                <c:pt idx="9">
                  <c:v>24.3887841180244</c:v>
                </c:pt>
                <c:pt idx="10">
                  <c:v>71.1370747155645</c:v>
                </c:pt>
                <c:pt idx="11">
                  <c:v>23.1214336233354</c:v>
                </c:pt>
                <c:pt idx="12">
                  <c:v>16.014329032683</c:v>
                </c:pt>
                <c:pt idx="13">
                  <c:v>15.1062262198801</c:v>
                </c:pt>
                <c:pt idx="14">
                  <c:v>12.5982274374674</c:v>
                </c:pt>
                <c:pt idx="15">
                  <c:v>12.4002414791981</c:v>
                </c:pt>
                <c:pt idx="16">
                  <c:v>11.8170425636422</c:v>
                </c:pt>
                <c:pt idx="17">
                  <c:v>362.294524174004</c:v>
                </c:pt>
                <c:pt idx="18">
                  <c:v>26.5663767722582</c:v>
                </c:pt>
                <c:pt idx="19">
                  <c:v>28.1182757829891</c:v>
                </c:pt>
                <c:pt idx="20">
                  <c:v>41.2899173249998</c:v>
                </c:pt>
                <c:pt idx="21">
                  <c:v>12.1012666613594</c:v>
                </c:pt>
                <c:pt idx="22">
                  <c:v>69.3380989017269</c:v>
                </c:pt>
                <c:pt idx="23">
                  <c:v>110.455412328559</c:v>
                </c:pt>
                <c:pt idx="24">
                  <c:v>67.5576527500021</c:v>
                </c:pt>
                <c:pt idx="25">
                  <c:v>111.342272638924</c:v>
                </c:pt>
                <c:pt idx="26">
                  <c:v>60.3417621002489</c:v>
                </c:pt>
                <c:pt idx="27">
                  <c:v>61.0759701204947</c:v>
                </c:pt>
                <c:pt idx="28">
                  <c:v>192.168490251719</c:v>
                </c:pt>
                <c:pt idx="29">
                  <c:v>79.496648685044</c:v>
                </c:pt>
                <c:pt idx="30">
                  <c:v>79.8972831381828</c:v>
                </c:pt>
                <c:pt idx="31">
                  <c:v>42.2240012541292</c:v>
                </c:pt>
                <c:pt idx="32">
                  <c:v>42.3225089967877</c:v>
                </c:pt>
                <c:pt idx="33">
                  <c:v>143.213980119937</c:v>
                </c:pt>
                <c:pt idx="34">
                  <c:v>55.5688645522852</c:v>
                </c:pt>
                <c:pt idx="35">
                  <c:v>76.349787275455</c:v>
                </c:pt>
                <c:pt idx="36">
                  <c:v>52.351938140658</c:v>
                </c:pt>
                <c:pt idx="37">
                  <c:v>43.8166935671358</c:v>
                </c:pt>
                <c:pt idx="38">
                  <c:v>49.8805087990785</c:v>
                </c:pt>
                <c:pt idx="39">
                  <c:v>41.8436165566087</c:v>
                </c:pt>
                <c:pt idx="40">
                  <c:v>43.6293462009661</c:v>
                </c:pt>
                <c:pt idx="41">
                  <c:v>27.6610910180241</c:v>
                </c:pt>
                <c:pt idx="42">
                  <c:v>23.4154891839215</c:v>
                </c:pt>
                <c:pt idx="43">
                  <c:v>42.1125761125138</c:v>
                </c:pt>
                <c:pt idx="44">
                  <c:v>18.1166966428137</c:v>
                </c:pt>
                <c:pt idx="45">
                  <c:v>865.830663281656</c:v>
                </c:pt>
                <c:pt idx="46">
                  <c:v>578.319999817017</c:v>
                </c:pt>
                <c:pt idx="47">
                  <c:v>32.0328796006673</c:v>
                </c:pt>
                <c:pt idx="48">
                  <c:v>29.8800308626609</c:v>
                </c:pt>
                <c:pt idx="49">
                  <c:v>34.0674304393194</c:v>
                </c:pt>
                <c:pt idx="50">
                  <c:v>30.5712918165942</c:v>
                </c:pt>
                <c:pt idx="51">
                  <c:v>22.3706934450891</c:v>
                </c:pt>
                <c:pt idx="52">
                  <c:v>22.9514599688826</c:v>
                </c:pt>
                <c:pt idx="53">
                  <c:v>20.4406570044944</c:v>
                </c:pt>
                <c:pt idx="54">
                  <c:v>22.3860941099104</c:v>
                </c:pt>
                <c:pt idx="55">
                  <c:v>22.002152465313</c:v>
                </c:pt>
                <c:pt idx="56">
                  <c:v>25.3004068290949</c:v>
                </c:pt>
                <c:pt idx="57">
                  <c:v>20.3451438031894</c:v>
                </c:pt>
                <c:pt idx="58">
                  <c:v>24.7318536434489</c:v>
                </c:pt>
                <c:pt idx="59">
                  <c:v>21.1735157957116</c:v>
                </c:pt>
                <c:pt idx="60">
                  <c:v>25.5400153436197</c:v>
                </c:pt>
                <c:pt idx="61">
                  <c:v>23.4553389915794</c:v>
                </c:pt>
                <c:pt idx="62">
                  <c:v>27.2886230205613</c:v>
                </c:pt>
                <c:pt idx="63">
                  <c:v>44.2884302776661</c:v>
                </c:pt>
                <c:pt idx="64">
                  <c:v>47.5973511987827</c:v>
                </c:pt>
                <c:pt idx="65">
                  <c:v>68.6111722053859</c:v>
                </c:pt>
                <c:pt idx="66">
                  <c:v>46.8456245289776</c:v>
                </c:pt>
                <c:pt idx="67">
                  <c:v>87.7002459848314</c:v>
                </c:pt>
                <c:pt idx="68">
                  <c:v>61.8922665781847</c:v>
                </c:pt>
                <c:pt idx="69">
                  <c:v>48.605921815141</c:v>
                </c:pt>
                <c:pt idx="70">
                  <c:v>59.6338039774329</c:v>
                </c:pt>
                <c:pt idx="71">
                  <c:v>61.3393398511762</c:v>
                </c:pt>
                <c:pt idx="72">
                  <c:v>58.6322260811406</c:v>
                </c:pt>
                <c:pt idx="73">
                  <c:v>78.014694619405</c:v>
                </c:pt>
                <c:pt idx="74">
                  <c:v>81.7238473768205</c:v>
                </c:pt>
                <c:pt idx="75">
                  <c:v>81.6778704325052</c:v>
                </c:pt>
                <c:pt idx="76">
                  <c:v>74.1836904994936</c:v>
                </c:pt>
                <c:pt idx="77">
                  <c:v>61.5183985074186</c:v>
                </c:pt>
                <c:pt idx="78">
                  <c:v>88.4857007740174</c:v>
                </c:pt>
                <c:pt idx="79">
                  <c:v>83.8959035026546</c:v>
                </c:pt>
                <c:pt idx="80">
                  <c:v>58.8527438262858</c:v>
                </c:pt>
                <c:pt idx="81">
                  <c:v>75.6714131771601</c:v>
                </c:pt>
                <c:pt idx="82">
                  <c:v>73.3714424422773</c:v>
                </c:pt>
                <c:pt idx="83">
                  <c:v>55.8932705470281</c:v>
                </c:pt>
                <c:pt idx="84">
                  <c:v>59.0353089849244</c:v>
                </c:pt>
                <c:pt idx="85">
                  <c:v>80.5533719057019</c:v>
                </c:pt>
                <c:pt idx="86">
                  <c:v>79.7165913215597</c:v>
                </c:pt>
                <c:pt idx="87">
                  <c:v>90.9224428526472</c:v>
                </c:pt>
                <c:pt idx="88">
                  <c:v>80.4861711842031</c:v>
                </c:pt>
                <c:pt idx="89">
                  <c:v>13.9907374544711</c:v>
                </c:pt>
                <c:pt idx="90">
                  <c:v>37.297921745225</c:v>
                </c:pt>
                <c:pt idx="91">
                  <c:v>24.0901618294885</c:v>
                </c:pt>
                <c:pt idx="92">
                  <c:v>24.2732115891931</c:v>
                </c:pt>
                <c:pt idx="93">
                  <c:v>30.3318687747251</c:v>
                </c:pt>
              </c:numCache>
            </c:numRef>
          </c:xVal>
          <c:yVal>
            <c:numRef>
              <c:f>总表删错20231214!$AM$3:$AM$96</c:f>
              <c:numCache>
                <c:formatCode>0.00_);[Red]\(0.00\)</c:formatCode>
                <c:ptCount val="94"/>
                <c:pt idx="0">
                  <c:v>0.349293433395802</c:v>
                </c:pt>
                <c:pt idx="1">
                  <c:v>0.427588116942407</c:v>
                </c:pt>
                <c:pt idx="2">
                  <c:v>0.6625563349326</c:v>
                </c:pt>
                <c:pt idx="3">
                  <c:v>0.463085071689812</c:v>
                </c:pt>
                <c:pt idx="4">
                  <c:v>0.51206225155051</c:v>
                </c:pt>
                <c:pt idx="5">
                  <c:v>0.689461801232533</c:v>
                </c:pt>
                <c:pt idx="6">
                  <c:v>0.510835897053743</c:v>
                </c:pt>
                <c:pt idx="7">
                  <c:v>0.473418366392244</c:v>
                </c:pt>
                <c:pt idx="8">
                  <c:v>0.754139562067504</c:v>
                </c:pt>
                <c:pt idx="9">
                  <c:v>0.685060176859194</c:v>
                </c:pt>
                <c:pt idx="10">
                  <c:v>4.23593732162895</c:v>
                </c:pt>
                <c:pt idx="11">
                  <c:v>1.69172772090366</c:v>
                </c:pt>
                <c:pt idx="12">
                  <c:v>0.910485220989062</c:v>
                </c:pt>
                <c:pt idx="13">
                  <c:v>0.854970983460504</c:v>
                </c:pt>
                <c:pt idx="14">
                  <c:v>0.64576141614024</c:v>
                </c:pt>
                <c:pt idx="15">
                  <c:v>0.643217037116692</c:v>
                </c:pt>
                <c:pt idx="16">
                  <c:v>0</c:v>
                </c:pt>
                <c:pt idx="17">
                  <c:v>40.2100095289122</c:v>
                </c:pt>
                <c:pt idx="18">
                  <c:v>0.35977245599599</c:v>
                </c:pt>
                <c:pt idx="19">
                  <c:v>0.45406177680862</c:v>
                </c:pt>
                <c:pt idx="20">
                  <c:v>0.311091774644452</c:v>
                </c:pt>
                <c:pt idx="21">
                  <c:v>0.109174399411711</c:v>
                </c:pt>
                <c:pt idx="22">
                  <c:v>0.631182713270576</c:v>
                </c:pt>
                <c:pt idx="23">
                  <c:v>1.15135093609778</c:v>
                </c:pt>
                <c:pt idx="24">
                  <c:v>0.593965769823491</c:v>
                </c:pt>
                <c:pt idx="25">
                  <c:v>1.94865062148164</c:v>
                </c:pt>
                <c:pt idx="26">
                  <c:v>0</c:v>
                </c:pt>
                <c:pt idx="27">
                  <c:v>1.09932638657558</c:v>
                </c:pt>
                <c:pt idx="28">
                  <c:v>3.91536923600626</c:v>
                </c:pt>
                <c:pt idx="29">
                  <c:v>1.23741514641144</c:v>
                </c:pt>
                <c:pt idx="30">
                  <c:v>1.39925674689967</c:v>
                </c:pt>
                <c:pt idx="31">
                  <c:v>0</c:v>
                </c:pt>
                <c:pt idx="32">
                  <c:v>0</c:v>
                </c:pt>
                <c:pt idx="33">
                  <c:v>0.995624938667884</c:v>
                </c:pt>
                <c:pt idx="34">
                  <c:v>0.462737962406047</c:v>
                </c:pt>
                <c:pt idx="35">
                  <c:v>0.683064670407395</c:v>
                </c:pt>
                <c:pt idx="36">
                  <c:v>0.391924608586186</c:v>
                </c:pt>
                <c:pt idx="37">
                  <c:v>0.391311924632385</c:v>
                </c:pt>
                <c:pt idx="38">
                  <c:v>0.500578299512777</c:v>
                </c:pt>
                <c:pt idx="39">
                  <c:v>0.406226542248376</c:v>
                </c:pt>
                <c:pt idx="40">
                  <c:v>0.370543915180899</c:v>
                </c:pt>
                <c:pt idx="41">
                  <c:v>0.145064578884231</c:v>
                </c:pt>
                <c:pt idx="42">
                  <c:v>0.211787042515155</c:v>
                </c:pt>
                <c:pt idx="43">
                  <c:v>0.384368759313432</c:v>
                </c:pt>
                <c:pt idx="44">
                  <c:v>0.085694093729834</c:v>
                </c:pt>
                <c:pt idx="45">
                  <c:v>25.7422654025331</c:v>
                </c:pt>
                <c:pt idx="46">
                  <c:v>14.7390910948807</c:v>
                </c:pt>
                <c:pt idx="47">
                  <c:v>0.467771028567116</c:v>
                </c:pt>
                <c:pt idx="48">
                  <c:v>0.520687796985076</c:v>
                </c:pt>
                <c:pt idx="49">
                  <c:v>0.449659387084952</c:v>
                </c:pt>
                <c:pt idx="50">
                  <c:v>0.484845060722555</c:v>
                </c:pt>
                <c:pt idx="51">
                  <c:v>0.441280694460628</c:v>
                </c:pt>
                <c:pt idx="52">
                  <c:v>0.405313177742042</c:v>
                </c:pt>
                <c:pt idx="53">
                  <c:v>0.271796144289459</c:v>
                </c:pt>
                <c:pt idx="54">
                  <c:v>0.307624760805761</c:v>
                </c:pt>
                <c:pt idx="55">
                  <c:v>0.263727969977541</c:v>
                </c:pt>
                <c:pt idx="56">
                  <c:v>0.386422840289466</c:v>
                </c:pt>
                <c:pt idx="57">
                  <c:v>0.331384047784226</c:v>
                </c:pt>
                <c:pt idx="58">
                  <c:v>0.416467227266294</c:v>
                </c:pt>
                <c:pt idx="59">
                  <c:v>0.390541499747215</c:v>
                </c:pt>
                <c:pt idx="60">
                  <c:v>0.453620061856068</c:v>
                </c:pt>
                <c:pt idx="61">
                  <c:v>0.367805367600498</c:v>
                </c:pt>
                <c:pt idx="62">
                  <c:v>0.511575250374942</c:v>
                </c:pt>
                <c:pt idx="63">
                  <c:v>0.967241381113246</c:v>
                </c:pt>
                <c:pt idx="64">
                  <c:v>-0.148282913613878</c:v>
                </c:pt>
                <c:pt idx="65">
                  <c:v>0.281790352703175</c:v>
                </c:pt>
                <c:pt idx="66">
                  <c:v>0.574990735331651</c:v>
                </c:pt>
                <c:pt idx="67">
                  <c:v>1.01395743682973</c:v>
                </c:pt>
                <c:pt idx="68">
                  <c:v>0.148864011987412</c:v>
                </c:pt>
                <c:pt idx="69">
                  <c:v>0.359652080255293</c:v>
                </c:pt>
                <c:pt idx="70">
                  <c:v>-0.0327145041995185</c:v>
                </c:pt>
                <c:pt idx="71">
                  <c:v>0.446678395540877</c:v>
                </c:pt>
                <c:pt idx="72">
                  <c:v>0.378825956483736</c:v>
                </c:pt>
                <c:pt idx="73">
                  <c:v>0.356066519739837</c:v>
                </c:pt>
                <c:pt idx="74">
                  <c:v>0.468557891074867</c:v>
                </c:pt>
                <c:pt idx="75">
                  <c:v>0.22958695280143</c:v>
                </c:pt>
                <c:pt idx="76">
                  <c:v>0.422071387082759</c:v>
                </c:pt>
                <c:pt idx="77">
                  <c:v>0.253200391523093</c:v>
                </c:pt>
                <c:pt idx="78">
                  <c:v>0.434319369830315</c:v>
                </c:pt>
                <c:pt idx="79">
                  <c:v>0.423784779428864</c:v>
                </c:pt>
                <c:pt idx="80">
                  <c:v>0.255716426710659</c:v>
                </c:pt>
                <c:pt idx="81">
                  <c:v>0.33500238861421</c:v>
                </c:pt>
                <c:pt idx="82">
                  <c:v>0.301942366972565</c:v>
                </c:pt>
                <c:pt idx="83">
                  <c:v>0.511527661367604</c:v>
                </c:pt>
                <c:pt idx="84">
                  <c:v>0.120790320924897</c:v>
                </c:pt>
                <c:pt idx="85">
                  <c:v>0.227796623242688</c:v>
                </c:pt>
                <c:pt idx="86">
                  <c:v>0.189093246085953</c:v>
                </c:pt>
                <c:pt idx="87">
                  <c:v>0.238641467533499</c:v>
                </c:pt>
                <c:pt idx="88">
                  <c:v>0.233387974143935</c:v>
                </c:pt>
                <c:pt idx="89">
                  <c:v>0.0805974285562605</c:v>
                </c:pt>
                <c:pt idx="90">
                  <c:v>0.156637000423496</c:v>
                </c:pt>
                <c:pt idx="91">
                  <c:v>0.064582301366778</c:v>
                </c:pt>
                <c:pt idx="92">
                  <c:v>0.0804128363070038</c:v>
                </c:pt>
                <c:pt idx="93">
                  <c:v>0.0801674406457375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总表删错20231214!$BL$97:$BL$110</c:f>
              <c:numCache>
                <c:formatCode>0.00_);[Red]\(0.00\)</c:formatCode>
                <c:ptCount val="14"/>
                <c:pt idx="0">
                  <c:v>17.9634448735519</c:v>
                </c:pt>
                <c:pt idx="1">
                  <c:v>18.0169631615002</c:v>
                </c:pt>
                <c:pt idx="2">
                  <c:v>18.8405019648574</c:v>
                </c:pt>
                <c:pt idx="3">
                  <c:v>18.8445191663542</c:v>
                </c:pt>
                <c:pt idx="4">
                  <c:v>19.3745447954065</c:v>
                </c:pt>
                <c:pt idx="5">
                  <c:v>18.5148993330296</c:v>
                </c:pt>
                <c:pt idx="6">
                  <c:v>14.3591803171075</c:v>
                </c:pt>
                <c:pt idx="7">
                  <c:v>13.3011277448135</c:v>
                </c:pt>
                <c:pt idx="8">
                  <c:v>644.012355002698</c:v>
                </c:pt>
                <c:pt idx="9">
                  <c:v>30.2476621805373</c:v>
                </c:pt>
                <c:pt idx="10">
                  <c:v>76.8275605644415</c:v>
                </c:pt>
                <c:pt idx="11">
                  <c:v>77.5494661387617</c:v>
                </c:pt>
                <c:pt idx="12">
                  <c:v>82.0983718786597</c:v>
                </c:pt>
                <c:pt idx="13">
                  <c:v>30.9730236024732</c:v>
                </c:pt>
              </c:numCache>
            </c:numRef>
          </c:xVal>
          <c:yVal>
            <c:numRef>
              <c:f>总表删错20231214!$AM$97:$AM$110</c:f>
              <c:numCache>
                <c:formatCode>0.00_);[Red]\(0.00\)</c:formatCode>
                <c:ptCount val="14"/>
                <c:pt idx="0">
                  <c:v>1.18456142036831</c:v>
                </c:pt>
                <c:pt idx="1">
                  <c:v>1.14264380995597</c:v>
                </c:pt>
                <c:pt idx="2">
                  <c:v>1.19897575442922</c:v>
                </c:pt>
                <c:pt idx="3">
                  <c:v>1.23443225779001</c:v>
                </c:pt>
                <c:pt idx="4">
                  <c:v>1.24835259017018</c:v>
                </c:pt>
                <c:pt idx="5">
                  <c:v>1.23377168633169</c:v>
                </c:pt>
                <c:pt idx="6">
                  <c:v>0.957293639260067</c:v>
                </c:pt>
                <c:pt idx="7">
                  <c:v>0.714978147944241</c:v>
                </c:pt>
                <c:pt idx="8">
                  <c:v>23.1884068479402</c:v>
                </c:pt>
                <c:pt idx="9">
                  <c:v>0.0350108520987633</c:v>
                </c:pt>
                <c:pt idx="10">
                  <c:v>0.610078553142461</c:v>
                </c:pt>
                <c:pt idx="11">
                  <c:v>0.351681237511703</c:v>
                </c:pt>
                <c:pt idx="12">
                  <c:v>0.172895244769436</c:v>
                </c:pt>
                <c:pt idx="13">
                  <c:v>0.102329649589843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总表删错20231214!$BL$111:$BL$143</c:f>
              <c:numCache>
                <c:formatCode>0.00_);[Red]\(0.00\)</c:formatCode>
                <c:ptCount val="33"/>
                <c:pt idx="0">
                  <c:v>6.03243773883652</c:v>
                </c:pt>
                <c:pt idx="1">
                  <c:v>6.7653740009446</c:v>
                </c:pt>
                <c:pt idx="2">
                  <c:v>6.73202053954951</c:v>
                </c:pt>
                <c:pt idx="3">
                  <c:v>6.70969844463091</c:v>
                </c:pt>
                <c:pt idx="4">
                  <c:v>7.41308611530119</c:v>
                </c:pt>
                <c:pt idx="5">
                  <c:v>6.48564215632288</c:v>
                </c:pt>
                <c:pt idx="6">
                  <c:v>9.87607411392965</c:v>
                </c:pt>
                <c:pt idx="7">
                  <c:v>9.49628927883206</c:v>
                </c:pt>
                <c:pt idx="8">
                  <c:v>5.94702201462017</c:v>
                </c:pt>
                <c:pt idx="9">
                  <c:v>9.86024385066824</c:v>
                </c:pt>
                <c:pt idx="10">
                  <c:v>14.316461946524</c:v>
                </c:pt>
                <c:pt idx="11">
                  <c:v>17.9555402212938</c:v>
                </c:pt>
                <c:pt idx="12">
                  <c:v>15.1453825823987</c:v>
                </c:pt>
                <c:pt idx="13">
                  <c:v>15.2680467696473</c:v>
                </c:pt>
                <c:pt idx="14">
                  <c:v>10.8660662469585</c:v>
                </c:pt>
                <c:pt idx="15">
                  <c:v>10.2895316001433</c:v>
                </c:pt>
                <c:pt idx="16">
                  <c:v>11.9687278460675</c:v>
                </c:pt>
                <c:pt idx="17">
                  <c:v>13.4000248515272</c:v>
                </c:pt>
                <c:pt idx="18">
                  <c:v>12.8787026771967</c:v>
                </c:pt>
                <c:pt idx="19">
                  <c:v>15.1198881301668</c:v>
                </c:pt>
                <c:pt idx="20">
                  <c:v>14.475263582063</c:v>
                </c:pt>
                <c:pt idx="21">
                  <c:v>13.4131338222107</c:v>
                </c:pt>
                <c:pt idx="22">
                  <c:v>21.5939024107767</c:v>
                </c:pt>
                <c:pt idx="23">
                  <c:v>26.9686427307378</c:v>
                </c:pt>
                <c:pt idx="24">
                  <c:v>14.9815446832297</c:v>
                </c:pt>
                <c:pt idx="25">
                  <c:v>12.7759876031984</c:v>
                </c:pt>
                <c:pt idx="26">
                  <c:v>19.3590129093924</c:v>
                </c:pt>
                <c:pt idx="27">
                  <c:v>23.7008033205644</c:v>
                </c:pt>
                <c:pt idx="28">
                  <c:v>24.8960792281861</c:v>
                </c:pt>
                <c:pt idx="29">
                  <c:v>39.0636433171606</c:v>
                </c:pt>
                <c:pt idx="30">
                  <c:v>36.1189440339488</c:v>
                </c:pt>
                <c:pt idx="31">
                  <c:v>25.9895504695054</c:v>
                </c:pt>
                <c:pt idx="32">
                  <c:v>28.5352839660779</c:v>
                </c:pt>
              </c:numCache>
            </c:numRef>
          </c:xVal>
          <c:yVal>
            <c:numRef>
              <c:f>总表删错20231214!$AM$111:$AM$143</c:f>
              <c:numCache>
                <c:formatCode>0.00_);[Red]\(0.00\)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0.113665591515444</c:v>
                </c:pt>
                <c:pt idx="5">
                  <c:v>0</c:v>
                </c:pt>
                <c:pt idx="6">
                  <c:v>0.468635787010111</c:v>
                </c:pt>
                <c:pt idx="7">
                  <c:v>0.427054523263313</c:v>
                </c:pt>
                <c:pt idx="8">
                  <c:v>0.194739396066382</c:v>
                </c:pt>
                <c:pt idx="9">
                  <c:v>0.475422666792638</c:v>
                </c:pt>
                <c:pt idx="10">
                  <c:v>1.05572059152504</c:v>
                </c:pt>
                <c:pt idx="11">
                  <c:v>1.16588188634123</c:v>
                </c:pt>
                <c:pt idx="12">
                  <c:v>0.683840867072235</c:v>
                </c:pt>
                <c:pt idx="13">
                  <c:v>0.982348740703592</c:v>
                </c:pt>
                <c:pt idx="14">
                  <c:v>0.540543063997098</c:v>
                </c:pt>
                <c:pt idx="15">
                  <c:v>0.546685929994355</c:v>
                </c:pt>
                <c:pt idx="16">
                  <c:v>0.592465756528253</c:v>
                </c:pt>
                <c:pt idx="17">
                  <c:v>0.739128565361045</c:v>
                </c:pt>
                <c:pt idx="18">
                  <c:v>0.843566964368563</c:v>
                </c:pt>
                <c:pt idx="19">
                  <c:v>0.209173845836173</c:v>
                </c:pt>
                <c:pt idx="20">
                  <c:v>0.213463822771869</c:v>
                </c:pt>
                <c:pt idx="21">
                  <c:v>0.184461038963174</c:v>
                </c:pt>
                <c:pt idx="22">
                  <c:v>-0.0042783103489589</c:v>
                </c:pt>
                <c:pt idx="23">
                  <c:v>1.00842186378549</c:v>
                </c:pt>
                <c:pt idx="24">
                  <c:v>-0.342091931446428</c:v>
                </c:pt>
                <c:pt idx="25">
                  <c:v>0</c:v>
                </c:pt>
                <c:pt idx="26">
                  <c:v>-0.42114764450493</c:v>
                </c:pt>
                <c:pt idx="27">
                  <c:v>-0.284954270514512</c:v>
                </c:pt>
                <c:pt idx="28">
                  <c:v>0.0498555966134794</c:v>
                </c:pt>
                <c:pt idx="29">
                  <c:v>0.046770285773507</c:v>
                </c:pt>
                <c:pt idx="30">
                  <c:v>1.22114444975219</c:v>
                </c:pt>
                <c:pt idx="31">
                  <c:v>-0.012317126534321</c:v>
                </c:pt>
                <c:pt idx="32">
                  <c:v>0.527617520094962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597870"/>
        <c:axId val="387829234"/>
      </c:scatterChart>
      <c:valAx>
        <c:axId val="881597870"/>
        <c:scaling>
          <c:orientation val="minMax"/>
          <c:max val="100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829234"/>
        <c:crosses val="autoZero"/>
        <c:crossBetween val="midCat"/>
      </c:valAx>
      <c:valAx>
        <c:axId val="387829234"/>
        <c:scaling>
          <c:logBase val="10"/>
          <c:orientation val="minMax"/>
          <c:max val="1.5"/>
          <c:min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59787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852eb9-c2bf-46cb-9e36-96b39287aa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原始</a:t>
            </a:r>
            <a:r>
              <a:rPr lang="en-US" altLang="zh-CN"/>
              <a:t>t/t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总表删错20231214!$BL$3:$BL$96</c:f>
              <c:numCache>
                <c:formatCode>0.00_);[Red]\(0.00\)</c:formatCode>
                <c:ptCount val="94"/>
                <c:pt idx="0">
                  <c:v>14.9309943312997</c:v>
                </c:pt>
                <c:pt idx="1">
                  <c:v>15.7608771593722</c:v>
                </c:pt>
                <c:pt idx="2">
                  <c:v>24.8269965557466</c:v>
                </c:pt>
                <c:pt idx="3">
                  <c:v>15.3078962924791</c:v>
                </c:pt>
                <c:pt idx="4">
                  <c:v>18.9047623004716</c:v>
                </c:pt>
                <c:pt idx="5">
                  <c:v>25.5051145396425</c:v>
                </c:pt>
                <c:pt idx="6">
                  <c:v>16.257446008898</c:v>
                </c:pt>
                <c:pt idx="7">
                  <c:v>19.6040719557453</c:v>
                </c:pt>
                <c:pt idx="8">
                  <c:v>23.2048288926498</c:v>
                </c:pt>
                <c:pt idx="9">
                  <c:v>24.3887841180244</c:v>
                </c:pt>
                <c:pt idx="10">
                  <c:v>71.1370747155645</c:v>
                </c:pt>
                <c:pt idx="11">
                  <c:v>23.1214336233354</c:v>
                </c:pt>
                <c:pt idx="12">
                  <c:v>16.014329032683</c:v>
                </c:pt>
                <c:pt idx="13">
                  <c:v>15.1062262198801</c:v>
                </c:pt>
                <c:pt idx="14">
                  <c:v>12.5982274374674</c:v>
                </c:pt>
                <c:pt idx="15">
                  <c:v>12.4002414791981</c:v>
                </c:pt>
                <c:pt idx="16">
                  <c:v>11.8170425636422</c:v>
                </c:pt>
                <c:pt idx="17">
                  <c:v>362.294524174004</c:v>
                </c:pt>
                <c:pt idx="18">
                  <c:v>26.5663767722582</c:v>
                </c:pt>
                <c:pt idx="19">
                  <c:v>28.1182757829891</c:v>
                </c:pt>
                <c:pt idx="20">
                  <c:v>41.2899173249998</c:v>
                </c:pt>
                <c:pt idx="21">
                  <c:v>12.1012666613594</c:v>
                </c:pt>
                <c:pt idx="22">
                  <c:v>69.3380989017269</c:v>
                </c:pt>
                <c:pt idx="23">
                  <c:v>110.455412328559</c:v>
                </c:pt>
                <c:pt idx="24">
                  <c:v>67.5576527500021</c:v>
                </c:pt>
                <c:pt idx="25">
                  <c:v>111.342272638924</c:v>
                </c:pt>
                <c:pt idx="26">
                  <c:v>60.3417621002489</c:v>
                </c:pt>
                <c:pt idx="27">
                  <c:v>61.0759701204947</c:v>
                </c:pt>
                <c:pt idx="28">
                  <c:v>192.168490251719</c:v>
                </c:pt>
                <c:pt idx="29">
                  <c:v>79.496648685044</c:v>
                </c:pt>
                <c:pt idx="30">
                  <c:v>79.8972831381828</c:v>
                </c:pt>
                <c:pt idx="31">
                  <c:v>42.2240012541292</c:v>
                </c:pt>
                <c:pt idx="32">
                  <c:v>42.3225089967877</c:v>
                </c:pt>
                <c:pt idx="33">
                  <c:v>143.213980119937</c:v>
                </c:pt>
                <c:pt idx="34">
                  <c:v>55.5688645522852</c:v>
                </c:pt>
                <c:pt idx="35">
                  <c:v>76.349787275455</c:v>
                </c:pt>
                <c:pt idx="36">
                  <c:v>52.351938140658</c:v>
                </c:pt>
                <c:pt idx="37">
                  <c:v>43.8166935671358</c:v>
                </c:pt>
                <c:pt idx="38">
                  <c:v>49.8805087990785</c:v>
                </c:pt>
                <c:pt idx="39">
                  <c:v>41.8436165566087</c:v>
                </c:pt>
                <c:pt idx="40">
                  <c:v>43.6293462009661</c:v>
                </c:pt>
                <c:pt idx="41">
                  <c:v>27.6610910180241</c:v>
                </c:pt>
                <c:pt idx="42">
                  <c:v>23.4154891839215</c:v>
                </c:pt>
                <c:pt idx="43">
                  <c:v>42.1125761125138</c:v>
                </c:pt>
                <c:pt idx="44">
                  <c:v>18.1166966428137</c:v>
                </c:pt>
                <c:pt idx="45">
                  <c:v>865.830663281656</c:v>
                </c:pt>
                <c:pt idx="46">
                  <c:v>578.319999817017</c:v>
                </c:pt>
                <c:pt idx="47">
                  <c:v>32.0328796006673</c:v>
                </c:pt>
                <c:pt idx="48">
                  <c:v>29.8800308626609</c:v>
                </c:pt>
                <c:pt idx="49">
                  <c:v>34.0674304393194</c:v>
                </c:pt>
                <c:pt idx="50">
                  <c:v>30.5712918165942</c:v>
                </c:pt>
                <c:pt idx="51">
                  <c:v>22.3706934450891</c:v>
                </c:pt>
                <c:pt idx="52">
                  <c:v>22.9514599688826</c:v>
                </c:pt>
                <c:pt idx="53">
                  <c:v>20.4406570044944</c:v>
                </c:pt>
                <c:pt idx="54">
                  <c:v>22.3860941099104</c:v>
                </c:pt>
                <c:pt idx="55">
                  <c:v>22.002152465313</c:v>
                </c:pt>
                <c:pt idx="56">
                  <c:v>25.3004068290949</c:v>
                </c:pt>
                <c:pt idx="57">
                  <c:v>20.3451438031894</c:v>
                </c:pt>
                <c:pt idx="58">
                  <c:v>24.7318536434489</c:v>
                </c:pt>
                <c:pt idx="59">
                  <c:v>21.1735157957116</c:v>
                </c:pt>
                <c:pt idx="60">
                  <c:v>25.5400153436197</c:v>
                </c:pt>
                <c:pt idx="61">
                  <c:v>23.4553389915794</c:v>
                </c:pt>
                <c:pt idx="62">
                  <c:v>27.2886230205613</c:v>
                </c:pt>
                <c:pt idx="63">
                  <c:v>44.2884302776661</c:v>
                </c:pt>
                <c:pt idx="64">
                  <c:v>47.5973511987827</c:v>
                </c:pt>
                <c:pt idx="65">
                  <c:v>68.6111722053859</c:v>
                </c:pt>
                <c:pt idx="66">
                  <c:v>46.8456245289776</c:v>
                </c:pt>
                <c:pt idx="67">
                  <c:v>87.7002459848314</c:v>
                </c:pt>
                <c:pt idx="68">
                  <c:v>61.8922665781847</c:v>
                </c:pt>
                <c:pt idx="69">
                  <c:v>48.605921815141</c:v>
                </c:pt>
                <c:pt idx="70">
                  <c:v>59.6338039774329</c:v>
                </c:pt>
                <c:pt idx="71">
                  <c:v>61.3393398511762</c:v>
                </c:pt>
                <c:pt idx="72">
                  <c:v>58.6322260811406</c:v>
                </c:pt>
                <c:pt idx="73">
                  <c:v>78.014694619405</c:v>
                </c:pt>
                <c:pt idx="74">
                  <c:v>81.7238473768205</c:v>
                </c:pt>
                <c:pt idx="75">
                  <c:v>81.6778704325052</c:v>
                </c:pt>
                <c:pt idx="76">
                  <c:v>74.1836904994936</c:v>
                </c:pt>
                <c:pt idx="77">
                  <c:v>61.5183985074186</c:v>
                </c:pt>
                <c:pt idx="78">
                  <c:v>88.4857007740174</c:v>
                </c:pt>
                <c:pt idx="79">
                  <c:v>83.8959035026546</c:v>
                </c:pt>
                <c:pt idx="80">
                  <c:v>58.8527438262858</c:v>
                </c:pt>
                <c:pt idx="81">
                  <c:v>75.6714131771601</c:v>
                </c:pt>
                <c:pt idx="82">
                  <c:v>73.3714424422773</c:v>
                </c:pt>
                <c:pt idx="83">
                  <c:v>55.8932705470281</c:v>
                </c:pt>
                <c:pt idx="84">
                  <c:v>59.0353089849244</c:v>
                </c:pt>
                <c:pt idx="85">
                  <c:v>80.5533719057019</c:v>
                </c:pt>
                <c:pt idx="86">
                  <c:v>79.7165913215597</c:v>
                </c:pt>
                <c:pt idx="87">
                  <c:v>90.9224428526472</c:v>
                </c:pt>
                <c:pt idx="88">
                  <c:v>80.4861711842031</c:v>
                </c:pt>
                <c:pt idx="89">
                  <c:v>13.9907374544711</c:v>
                </c:pt>
                <c:pt idx="90">
                  <c:v>37.297921745225</c:v>
                </c:pt>
                <c:pt idx="91">
                  <c:v>24.0901618294885</c:v>
                </c:pt>
                <c:pt idx="92">
                  <c:v>24.2732115891931</c:v>
                </c:pt>
                <c:pt idx="93">
                  <c:v>30.3318687747251</c:v>
                </c:pt>
              </c:numCache>
            </c:numRef>
          </c:xVal>
          <c:yVal>
            <c:numRef>
              <c:f>总表删错20231214!$BE$3:$BE$96</c:f>
              <c:numCache>
                <c:formatCode>0.000_ </c:formatCode>
                <c:ptCount val="94"/>
                <c:pt idx="0">
                  <c:v>0.330159602093124</c:v>
                </c:pt>
                <c:pt idx="1">
                  <c:v>0.374161909408699</c:v>
                </c:pt>
                <c:pt idx="2">
                  <c:v>0.63109389843819</c:v>
                </c:pt>
                <c:pt idx="3">
                  <c:v>0.387929977379539</c:v>
                </c:pt>
                <c:pt idx="4">
                  <c:v>0.583468022657874</c:v>
                </c:pt>
                <c:pt idx="5">
                  <c:v>0.880324567110261</c:v>
                </c:pt>
                <c:pt idx="6">
                  <c:v>0.556042455279372</c:v>
                </c:pt>
                <c:pt idx="7">
                  <c:v>0.599192497407829</c:v>
                </c:pt>
                <c:pt idx="8">
                  <c:v>0.860159855877793</c:v>
                </c:pt>
                <c:pt idx="9">
                  <c:v>0.876171019759605</c:v>
                </c:pt>
                <c:pt idx="10">
                  <c:v>2.95042814088531</c:v>
                </c:pt>
                <c:pt idx="11">
                  <c:v>1.2441819954562</c:v>
                </c:pt>
                <c:pt idx="12">
                  <c:v>0.803849796288749</c:v>
                </c:pt>
                <c:pt idx="13">
                  <c:v>0.744033784809289</c:v>
                </c:pt>
                <c:pt idx="14">
                  <c:v>0.57848254857925</c:v>
                </c:pt>
                <c:pt idx="15">
                  <c:v>0.568455540687007</c:v>
                </c:pt>
                <c:pt idx="16">
                  <c:v>0.125260301090443</c:v>
                </c:pt>
                <c:pt idx="17">
                  <c:v>11.679736172143</c:v>
                </c:pt>
                <c:pt idx="18">
                  <c:v>0.490426679258394</c:v>
                </c:pt>
                <c:pt idx="19">
                  <c:v>0.460966401063924</c:v>
                </c:pt>
                <c:pt idx="20">
                  <c:v>0.685117606828518</c:v>
                </c:pt>
                <c:pt idx="21">
                  <c:v>0.160307668035049</c:v>
                </c:pt>
                <c:pt idx="22">
                  <c:v>1.3666355450194</c:v>
                </c:pt>
                <c:pt idx="23">
                  <c:v>2.2509670377423</c:v>
                </c:pt>
                <c:pt idx="24">
                  <c:v>1.24393287517423</c:v>
                </c:pt>
                <c:pt idx="25">
                  <c:v>2.46768264926978</c:v>
                </c:pt>
                <c:pt idx="26">
                  <c:v>1.21701704330583</c:v>
                </c:pt>
                <c:pt idx="27">
                  <c:v>1.33659620617291</c:v>
                </c:pt>
                <c:pt idx="28">
                  <c:v>4.88904344120413</c:v>
                </c:pt>
                <c:pt idx="29">
                  <c:v>1.82536452326973</c:v>
                </c:pt>
                <c:pt idx="30">
                  <c:v>1.87848524110253</c:v>
                </c:pt>
                <c:pt idx="31">
                  <c:v>0.64425769476532</c:v>
                </c:pt>
                <c:pt idx="32">
                  <c:v>0.704556599934181</c:v>
                </c:pt>
                <c:pt idx="33">
                  <c:v>3.11578905507854</c:v>
                </c:pt>
                <c:pt idx="34">
                  <c:v>1.01498071367777</c:v>
                </c:pt>
                <c:pt idx="35">
                  <c:v>1.51083226652162</c:v>
                </c:pt>
                <c:pt idx="36">
                  <c:v>1.01668187527794</c:v>
                </c:pt>
                <c:pt idx="37">
                  <c:v>0.775241962528414</c:v>
                </c:pt>
                <c:pt idx="38">
                  <c:v>0.9493132923863</c:v>
                </c:pt>
                <c:pt idx="39">
                  <c:v>0.779474474811788</c:v>
                </c:pt>
                <c:pt idx="40">
                  <c:v>0.79312861630632</c:v>
                </c:pt>
                <c:pt idx="41">
                  <c:v>0.496183662563217</c:v>
                </c:pt>
                <c:pt idx="42">
                  <c:v>0.30365966707548</c:v>
                </c:pt>
                <c:pt idx="43">
                  <c:v>0.740940354276662</c:v>
                </c:pt>
                <c:pt idx="44">
                  <c:v>0.165009102929571</c:v>
                </c:pt>
                <c:pt idx="45">
                  <c:v>29.7113567920692</c:v>
                </c:pt>
                <c:pt idx="46">
                  <c:v>21.392571559767</c:v>
                </c:pt>
                <c:pt idx="47">
                  <c:v>0.844974037488999</c:v>
                </c:pt>
                <c:pt idx="48">
                  <c:v>0.84166493238654</c:v>
                </c:pt>
                <c:pt idx="49">
                  <c:v>0.909470155583729</c:v>
                </c:pt>
                <c:pt idx="50">
                  <c:v>0.857089959232866</c:v>
                </c:pt>
                <c:pt idx="51">
                  <c:v>0.569567675766704</c:v>
                </c:pt>
                <c:pt idx="52">
                  <c:v>0.53091233700304</c:v>
                </c:pt>
                <c:pt idx="53">
                  <c:v>0.43923968844217</c:v>
                </c:pt>
                <c:pt idx="54">
                  <c:v>0.424685139881356</c:v>
                </c:pt>
                <c:pt idx="55">
                  <c:v>0.420638622581237</c:v>
                </c:pt>
                <c:pt idx="56">
                  <c:v>0.537345092558396</c:v>
                </c:pt>
                <c:pt idx="57">
                  <c:v>0.396271173131141</c:v>
                </c:pt>
                <c:pt idx="58">
                  <c:v>0.535421874689521</c:v>
                </c:pt>
                <c:pt idx="59">
                  <c:v>0.481366916728863</c:v>
                </c:pt>
                <c:pt idx="60">
                  <c:v>0.668837795944863</c:v>
                </c:pt>
                <c:pt idx="61">
                  <c:v>0.562394540377423</c:v>
                </c:pt>
                <c:pt idx="62">
                  <c:v>0.69032551025812</c:v>
                </c:pt>
                <c:pt idx="63">
                  <c:v>1.2879643423301</c:v>
                </c:pt>
                <c:pt idx="64">
                  <c:v>0.742754792149541</c:v>
                </c:pt>
                <c:pt idx="65">
                  <c:v>1.2329687222647</c:v>
                </c:pt>
                <c:pt idx="66">
                  <c:v>0.650672646220166</c:v>
                </c:pt>
                <c:pt idx="67">
                  <c:v>1.43447574762305</c:v>
                </c:pt>
                <c:pt idx="68">
                  <c:v>1.00111361429762</c:v>
                </c:pt>
                <c:pt idx="69">
                  <c:v>0.640766016556754</c:v>
                </c:pt>
                <c:pt idx="70">
                  <c:v>0.882439189549401</c:v>
                </c:pt>
                <c:pt idx="71">
                  <c:v>0.856587746783587</c:v>
                </c:pt>
                <c:pt idx="72">
                  <c:v>0.891571328841235</c:v>
                </c:pt>
                <c:pt idx="73">
                  <c:v>1.17993718900893</c:v>
                </c:pt>
                <c:pt idx="74">
                  <c:v>1.22656594090716</c:v>
                </c:pt>
                <c:pt idx="75">
                  <c:v>1.21991692836815</c:v>
                </c:pt>
                <c:pt idx="76">
                  <c:v>1.2043839022408</c:v>
                </c:pt>
                <c:pt idx="77">
                  <c:v>0.693079147290279</c:v>
                </c:pt>
                <c:pt idx="78">
                  <c:v>1.01674182663614</c:v>
                </c:pt>
                <c:pt idx="79">
                  <c:v>1.00717541432396</c:v>
                </c:pt>
                <c:pt idx="80">
                  <c:v>0.900916417621635</c:v>
                </c:pt>
                <c:pt idx="81">
                  <c:v>0.915000471951222</c:v>
                </c:pt>
                <c:pt idx="82">
                  <c:v>0.887198461199956</c:v>
                </c:pt>
                <c:pt idx="83">
                  <c:v>0.992752360304801</c:v>
                </c:pt>
                <c:pt idx="84">
                  <c:v>0.72710519741542</c:v>
                </c:pt>
                <c:pt idx="85">
                  <c:v>0.884613025578186</c:v>
                </c:pt>
                <c:pt idx="86">
                  <c:v>0.864467315229884</c:v>
                </c:pt>
                <c:pt idx="87">
                  <c:v>0.950850631164876</c:v>
                </c:pt>
                <c:pt idx="88">
                  <c:v>0.870974665620604</c:v>
                </c:pt>
                <c:pt idx="89">
                  <c:v>0.134691725189391</c:v>
                </c:pt>
                <c:pt idx="90">
                  <c:v>0.671258886122131</c:v>
                </c:pt>
                <c:pt idx="91">
                  <c:v>0.240534703620117</c:v>
                </c:pt>
                <c:pt idx="92">
                  <c:v>0.279493807236056</c:v>
                </c:pt>
                <c:pt idx="93">
                  <c:v>0.317707281283006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总表删错20231214!$BL$97:$BL$110</c:f>
              <c:numCache>
                <c:formatCode>0.00_);[Red]\(0.00\)</c:formatCode>
                <c:ptCount val="14"/>
                <c:pt idx="0">
                  <c:v>17.9634448735519</c:v>
                </c:pt>
                <c:pt idx="1">
                  <c:v>18.0169631615002</c:v>
                </c:pt>
                <c:pt idx="2">
                  <c:v>18.8405019648574</c:v>
                </c:pt>
                <c:pt idx="3">
                  <c:v>18.8445191663542</c:v>
                </c:pt>
                <c:pt idx="4">
                  <c:v>19.3745447954065</c:v>
                </c:pt>
                <c:pt idx="5">
                  <c:v>18.5148993330296</c:v>
                </c:pt>
                <c:pt idx="6">
                  <c:v>14.3591803171075</c:v>
                </c:pt>
                <c:pt idx="7">
                  <c:v>13.3011277448135</c:v>
                </c:pt>
                <c:pt idx="8">
                  <c:v>644.012355002698</c:v>
                </c:pt>
                <c:pt idx="9">
                  <c:v>30.2476621805373</c:v>
                </c:pt>
                <c:pt idx="10">
                  <c:v>76.8275605644415</c:v>
                </c:pt>
                <c:pt idx="11">
                  <c:v>77.5494661387617</c:v>
                </c:pt>
                <c:pt idx="12">
                  <c:v>82.0983718786597</c:v>
                </c:pt>
                <c:pt idx="13">
                  <c:v>30.9730236024732</c:v>
                </c:pt>
              </c:numCache>
            </c:numRef>
          </c:xVal>
          <c:yVal>
            <c:numRef>
              <c:f>总表删错20231214!$BE$97:$BE$110</c:f>
              <c:numCache>
                <c:formatCode>0.000_ </c:formatCode>
                <c:ptCount val="14"/>
                <c:pt idx="0">
                  <c:v>0.872611404813205</c:v>
                </c:pt>
                <c:pt idx="1">
                  <c:v>0.841372084053665</c:v>
                </c:pt>
                <c:pt idx="2">
                  <c:v>0.909770115051233</c:v>
                </c:pt>
                <c:pt idx="3">
                  <c:v>0.913582908573194</c:v>
                </c:pt>
                <c:pt idx="4">
                  <c:v>0.89410159645242</c:v>
                </c:pt>
                <c:pt idx="5">
                  <c:v>0.909869011388067</c:v>
                </c:pt>
                <c:pt idx="6">
                  <c:v>0.726170651565599</c:v>
                </c:pt>
                <c:pt idx="7">
                  <c:v>0.630618492440257</c:v>
                </c:pt>
                <c:pt idx="8">
                  <c:v>18.9455697235412</c:v>
                </c:pt>
                <c:pt idx="9">
                  <c:v>0.34819534694339</c:v>
                </c:pt>
                <c:pt idx="10">
                  <c:v>1.43818996465561</c:v>
                </c:pt>
                <c:pt idx="11">
                  <c:v>0.771848343521178</c:v>
                </c:pt>
                <c:pt idx="12">
                  <c:v>0.846919422681994</c:v>
                </c:pt>
                <c:pt idx="13">
                  <c:v>0.399926156550917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总表删错20231214!$BL$111:$BL$143</c:f>
              <c:numCache>
                <c:formatCode>0.00_);[Red]\(0.00\)</c:formatCode>
                <c:ptCount val="33"/>
                <c:pt idx="0">
                  <c:v>6.03243773883652</c:v>
                </c:pt>
                <c:pt idx="1">
                  <c:v>6.7653740009446</c:v>
                </c:pt>
                <c:pt idx="2">
                  <c:v>6.73202053954951</c:v>
                </c:pt>
                <c:pt idx="3">
                  <c:v>6.70969844463091</c:v>
                </c:pt>
                <c:pt idx="4">
                  <c:v>7.41308611530119</c:v>
                </c:pt>
                <c:pt idx="5">
                  <c:v>6.48564215632288</c:v>
                </c:pt>
                <c:pt idx="6">
                  <c:v>9.87607411392965</c:v>
                </c:pt>
                <c:pt idx="7">
                  <c:v>9.49628927883206</c:v>
                </c:pt>
                <c:pt idx="8">
                  <c:v>5.94702201462017</c:v>
                </c:pt>
                <c:pt idx="9">
                  <c:v>9.86024385066824</c:v>
                </c:pt>
                <c:pt idx="10">
                  <c:v>14.316461946524</c:v>
                </c:pt>
                <c:pt idx="11">
                  <c:v>17.9555402212938</c:v>
                </c:pt>
                <c:pt idx="12">
                  <c:v>15.1453825823987</c:v>
                </c:pt>
                <c:pt idx="13">
                  <c:v>15.2680467696473</c:v>
                </c:pt>
                <c:pt idx="14">
                  <c:v>10.8660662469585</c:v>
                </c:pt>
                <c:pt idx="15">
                  <c:v>10.2895316001433</c:v>
                </c:pt>
                <c:pt idx="16">
                  <c:v>11.9687278460675</c:v>
                </c:pt>
                <c:pt idx="17">
                  <c:v>13.4000248515272</c:v>
                </c:pt>
                <c:pt idx="18">
                  <c:v>12.8787026771967</c:v>
                </c:pt>
                <c:pt idx="19">
                  <c:v>15.1198881301668</c:v>
                </c:pt>
                <c:pt idx="20">
                  <c:v>14.475263582063</c:v>
                </c:pt>
                <c:pt idx="21">
                  <c:v>13.4131338222107</c:v>
                </c:pt>
                <c:pt idx="22">
                  <c:v>21.5939024107767</c:v>
                </c:pt>
                <c:pt idx="23">
                  <c:v>26.9686427307378</c:v>
                </c:pt>
                <c:pt idx="24">
                  <c:v>14.9815446832297</c:v>
                </c:pt>
                <c:pt idx="25">
                  <c:v>12.7759876031984</c:v>
                </c:pt>
                <c:pt idx="26">
                  <c:v>19.3590129093924</c:v>
                </c:pt>
                <c:pt idx="27">
                  <c:v>23.7008033205644</c:v>
                </c:pt>
                <c:pt idx="28">
                  <c:v>24.8960792281861</c:v>
                </c:pt>
                <c:pt idx="29">
                  <c:v>39.0636433171606</c:v>
                </c:pt>
                <c:pt idx="30">
                  <c:v>36.1189440339488</c:v>
                </c:pt>
                <c:pt idx="31">
                  <c:v>25.9895504695054</c:v>
                </c:pt>
                <c:pt idx="32">
                  <c:v>28.5352839660779</c:v>
                </c:pt>
              </c:numCache>
            </c:numRef>
          </c:xVal>
          <c:yVal>
            <c:numRef>
              <c:f>总表删错20231214!$BE$111:$BE$143</c:f>
              <c:numCache>
                <c:formatCode>0.000_ </c:formatCode>
                <c:ptCount val="33"/>
                <c:pt idx="0">
                  <c:v>0.0721180387656849</c:v>
                </c:pt>
                <c:pt idx="1">
                  <c:v>0.104842984665422</c:v>
                </c:pt>
                <c:pt idx="2">
                  <c:v>0.100021009028852</c:v>
                </c:pt>
                <c:pt idx="3">
                  <c:v>0.0962109483639809</c:v>
                </c:pt>
                <c:pt idx="4">
                  <c:v>0.118678097472065</c:v>
                </c:pt>
                <c:pt idx="5">
                  <c:v>0.222267452221029</c:v>
                </c:pt>
                <c:pt idx="6">
                  <c:v>0.408805575660166</c:v>
                </c:pt>
                <c:pt idx="7">
                  <c:v>0.388339198360256</c:v>
                </c:pt>
                <c:pt idx="8">
                  <c:v>0.15866457327666</c:v>
                </c:pt>
                <c:pt idx="9">
                  <c:v>0.394824993893278</c:v>
                </c:pt>
                <c:pt idx="10">
                  <c:v>0.726540259558976</c:v>
                </c:pt>
                <c:pt idx="11">
                  <c:v>0.846145464393344</c:v>
                </c:pt>
                <c:pt idx="12">
                  <c:v>0.7274439105986</c:v>
                </c:pt>
                <c:pt idx="13">
                  <c:v>0.743779387814938</c:v>
                </c:pt>
                <c:pt idx="14">
                  <c:v>0.476218656345178</c:v>
                </c:pt>
                <c:pt idx="15">
                  <c:v>0.505770908750927</c:v>
                </c:pt>
                <c:pt idx="16">
                  <c:v>0.527170957845326</c:v>
                </c:pt>
                <c:pt idx="17">
                  <c:v>0.64070442749641</c:v>
                </c:pt>
                <c:pt idx="18">
                  <c:v>0.670112837610281</c:v>
                </c:pt>
                <c:pt idx="19">
                  <c:v>0.341414998499145</c:v>
                </c:pt>
                <c:pt idx="20">
                  <c:v>0.266557008616302</c:v>
                </c:pt>
                <c:pt idx="21">
                  <c:v>0.259067555752197</c:v>
                </c:pt>
                <c:pt idx="22">
                  <c:v>0.257075123638734</c:v>
                </c:pt>
                <c:pt idx="23">
                  <c:v>0.260692179616416</c:v>
                </c:pt>
                <c:pt idx="24">
                  <c:v>0.0954643439295504</c:v>
                </c:pt>
                <c:pt idx="25">
                  <c:v>0.0893511497125527</c:v>
                </c:pt>
                <c:pt idx="26">
                  <c:v>0.195168471029138</c:v>
                </c:pt>
                <c:pt idx="27">
                  <c:v>0.292801579813068</c:v>
                </c:pt>
                <c:pt idx="28">
                  <c:v>0.262592084992851</c:v>
                </c:pt>
                <c:pt idx="29">
                  <c:v>0.339673279883048</c:v>
                </c:pt>
                <c:pt idx="30">
                  <c:v>0.318758731448707</c:v>
                </c:pt>
                <c:pt idx="31">
                  <c:v>0.367420534644389</c:v>
                </c:pt>
                <c:pt idx="32">
                  <c:v>0.335739377313487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597870"/>
        <c:axId val="387829234"/>
      </c:scatterChart>
      <c:valAx>
        <c:axId val="881597870"/>
        <c:scaling>
          <c:orientation val="minMax"/>
          <c:max val="100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829234"/>
        <c:crosses val="autoZero"/>
        <c:crossBetween val="midCat"/>
      </c:valAx>
      <c:valAx>
        <c:axId val="387829234"/>
        <c:scaling>
          <c:logBase val="10"/>
          <c:orientation val="minMax"/>
          <c:max val="1.5"/>
          <c:min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59787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55ab3f3-a85e-4f09-a467-68ece26085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调和平均法</a:t>
            </a:r>
            <a:r>
              <a:rPr lang="en-US" altLang="zh-CN"/>
              <a:t>t/t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2990996999"/>
          <c:y val="0.202538482311639"/>
          <c:w val="0.84434811603868"/>
          <c:h val="0.7339994598973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总表删错20231214!$BL$3:$BL$96</c:f>
              <c:numCache>
                <c:formatCode>0.00_);[Red]\(0.00\)</c:formatCode>
                <c:ptCount val="94"/>
                <c:pt idx="0">
                  <c:v>14.9309943312997</c:v>
                </c:pt>
                <c:pt idx="1">
                  <c:v>15.7608771593722</c:v>
                </c:pt>
                <c:pt idx="2">
                  <c:v>24.8269965557466</c:v>
                </c:pt>
                <c:pt idx="3">
                  <c:v>15.3078962924791</c:v>
                </c:pt>
                <c:pt idx="4">
                  <c:v>18.9047623004716</c:v>
                </c:pt>
                <c:pt idx="5">
                  <c:v>25.5051145396425</c:v>
                </c:pt>
                <c:pt idx="6">
                  <c:v>16.257446008898</c:v>
                </c:pt>
                <c:pt idx="7">
                  <c:v>19.6040719557453</c:v>
                </c:pt>
                <c:pt idx="8">
                  <c:v>23.2048288926498</c:v>
                </c:pt>
                <c:pt idx="9">
                  <c:v>24.3887841180244</c:v>
                </c:pt>
                <c:pt idx="10">
                  <c:v>71.1370747155645</c:v>
                </c:pt>
                <c:pt idx="11">
                  <c:v>23.1214336233354</c:v>
                </c:pt>
                <c:pt idx="12">
                  <c:v>16.014329032683</c:v>
                </c:pt>
                <c:pt idx="13">
                  <c:v>15.1062262198801</c:v>
                </c:pt>
                <c:pt idx="14">
                  <c:v>12.5982274374674</c:v>
                </c:pt>
                <c:pt idx="15">
                  <c:v>12.4002414791981</c:v>
                </c:pt>
                <c:pt idx="16">
                  <c:v>11.8170425636422</c:v>
                </c:pt>
                <c:pt idx="17">
                  <c:v>362.294524174004</c:v>
                </c:pt>
                <c:pt idx="18">
                  <c:v>26.5663767722582</c:v>
                </c:pt>
                <c:pt idx="19">
                  <c:v>28.1182757829891</c:v>
                </c:pt>
                <c:pt idx="20">
                  <c:v>41.2899173249998</c:v>
                </c:pt>
                <c:pt idx="21">
                  <c:v>12.1012666613594</c:v>
                </c:pt>
                <c:pt idx="22">
                  <c:v>69.3380989017269</c:v>
                </c:pt>
                <c:pt idx="23">
                  <c:v>110.455412328559</c:v>
                </c:pt>
                <c:pt idx="24">
                  <c:v>67.5576527500021</c:v>
                </c:pt>
                <c:pt idx="25">
                  <c:v>111.342272638924</c:v>
                </c:pt>
                <c:pt idx="26">
                  <c:v>60.3417621002489</c:v>
                </c:pt>
                <c:pt idx="27">
                  <c:v>61.0759701204947</c:v>
                </c:pt>
                <c:pt idx="28">
                  <c:v>192.168490251719</c:v>
                </c:pt>
                <c:pt idx="29">
                  <c:v>79.496648685044</c:v>
                </c:pt>
                <c:pt idx="30">
                  <c:v>79.8972831381828</c:v>
                </c:pt>
                <c:pt idx="31">
                  <c:v>42.2240012541292</c:v>
                </c:pt>
                <c:pt idx="32">
                  <c:v>42.3225089967877</c:v>
                </c:pt>
                <c:pt idx="33">
                  <c:v>143.213980119937</c:v>
                </c:pt>
                <c:pt idx="34">
                  <c:v>55.5688645522852</c:v>
                </c:pt>
                <c:pt idx="35">
                  <c:v>76.349787275455</c:v>
                </c:pt>
                <c:pt idx="36">
                  <c:v>52.351938140658</c:v>
                </c:pt>
                <c:pt idx="37">
                  <c:v>43.8166935671358</c:v>
                </c:pt>
                <c:pt idx="38">
                  <c:v>49.8805087990785</c:v>
                </c:pt>
                <c:pt idx="39">
                  <c:v>41.8436165566087</c:v>
                </c:pt>
                <c:pt idx="40">
                  <c:v>43.6293462009661</c:v>
                </c:pt>
                <c:pt idx="41">
                  <c:v>27.6610910180241</c:v>
                </c:pt>
                <c:pt idx="42">
                  <c:v>23.4154891839215</c:v>
                </c:pt>
                <c:pt idx="43">
                  <c:v>42.1125761125138</c:v>
                </c:pt>
                <c:pt idx="44">
                  <c:v>18.1166966428137</c:v>
                </c:pt>
                <c:pt idx="45">
                  <c:v>865.830663281656</c:v>
                </c:pt>
                <c:pt idx="46">
                  <c:v>578.319999817017</c:v>
                </c:pt>
                <c:pt idx="47">
                  <c:v>32.0328796006673</c:v>
                </c:pt>
                <c:pt idx="48">
                  <c:v>29.8800308626609</c:v>
                </c:pt>
                <c:pt idx="49">
                  <c:v>34.0674304393194</c:v>
                </c:pt>
                <c:pt idx="50">
                  <c:v>30.5712918165942</c:v>
                </c:pt>
                <c:pt idx="51">
                  <c:v>22.3706934450891</c:v>
                </c:pt>
                <c:pt idx="52">
                  <c:v>22.9514599688826</c:v>
                </c:pt>
                <c:pt idx="53">
                  <c:v>20.4406570044944</c:v>
                </c:pt>
                <c:pt idx="54">
                  <c:v>22.3860941099104</c:v>
                </c:pt>
                <c:pt idx="55">
                  <c:v>22.002152465313</c:v>
                </c:pt>
                <c:pt idx="56">
                  <c:v>25.3004068290949</c:v>
                </c:pt>
                <c:pt idx="57">
                  <c:v>20.3451438031894</c:v>
                </c:pt>
                <c:pt idx="58">
                  <c:v>24.7318536434489</c:v>
                </c:pt>
                <c:pt idx="59">
                  <c:v>21.1735157957116</c:v>
                </c:pt>
                <c:pt idx="60">
                  <c:v>25.5400153436197</c:v>
                </c:pt>
                <c:pt idx="61">
                  <c:v>23.4553389915794</c:v>
                </c:pt>
                <c:pt idx="62">
                  <c:v>27.2886230205613</c:v>
                </c:pt>
                <c:pt idx="63">
                  <c:v>44.2884302776661</c:v>
                </c:pt>
                <c:pt idx="64">
                  <c:v>47.5973511987827</c:v>
                </c:pt>
                <c:pt idx="65">
                  <c:v>68.6111722053859</c:v>
                </c:pt>
                <c:pt idx="66">
                  <c:v>46.8456245289776</c:v>
                </c:pt>
                <c:pt idx="67">
                  <c:v>87.7002459848314</c:v>
                </c:pt>
                <c:pt idx="68">
                  <c:v>61.8922665781847</c:v>
                </c:pt>
                <c:pt idx="69">
                  <c:v>48.605921815141</c:v>
                </c:pt>
                <c:pt idx="70">
                  <c:v>59.6338039774329</c:v>
                </c:pt>
                <c:pt idx="71">
                  <c:v>61.3393398511762</c:v>
                </c:pt>
                <c:pt idx="72">
                  <c:v>58.6322260811406</c:v>
                </c:pt>
                <c:pt idx="73">
                  <c:v>78.014694619405</c:v>
                </c:pt>
                <c:pt idx="74">
                  <c:v>81.7238473768205</c:v>
                </c:pt>
                <c:pt idx="75">
                  <c:v>81.6778704325052</c:v>
                </c:pt>
                <c:pt idx="76">
                  <c:v>74.1836904994936</c:v>
                </c:pt>
                <c:pt idx="77">
                  <c:v>61.5183985074186</c:v>
                </c:pt>
                <c:pt idx="78">
                  <c:v>88.4857007740174</c:v>
                </c:pt>
                <c:pt idx="79">
                  <c:v>83.8959035026546</c:v>
                </c:pt>
                <c:pt idx="80">
                  <c:v>58.8527438262858</c:v>
                </c:pt>
                <c:pt idx="81">
                  <c:v>75.6714131771601</c:v>
                </c:pt>
                <c:pt idx="82">
                  <c:v>73.3714424422773</c:v>
                </c:pt>
                <c:pt idx="83">
                  <c:v>55.8932705470281</c:v>
                </c:pt>
                <c:pt idx="84">
                  <c:v>59.0353089849244</c:v>
                </c:pt>
                <c:pt idx="85">
                  <c:v>80.5533719057019</c:v>
                </c:pt>
                <c:pt idx="86">
                  <c:v>79.7165913215597</c:v>
                </c:pt>
                <c:pt idx="87">
                  <c:v>90.9224428526472</c:v>
                </c:pt>
                <c:pt idx="88">
                  <c:v>80.4861711842031</c:v>
                </c:pt>
                <c:pt idx="89">
                  <c:v>13.9907374544711</c:v>
                </c:pt>
                <c:pt idx="90">
                  <c:v>37.297921745225</c:v>
                </c:pt>
                <c:pt idx="91">
                  <c:v>24.0901618294885</c:v>
                </c:pt>
                <c:pt idx="92">
                  <c:v>24.2732115891931</c:v>
                </c:pt>
                <c:pt idx="93">
                  <c:v>30.3318687747251</c:v>
                </c:pt>
              </c:numCache>
            </c:numRef>
          </c:xVal>
          <c:yVal>
            <c:numRef>
              <c:f>总表删错20231214!$AG$3:$AG$96</c:f>
              <c:numCache>
                <c:formatCode>0.00_);[Red]\(0.00\)</c:formatCode>
                <c:ptCount val="94"/>
                <c:pt idx="0">
                  <c:v>0.195572293794311</c:v>
                </c:pt>
                <c:pt idx="1">
                  <c:v>0.217396442590249</c:v>
                </c:pt>
                <c:pt idx="2">
                  <c:v>0.346859002188398</c:v>
                </c:pt>
                <c:pt idx="3">
                  <c:v>0.223824733674191</c:v>
                </c:pt>
                <c:pt idx="4">
                  <c:v>0.32104966524507</c:v>
                </c:pt>
                <c:pt idx="5">
                  <c:v>0.469385338671433</c:v>
                </c:pt>
                <c:pt idx="6">
                  <c:v>0.306315638977643</c:v>
                </c:pt>
                <c:pt idx="7">
                  <c:v>0.32906669052116</c:v>
                </c:pt>
                <c:pt idx="8">
                  <c:v>0.45861733457958</c:v>
                </c:pt>
                <c:pt idx="9">
                  <c:v>0.466937450028545</c:v>
                </c:pt>
                <c:pt idx="10">
                  <c:v>1.50420582845749</c:v>
                </c:pt>
                <c:pt idx="11">
                  <c:v>0.647987411393893</c:v>
                </c:pt>
                <c:pt idx="12">
                  <c:v>0.427774966333123</c:v>
                </c:pt>
                <c:pt idx="13">
                  <c:v>0.397888119441966</c:v>
                </c:pt>
                <c:pt idx="14">
                  <c:v>0.315189562049516</c:v>
                </c:pt>
                <c:pt idx="15">
                  <c:v>0.31015222663607</c:v>
                </c:pt>
                <c:pt idx="16">
                  <c:v>0.0948984121509783</c:v>
                </c:pt>
                <c:pt idx="17">
                  <c:v>5.87197164829566</c:v>
                </c:pt>
                <c:pt idx="18">
                  <c:v>0.278869211143206</c:v>
                </c:pt>
                <c:pt idx="19">
                  <c:v>0.265114342552584</c:v>
                </c:pt>
                <c:pt idx="20">
                  <c:v>0.378464567670327</c:v>
                </c:pt>
                <c:pt idx="21">
                  <c:v>0.111858417288777</c:v>
                </c:pt>
                <c:pt idx="22">
                  <c:v>0.719079291801672</c:v>
                </c:pt>
                <c:pt idx="23">
                  <c:v>1.16167302454505</c:v>
                </c:pt>
                <c:pt idx="24">
                  <c:v>0.658306093500589</c:v>
                </c:pt>
                <c:pt idx="25">
                  <c:v>1.26917978855048</c:v>
                </c:pt>
                <c:pt idx="26">
                  <c:v>0.643779182546157</c:v>
                </c:pt>
                <c:pt idx="27">
                  <c:v>0.702857389129974</c:v>
                </c:pt>
                <c:pt idx="28">
                  <c:v>2.47888224343609</c:v>
                </c:pt>
                <c:pt idx="29">
                  <c:v>0.94722966710393</c:v>
                </c:pt>
                <c:pt idx="30">
                  <c:v>0.9735705624507</c:v>
                </c:pt>
                <c:pt idx="31">
                  <c:v>0.358749894736535</c:v>
                </c:pt>
                <c:pt idx="32">
                  <c:v>0.388237654999176</c:v>
                </c:pt>
                <c:pt idx="33">
                  <c:v>1.59369600160588</c:v>
                </c:pt>
                <c:pt idx="34">
                  <c:v>0.543450830303852</c:v>
                </c:pt>
                <c:pt idx="35">
                  <c:v>0.791321477451378</c:v>
                </c:pt>
                <c:pt idx="36">
                  <c:v>0.543627029935025</c:v>
                </c:pt>
                <c:pt idx="37">
                  <c:v>0.423207035637134</c:v>
                </c:pt>
                <c:pt idx="38">
                  <c:v>0.509996294812121</c:v>
                </c:pt>
                <c:pt idx="39">
                  <c:v>0.424781996089601</c:v>
                </c:pt>
                <c:pt idx="40">
                  <c:v>0.431921898907141</c:v>
                </c:pt>
                <c:pt idx="41">
                  <c:v>0.282078873379717</c:v>
                </c:pt>
                <c:pt idx="42">
                  <c:v>0.187029924524404</c:v>
                </c:pt>
                <c:pt idx="43">
                  <c:v>0.405982786039134</c:v>
                </c:pt>
                <c:pt idx="44">
                  <c:v>0.117838755219748</c:v>
                </c:pt>
                <c:pt idx="45">
                  <c:v>14.8872601871833</c:v>
                </c:pt>
                <c:pt idx="46">
                  <c:v>10.727056513544</c:v>
                </c:pt>
                <c:pt idx="47">
                  <c:v>0.454165927015915</c:v>
                </c:pt>
                <c:pt idx="48">
                  <c:v>0.451865219031135</c:v>
                </c:pt>
                <c:pt idx="49">
                  <c:v>0.486458515190201</c:v>
                </c:pt>
                <c:pt idx="50">
                  <c:v>0.459662703206273</c:v>
                </c:pt>
                <c:pt idx="51">
                  <c:v>0.31579567953828</c:v>
                </c:pt>
                <c:pt idx="52">
                  <c:v>0.297167372228653</c:v>
                </c:pt>
                <c:pt idx="53">
                  <c:v>0.251410206952424</c:v>
                </c:pt>
                <c:pt idx="54">
                  <c:v>0.245205680796131</c:v>
                </c:pt>
                <c:pt idx="55">
                  <c:v>0.243071933485159</c:v>
                </c:pt>
                <c:pt idx="56">
                  <c:v>0.30124706111101</c:v>
                </c:pt>
                <c:pt idx="57">
                  <c:v>0.23048617192303</c:v>
                </c:pt>
                <c:pt idx="58">
                  <c:v>0.300087134251659</c:v>
                </c:pt>
                <c:pt idx="59">
                  <c:v>0.272248973682222</c:v>
                </c:pt>
                <c:pt idx="60">
                  <c:v>0.365601004651385</c:v>
                </c:pt>
                <c:pt idx="61">
                  <c:v>0.31274008858706</c:v>
                </c:pt>
                <c:pt idx="62">
                  <c:v>0.37675892897256</c:v>
                </c:pt>
                <c:pt idx="63">
                  <c:v>0.67551256795324</c:v>
                </c:pt>
                <c:pt idx="64">
                  <c:v>0.408220589446631</c:v>
                </c:pt>
                <c:pt idx="65">
                  <c:v>0.653082780551925</c:v>
                </c:pt>
                <c:pt idx="66">
                  <c:v>0.360807599997351</c:v>
                </c:pt>
                <c:pt idx="67">
                  <c:v>0.752910953265084</c:v>
                </c:pt>
                <c:pt idx="68">
                  <c:v>0.533396881194896</c:v>
                </c:pt>
                <c:pt idx="69">
                  <c:v>0.354173747667851</c:v>
                </c:pt>
                <c:pt idx="70">
                  <c:v>0.474690033906364</c:v>
                </c:pt>
                <c:pt idx="71">
                  <c:v>0.460124718306231</c:v>
                </c:pt>
                <c:pt idx="72">
                  <c:v>0.476872761925731</c:v>
                </c:pt>
                <c:pt idx="73">
                  <c:v>0.61953481212975</c:v>
                </c:pt>
                <c:pt idx="74">
                  <c:v>0.642980948299788</c:v>
                </c:pt>
                <c:pt idx="75">
                  <c:v>0.637646070117538</c:v>
                </c:pt>
                <c:pt idx="76">
                  <c:v>0.629139793123129</c:v>
                </c:pt>
                <c:pt idx="77">
                  <c:v>0.375728592410989</c:v>
                </c:pt>
                <c:pt idx="78">
                  <c:v>0.5360593169892</c:v>
                </c:pt>
                <c:pt idx="79">
                  <c:v>0.530882593625947</c:v>
                </c:pt>
                <c:pt idx="80">
                  <c:v>0.475585545164754</c:v>
                </c:pt>
                <c:pt idx="81">
                  <c:v>0.482626292994596</c:v>
                </c:pt>
                <c:pt idx="82">
                  <c:v>0.468680842797604</c:v>
                </c:pt>
                <c:pt idx="83">
                  <c:v>0.518724124818761</c:v>
                </c:pt>
                <c:pt idx="84">
                  <c:v>0.386364071638479</c:v>
                </c:pt>
                <c:pt idx="85">
                  <c:v>0.466229909524678</c:v>
                </c:pt>
                <c:pt idx="86">
                  <c:v>0.456220740223239</c:v>
                </c:pt>
                <c:pt idx="87">
                  <c:v>0.497935307749445</c:v>
                </c:pt>
                <c:pt idx="88">
                  <c:v>0.457654355017404</c:v>
                </c:pt>
                <c:pt idx="89">
                  <c:v>0.100913492874042</c:v>
                </c:pt>
                <c:pt idx="90">
                  <c:v>0.370596653021173</c:v>
                </c:pt>
                <c:pt idx="91">
                  <c:v>0.149107648409011</c:v>
                </c:pt>
                <c:pt idx="92">
                  <c:v>0.167992627505626</c:v>
                </c:pt>
                <c:pt idx="93">
                  <c:v>0.1829036611543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总表删错20231214!$BL$97:$BL$110</c:f>
              <c:numCache>
                <c:formatCode>0.00_);[Red]\(0.00\)</c:formatCode>
                <c:ptCount val="14"/>
                <c:pt idx="0">
                  <c:v>17.9634448735519</c:v>
                </c:pt>
                <c:pt idx="1">
                  <c:v>18.0169631615002</c:v>
                </c:pt>
                <c:pt idx="2">
                  <c:v>18.8405019648574</c:v>
                </c:pt>
                <c:pt idx="3">
                  <c:v>18.8445191663542</c:v>
                </c:pt>
                <c:pt idx="4">
                  <c:v>19.3745447954065</c:v>
                </c:pt>
                <c:pt idx="5">
                  <c:v>18.5148993330296</c:v>
                </c:pt>
                <c:pt idx="6">
                  <c:v>14.3591803171075</c:v>
                </c:pt>
                <c:pt idx="7">
                  <c:v>13.3011277448135</c:v>
                </c:pt>
                <c:pt idx="8">
                  <c:v>644.012355002698</c:v>
                </c:pt>
                <c:pt idx="9">
                  <c:v>30.2476621805373</c:v>
                </c:pt>
                <c:pt idx="10">
                  <c:v>76.8275605644415</c:v>
                </c:pt>
                <c:pt idx="11">
                  <c:v>77.5494661387617</c:v>
                </c:pt>
                <c:pt idx="12">
                  <c:v>82.0983718786597</c:v>
                </c:pt>
                <c:pt idx="13">
                  <c:v>30.9730236024732</c:v>
                </c:pt>
              </c:numCache>
            </c:numRef>
          </c:xVal>
          <c:yVal>
            <c:numRef>
              <c:f>总表删错20231214!$AG$97:$AG$110</c:f>
              <c:numCache>
                <c:formatCode>0.00_);[Red]\(0.00\)</c:formatCode>
                <c:ptCount val="14"/>
                <c:pt idx="0">
                  <c:v>0.462555822828565</c:v>
                </c:pt>
                <c:pt idx="1">
                  <c:v>0.447202046678745</c:v>
                </c:pt>
                <c:pt idx="2">
                  <c:v>0.48125007390393</c:v>
                </c:pt>
                <c:pt idx="3">
                  <c:v>0.483130154203836</c:v>
                </c:pt>
                <c:pt idx="4">
                  <c:v>0.473765285837257</c:v>
                </c:pt>
                <c:pt idx="5">
                  <c:v>0.481155005926334</c:v>
                </c:pt>
                <c:pt idx="6">
                  <c:v>0.388702741129872</c:v>
                </c:pt>
                <c:pt idx="7">
                  <c:v>0.341178345870704</c:v>
                </c:pt>
                <c:pt idx="8">
                  <c:v>9.50596973236835</c:v>
                </c:pt>
                <c:pt idx="9">
                  <c:v>0.205052344729795</c:v>
                </c:pt>
                <c:pt idx="10">
                  <c:v>0.746987813351317</c:v>
                </c:pt>
                <c:pt idx="11">
                  <c:v>0.408527626637766</c:v>
                </c:pt>
                <c:pt idx="12">
                  <c:v>0.445929407412677</c:v>
                </c:pt>
                <c:pt idx="13">
                  <c:v>0.236500489081835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总表删错20231214!$BL$111:$BL$143</c:f>
              <c:numCache>
                <c:formatCode>0.00_);[Red]\(0.00\)</c:formatCode>
                <c:ptCount val="33"/>
                <c:pt idx="0">
                  <c:v>6.03243773883652</c:v>
                </c:pt>
                <c:pt idx="1">
                  <c:v>6.7653740009446</c:v>
                </c:pt>
                <c:pt idx="2">
                  <c:v>6.73202053954951</c:v>
                </c:pt>
                <c:pt idx="3">
                  <c:v>6.70969844463091</c:v>
                </c:pt>
                <c:pt idx="4">
                  <c:v>7.41308611530119</c:v>
                </c:pt>
                <c:pt idx="5">
                  <c:v>6.48564215632288</c:v>
                </c:pt>
                <c:pt idx="6">
                  <c:v>9.87607411392965</c:v>
                </c:pt>
                <c:pt idx="7">
                  <c:v>9.49628927883206</c:v>
                </c:pt>
                <c:pt idx="8">
                  <c:v>5.94702201462017</c:v>
                </c:pt>
                <c:pt idx="9">
                  <c:v>9.86024385066824</c:v>
                </c:pt>
                <c:pt idx="10">
                  <c:v>14.316461946524</c:v>
                </c:pt>
                <c:pt idx="11">
                  <c:v>17.9555402212938</c:v>
                </c:pt>
                <c:pt idx="12">
                  <c:v>15.1453825823987</c:v>
                </c:pt>
                <c:pt idx="13">
                  <c:v>15.2680467696473</c:v>
                </c:pt>
                <c:pt idx="14">
                  <c:v>10.8660662469585</c:v>
                </c:pt>
                <c:pt idx="15">
                  <c:v>10.2895316001433</c:v>
                </c:pt>
                <c:pt idx="16">
                  <c:v>11.9687278460675</c:v>
                </c:pt>
                <c:pt idx="17">
                  <c:v>13.4000248515272</c:v>
                </c:pt>
                <c:pt idx="18">
                  <c:v>12.8787026771967</c:v>
                </c:pt>
                <c:pt idx="19">
                  <c:v>15.1198881301668</c:v>
                </c:pt>
                <c:pt idx="20">
                  <c:v>14.475263582063</c:v>
                </c:pt>
                <c:pt idx="21">
                  <c:v>13.4131338222107</c:v>
                </c:pt>
                <c:pt idx="22">
                  <c:v>21.5939024107767</c:v>
                </c:pt>
                <c:pt idx="23">
                  <c:v>26.9686427307378</c:v>
                </c:pt>
                <c:pt idx="24">
                  <c:v>14.9815446832297</c:v>
                </c:pt>
                <c:pt idx="25">
                  <c:v>12.7759876031984</c:v>
                </c:pt>
                <c:pt idx="26">
                  <c:v>19.3590129093924</c:v>
                </c:pt>
                <c:pt idx="27">
                  <c:v>23.7008033205644</c:v>
                </c:pt>
                <c:pt idx="28">
                  <c:v>24.8960792281861</c:v>
                </c:pt>
                <c:pt idx="29">
                  <c:v>39.0636433171606</c:v>
                </c:pt>
                <c:pt idx="30">
                  <c:v>36.1189440339488</c:v>
                </c:pt>
                <c:pt idx="31">
                  <c:v>25.9895504695054</c:v>
                </c:pt>
                <c:pt idx="32">
                  <c:v>28.5352839660779</c:v>
                </c:pt>
              </c:numCache>
            </c:numRef>
          </c:xVal>
          <c:yVal>
            <c:numRef>
              <c:f>总表删错20231214!$AG$111:$AG$143</c:f>
              <c:numCache>
                <c:formatCode>0.00_);[Red]\(0.00\)</c:formatCode>
                <c:ptCount val="33"/>
                <c:pt idx="0">
                  <c:v>0.0641454961910742</c:v>
                </c:pt>
                <c:pt idx="1">
                  <c:v>0.0805849323833433</c:v>
                </c:pt>
                <c:pt idx="2">
                  <c:v>0.0782485609135358</c:v>
                </c:pt>
                <c:pt idx="3">
                  <c:v>0.0764079713488332</c:v>
                </c:pt>
                <c:pt idx="4">
                  <c:v>0.0878931959575123</c:v>
                </c:pt>
                <c:pt idx="5">
                  <c:v>0.136635878769173</c:v>
                </c:pt>
                <c:pt idx="6">
                  <c:v>0.230348901454978</c:v>
                </c:pt>
                <c:pt idx="7">
                  <c:v>0.220073545969547</c:v>
                </c:pt>
                <c:pt idx="8">
                  <c:v>0.105375749924144</c:v>
                </c:pt>
                <c:pt idx="9">
                  <c:v>0.223524644741603</c:v>
                </c:pt>
                <c:pt idx="10">
                  <c:v>0.388860697714038</c:v>
                </c:pt>
                <c:pt idx="11">
                  <c:v>0.449523065910305</c:v>
                </c:pt>
                <c:pt idx="12">
                  <c:v>0.389755784009392</c:v>
                </c:pt>
                <c:pt idx="13">
                  <c:v>0.397848884492387</c:v>
                </c:pt>
                <c:pt idx="14">
                  <c:v>0.263990620845272</c:v>
                </c:pt>
                <c:pt idx="15">
                  <c:v>0.278015316161697</c:v>
                </c:pt>
                <c:pt idx="16">
                  <c:v>0.289662484120908</c:v>
                </c:pt>
                <c:pt idx="17">
                  <c:v>0.34618495799728</c:v>
                </c:pt>
                <c:pt idx="18">
                  <c:v>0.360306284758362</c:v>
                </c:pt>
                <c:pt idx="19">
                  <c:v>0.201138971375983</c:v>
                </c:pt>
                <c:pt idx="20">
                  <c:v>0.164537498318365</c:v>
                </c:pt>
                <c:pt idx="21">
                  <c:v>0.160245681095832</c:v>
                </c:pt>
                <c:pt idx="22">
                  <c:v>0.163757203659288</c:v>
                </c:pt>
                <c:pt idx="23">
                  <c:v>0.154403143072451</c:v>
                </c:pt>
                <c:pt idx="24">
                  <c:v>0.0709233547147283</c:v>
                </c:pt>
                <c:pt idx="25">
                  <c:v>0.0670156274060261</c:v>
                </c:pt>
                <c:pt idx="26">
                  <c:v>0.125482944449643</c:v>
                </c:pt>
                <c:pt idx="27">
                  <c:v>0.174239405109772</c:v>
                </c:pt>
                <c:pt idx="28">
                  <c:v>0.154768389026034</c:v>
                </c:pt>
                <c:pt idx="29">
                  <c:v>0.191897679741276</c:v>
                </c:pt>
                <c:pt idx="30">
                  <c:v>0.181198378215566</c:v>
                </c:pt>
                <c:pt idx="31">
                  <c:v>0.218919464245272</c:v>
                </c:pt>
                <c:pt idx="32">
                  <c:v>0.204569112351214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597870"/>
        <c:axId val="387829234"/>
      </c:scatterChart>
      <c:valAx>
        <c:axId val="881597870"/>
        <c:scaling>
          <c:orientation val="minMax"/>
          <c:max val="100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829234"/>
        <c:crosses val="autoZero"/>
        <c:crossBetween val="midCat"/>
      </c:valAx>
      <c:valAx>
        <c:axId val="387829234"/>
        <c:scaling>
          <c:logBase val="10"/>
          <c:orientation val="minMax"/>
          <c:max val="1.5"/>
          <c:min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59787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0cb318-f3fd-452c-bb3d-4fa558c070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直接平均法</a:t>
            </a:r>
            <a:r>
              <a:rPr lang="en-US" altLang="zh-CN"/>
              <a:t>t/t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2990996999"/>
          <c:y val="0.202538482311639"/>
          <c:w val="0.84434811603868"/>
          <c:h val="0.7339994598973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总表删错20231214!$BL$3:$BL$96</c:f>
              <c:numCache>
                <c:formatCode>0.00_);[Red]\(0.00\)</c:formatCode>
                <c:ptCount val="94"/>
                <c:pt idx="0">
                  <c:v>14.9309943312997</c:v>
                </c:pt>
                <c:pt idx="1">
                  <c:v>15.7608771593722</c:v>
                </c:pt>
                <c:pt idx="2">
                  <c:v>24.8269965557466</c:v>
                </c:pt>
                <c:pt idx="3">
                  <c:v>15.3078962924791</c:v>
                </c:pt>
                <c:pt idx="4">
                  <c:v>18.9047623004716</c:v>
                </c:pt>
                <c:pt idx="5">
                  <c:v>25.5051145396425</c:v>
                </c:pt>
                <c:pt idx="6">
                  <c:v>16.257446008898</c:v>
                </c:pt>
                <c:pt idx="7">
                  <c:v>19.6040719557453</c:v>
                </c:pt>
                <c:pt idx="8">
                  <c:v>23.2048288926498</c:v>
                </c:pt>
                <c:pt idx="9">
                  <c:v>24.3887841180244</c:v>
                </c:pt>
                <c:pt idx="10">
                  <c:v>71.1370747155645</c:v>
                </c:pt>
                <c:pt idx="11">
                  <c:v>23.1214336233354</c:v>
                </c:pt>
                <c:pt idx="12">
                  <c:v>16.014329032683</c:v>
                </c:pt>
                <c:pt idx="13">
                  <c:v>15.1062262198801</c:v>
                </c:pt>
                <c:pt idx="14">
                  <c:v>12.5982274374674</c:v>
                </c:pt>
                <c:pt idx="15">
                  <c:v>12.4002414791981</c:v>
                </c:pt>
                <c:pt idx="16">
                  <c:v>11.8170425636422</c:v>
                </c:pt>
                <c:pt idx="17">
                  <c:v>362.294524174004</c:v>
                </c:pt>
                <c:pt idx="18">
                  <c:v>26.5663767722582</c:v>
                </c:pt>
                <c:pt idx="19">
                  <c:v>28.1182757829891</c:v>
                </c:pt>
                <c:pt idx="20">
                  <c:v>41.2899173249998</c:v>
                </c:pt>
                <c:pt idx="21">
                  <c:v>12.1012666613594</c:v>
                </c:pt>
                <c:pt idx="22">
                  <c:v>69.3380989017269</c:v>
                </c:pt>
                <c:pt idx="23">
                  <c:v>110.455412328559</c:v>
                </c:pt>
                <c:pt idx="24">
                  <c:v>67.5576527500021</c:v>
                </c:pt>
                <c:pt idx="25">
                  <c:v>111.342272638924</c:v>
                </c:pt>
                <c:pt idx="26">
                  <c:v>60.3417621002489</c:v>
                </c:pt>
                <c:pt idx="27">
                  <c:v>61.0759701204947</c:v>
                </c:pt>
                <c:pt idx="28">
                  <c:v>192.168490251719</c:v>
                </c:pt>
                <c:pt idx="29">
                  <c:v>79.496648685044</c:v>
                </c:pt>
                <c:pt idx="30">
                  <c:v>79.8972831381828</c:v>
                </c:pt>
                <c:pt idx="31">
                  <c:v>42.2240012541292</c:v>
                </c:pt>
                <c:pt idx="32">
                  <c:v>42.3225089967877</c:v>
                </c:pt>
                <c:pt idx="33">
                  <c:v>143.213980119937</c:v>
                </c:pt>
                <c:pt idx="34">
                  <c:v>55.5688645522852</c:v>
                </c:pt>
                <c:pt idx="35">
                  <c:v>76.349787275455</c:v>
                </c:pt>
                <c:pt idx="36">
                  <c:v>52.351938140658</c:v>
                </c:pt>
                <c:pt idx="37">
                  <c:v>43.8166935671358</c:v>
                </c:pt>
                <c:pt idx="38">
                  <c:v>49.8805087990785</c:v>
                </c:pt>
                <c:pt idx="39">
                  <c:v>41.8436165566087</c:v>
                </c:pt>
                <c:pt idx="40">
                  <c:v>43.6293462009661</c:v>
                </c:pt>
                <c:pt idx="41">
                  <c:v>27.6610910180241</c:v>
                </c:pt>
                <c:pt idx="42">
                  <c:v>23.4154891839215</c:v>
                </c:pt>
                <c:pt idx="43">
                  <c:v>42.1125761125138</c:v>
                </c:pt>
                <c:pt idx="44">
                  <c:v>18.1166966428137</c:v>
                </c:pt>
                <c:pt idx="45">
                  <c:v>865.830663281656</c:v>
                </c:pt>
                <c:pt idx="46">
                  <c:v>578.319999817017</c:v>
                </c:pt>
                <c:pt idx="47">
                  <c:v>32.0328796006673</c:v>
                </c:pt>
                <c:pt idx="48">
                  <c:v>29.8800308626609</c:v>
                </c:pt>
                <c:pt idx="49">
                  <c:v>34.0674304393194</c:v>
                </c:pt>
                <c:pt idx="50">
                  <c:v>30.5712918165942</c:v>
                </c:pt>
                <c:pt idx="51">
                  <c:v>22.3706934450891</c:v>
                </c:pt>
                <c:pt idx="52">
                  <c:v>22.9514599688826</c:v>
                </c:pt>
                <c:pt idx="53">
                  <c:v>20.4406570044944</c:v>
                </c:pt>
                <c:pt idx="54">
                  <c:v>22.3860941099104</c:v>
                </c:pt>
                <c:pt idx="55">
                  <c:v>22.002152465313</c:v>
                </c:pt>
                <c:pt idx="56">
                  <c:v>25.3004068290949</c:v>
                </c:pt>
                <c:pt idx="57">
                  <c:v>20.3451438031894</c:v>
                </c:pt>
                <c:pt idx="58">
                  <c:v>24.7318536434489</c:v>
                </c:pt>
                <c:pt idx="59">
                  <c:v>21.1735157957116</c:v>
                </c:pt>
                <c:pt idx="60">
                  <c:v>25.5400153436197</c:v>
                </c:pt>
                <c:pt idx="61">
                  <c:v>23.4553389915794</c:v>
                </c:pt>
                <c:pt idx="62">
                  <c:v>27.2886230205613</c:v>
                </c:pt>
                <c:pt idx="63">
                  <c:v>44.2884302776661</c:v>
                </c:pt>
                <c:pt idx="64">
                  <c:v>47.5973511987827</c:v>
                </c:pt>
                <c:pt idx="65">
                  <c:v>68.6111722053859</c:v>
                </c:pt>
                <c:pt idx="66">
                  <c:v>46.8456245289776</c:v>
                </c:pt>
                <c:pt idx="67">
                  <c:v>87.7002459848314</c:v>
                </c:pt>
                <c:pt idx="68">
                  <c:v>61.8922665781847</c:v>
                </c:pt>
                <c:pt idx="69">
                  <c:v>48.605921815141</c:v>
                </c:pt>
                <c:pt idx="70">
                  <c:v>59.6338039774329</c:v>
                </c:pt>
                <c:pt idx="71">
                  <c:v>61.3393398511762</c:v>
                </c:pt>
                <c:pt idx="72">
                  <c:v>58.6322260811406</c:v>
                </c:pt>
                <c:pt idx="73">
                  <c:v>78.014694619405</c:v>
                </c:pt>
                <c:pt idx="74">
                  <c:v>81.7238473768205</c:v>
                </c:pt>
                <c:pt idx="75">
                  <c:v>81.6778704325052</c:v>
                </c:pt>
                <c:pt idx="76">
                  <c:v>74.1836904994936</c:v>
                </c:pt>
                <c:pt idx="77">
                  <c:v>61.5183985074186</c:v>
                </c:pt>
                <c:pt idx="78">
                  <c:v>88.4857007740174</c:v>
                </c:pt>
                <c:pt idx="79">
                  <c:v>83.8959035026546</c:v>
                </c:pt>
                <c:pt idx="80">
                  <c:v>58.8527438262858</c:v>
                </c:pt>
                <c:pt idx="81">
                  <c:v>75.6714131771601</c:v>
                </c:pt>
                <c:pt idx="82">
                  <c:v>73.3714424422773</c:v>
                </c:pt>
                <c:pt idx="83">
                  <c:v>55.8932705470281</c:v>
                </c:pt>
                <c:pt idx="84">
                  <c:v>59.0353089849244</c:v>
                </c:pt>
                <c:pt idx="85">
                  <c:v>80.5533719057019</c:v>
                </c:pt>
                <c:pt idx="86">
                  <c:v>79.7165913215597</c:v>
                </c:pt>
                <c:pt idx="87">
                  <c:v>90.9224428526472</c:v>
                </c:pt>
                <c:pt idx="88">
                  <c:v>80.4861711842031</c:v>
                </c:pt>
                <c:pt idx="89">
                  <c:v>13.9907374544711</c:v>
                </c:pt>
                <c:pt idx="90">
                  <c:v>37.297921745225</c:v>
                </c:pt>
                <c:pt idx="91">
                  <c:v>24.0901618294885</c:v>
                </c:pt>
                <c:pt idx="92">
                  <c:v>24.2732115891931</c:v>
                </c:pt>
                <c:pt idx="93">
                  <c:v>30.3318687747251</c:v>
                </c:pt>
              </c:numCache>
            </c:numRef>
          </c:xVal>
          <c:yVal>
            <c:numRef>
              <c:f>总表删错20231214!$AH$3:$AH$96</c:f>
              <c:numCache>
                <c:formatCode>0.00_);[Red]\(0.00\)</c:formatCode>
                <c:ptCount val="94"/>
                <c:pt idx="0">
                  <c:v>0.102953123646568</c:v>
                </c:pt>
                <c:pt idx="1">
                  <c:v>0.104352221194563</c:v>
                </c:pt>
                <c:pt idx="2">
                  <c:v>0.113941661896194</c:v>
                </c:pt>
                <c:pt idx="3">
                  <c:v>0.103505005959054</c:v>
                </c:pt>
                <c:pt idx="4">
                  <c:v>0.106555143798778</c:v>
                </c:pt>
                <c:pt idx="5">
                  <c:v>0.109614728988825</c:v>
                </c:pt>
                <c:pt idx="6">
                  <c:v>0.102723413035993</c:v>
                </c:pt>
                <c:pt idx="7">
                  <c:v>0.107324552383112</c:v>
                </c:pt>
                <c:pt idx="8">
                  <c:v>0.107046680238019</c:v>
                </c:pt>
                <c:pt idx="9">
                  <c:v>0.108276745935119</c:v>
                </c:pt>
                <c:pt idx="10">
                  <c:v>0.113731907006905</c:v>
                </c:pt>
                <c:pt idx="11">
                  <c:v>0.0994459184339923</c:v>
                </c:pt>
                <c:pt idx="12">
                  <c:v>0.0971518844391379</c:v>
                </c:pt>
                <c:pt idx="13">
                  <c:v>0.0967561785822384</c:v>
                </c:pt>
                <c:pt idx="14">
                  <c:v>0.0952482787628058</c:v>
                </c:pt>
                <c:pt idx="15">
                  <c:v>0.0950301145901484</c:v>
                </c:pt>
                <c:pt idx="16">
                  <c:v>0.0851844003031743</c:v>
                </c:pt>
                <c:pt idx="17">
                  <c:v>0.127712175542715</c:v>
                </c:pt>
                <c:pt idx="18">
                  <c:v>0.118376189587216</c:v>
                </c:pt>
                <c:pt idx="19">
                  <c:v>0.120429492786217</c:v>
                </c:pt>
                <c:pt idx="20">
                  <c:v>0.12999722235501</c:v>
                </c:pt>
                <c:pt idx="21">
                  <c:v>0.0908735870473899</c:v>
                </c:pt>
                <c:pt idx="22">
                  <c:v>0.135932056354603</c:v>
                </c:pt>
                <c:pt idx="23">
                  <c:v>0.140248387735494</c:v>
                </c:pt>
                <c:pt idx="24">
                  <c:v>0.137334571590895</c:v>
                </c:pt>
                <c:pt idx="25">
                  <c:v>0.137418063292558</c:v>
                </c:pt>
                <c:pt idx="26">
                  <c:v>0.133353163940366</c:v>
                </c:pt>
                <c:pt idx="27">
                  <c:v>0.131440065447674</c:v>
                </c:pt>
                <c:pt idx="28">
                  <c:v>0.135536965697224</c:v>
                </c:pt>
                <c:pt idx="29">
                  <c:v>0.133149563414853</c:v>
                </c:pt>
                <c:pt idx="30">
                  <c:v>0.132470176693089</c:v>
                </c:pt>
                <c:pt idx="31">
                  <c:v>0.13153114130069</c:v>
                </c:pt>
                <c:pt idx="32">
                  <c:v>0.130514908026045</c:v>
                </c:pt>
                <c:pt idx="33">
                  <c:v>0.139988857272699</c:v>
                </c:pt>
                <c:pt idx="34">
                  <c:v>0.134323787862306</c:v>
                </c:pt>
                <c:pt idx="35">
                  <c:v>0.137104714302435</c:v>
                </c:pt>
                <c:pt idx="36">
                  <c:v>0.131982879847124</c:v>
                </c:pt>
                <c:pt idx="37">
                  <c:v>0.130374971621996</c:v>
                </c:pt>
                <c:pt idx="38">
                  <c:v>0.131563301629903</c:v>
                </c:pt>
                <c:pt idx="39">
                  <c:v>0.128614183846561</c:v>
                </c:pt>
                <c:pt idx="40">
                  <c:v>0.129852721529451</c:v>
                </c:pt>
                <c:pt idx="41">
                  <c:v>0.119568082684652</c:v>
                </c:pt>
                <c:pt idx="42">
                  <c:v>0.114300938068787</c:v>
                </c:pt>
                <c:pt idx="43">
                  <c:v>0.129624831027751</c:v>
                </c:pt>
                <c:pt idx="44">
                  <c:v>0.0989566675829913</c:v>
                </c:pt>
                <c:pt idx="45">
                  <c:v>0.126059174509401</c:v>
                </c:pt>
                <c:pt idx="46">
                  <c:v>0.122729869269779</c:v>
                </c:pt>
                <c:pt idx="47">
                  <c:v>0.117876984745284</c:v>
                </c:pt>
                <c:pt idx="48">
                  <c:v>0.115606064459013</c:v>
                </c:pt>
                <c:pt idx="49">
                  <c:v>0.118618622741283</c:v>
                </c:pt>
                <c:pt idx="50">
                  <c:v>0.116044605128936</c:v>
                </c:pt>
                <c:pt idx="51">
                  <c:v>0.111865637924291</c:v>
                </c:pt>
                <c:pt idx="52">
                  <c:v>0.113309002624942</c:v>
                </c:pt>
                <c:pt idx="53">
                  <c:v>0.111082117077446</c:v>
                </c:pt>
                <c:pt idx="54">
                  <c:v>0.113834840899859</c:v>
                </c:pt>
                <c:pt idx="55">
                  <c:v>0.113357537320749</c:v>
                </c:pt>
                <c:pt idx="56">
                  <c:v>0.116208640328575</c:v>
                </c:pt>
                <c:pt idx="57">
                  <c:v>0.111239683527396</c:v>
                </c:pt>
                <c:pt idx="58">
                  <c:v>0.11553260413138</c:v>
                </c:pt>
                <c:pt idx="59">
                  <c:v>0.111622788346802</c:v>
                </c:pt>
                <c:pt idx="60">
                  <c:v>0.114090340227351</c:v>
                </c:pt>
                <c:pt idx="61">
                  <c:v>0.113445698218566</c:v>
                </c:pt>
                <c:pt idx="62">
                  <c:v>0.11578568232052</c:v>
                </c:pt>
                <c:pt idx="63">
                  <c:v>0.12023470380648</c:v>
                </c:pt>
                <c:pt idx="64">
                  <c:v>0.134071916716093</c:v>
                </c:pt>
                <c:pt idx="65">
                  <c:v>0.13818985210582</c:v>
                </c:pt>
                <c:pt idx="66">
                  <c:v>0.127936271836937</c:v>
                </c:pt>
                <c:pt idx="67">
                  <c:v>0.135931525759438</c:v>
                </c:pt>
                <c:pt idx="68">
                  <c:v>0.123272731360666</c:v>
                </c:pt>
                <c:pt idx="69">
                  <c:v>0.12226743296291</c:v>
                </c:pt>
                <c:pt idx="70">
                  <c:v>0.124441741227009</c:v>
                </c:pt>
                <c:pt idx="71">
                  <c:v>0.118515309604947</c:v>
                </c:pt>
                <c:pt idx="72">
                  <c:v>0.116242180494962</c:v>
                </c:pt>
                <c:pt idx="73">
                  <c:v>0.112620885965968</c:v>
                </c:pt>
                <c:pt idx="74">
                  <c:v>0.113305155421149</c:v>
                </c:pt>
                <c:pt idx="75">
                  <c:v>0.105941464292233</c:v>
                </c:pt>
                <c:pt idx="76">
                  <c:v>0.103174357950257</c:v>
                </c:pt>
                <c:pt idx="77">
                  <c:v>0.107685710617127</c:v>
                </c:pt>
                <c:pt idx="78">
                  <c:v>0.105032996286088</c:v>
                </c:pt>
                <c:pt idx="79">
                  <c:v>0.103566170423887</c:v>
                </c:pt>
                <c:pt idx="80">
                  <c:v>0.0951989818972321</c:v>
                </c:pt>
                <c:pt idx="81">
                  <c:v>0.0952718671334464</c:v>
                </c:pt>
                <c:pt idx="82">
                  <c:v>0.0949574452982597</c:v>
                </c:pt>
                <c:pt idx="83">
                  <c:v>0.0855405551968209</c:v>
                </c:pt>
                <c:pt idx="84">
                  <c:v>0.085858607185314</c:v>
                </c:pt>
                <c:pt idx="85">
                  <c:v>0.0907833149955947</c:v>
                </c:pt>
                <c:pt idx="86">
                  <c:v>0.0909035783530824</c:v>
                </c:pt>
                <c:pt idx="87">
                  <c:v>0.0859695624166703</c:v>
                </c:pt>
                <c:pt idx="88">
                  <c:v>0.0843733465789946</c:v>
                </c:pt>
                <c:pt idx="89">
                  <c:v>0.0896070863088282</c:v>
                </c:pt>
                <c:pt idx="90">
                  <c:v>0.126671680476722</c:v>
                </c:pt>
                <c:pt idx="91">
                  <c:v>0.0930481067707059</c:v>
                </c:pt>
                <c:pt idx="92">
                  <c:v>0.0939863257656215</c:v>
                </c:pt>
                <c:pt idx="93">
                  <c:v>0.0835507237383874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总表删错20231214!$BL$97:$BL$110</c:f>
              <c:numCache>
                <c:formatCode>0.00_);[Red]\(0.00\)</c:formatCode>
                <c:ptCount val="14"/>
                <c:pt idx="0">
                  <c:v>17.9634448735519</c:v>
                </c:pt>
                <c:pt idx="1">
                  <c:v>18.0169631615002</c:v>
                </c:pt>
                <c:pt idx="2">
                  <c:v>18.8405019648574</c:v>
                </c:pt>
                <c:pt idx="3">
                  <c:v>18.8445191663542</c:v>
                </c:pt>
                <c:pt idx="4">
                  <c:v>19.3745447954065</c:v>
                </c:pt>
                <c:pt idx="5">
                  <c:v>18.5148993330296</c:v>
                </c:pt>
                <c:pt idx="6">
                  <c:v>14.3591803171075</c:v>
                </c:pt>
                <c:pt idx="7">
                  <c:v>13.3011277448135</c:v>
                </c:pt>
                <c:pt idx="8">
                  <c:v>644.012355002698</c:v>
                </c:pt>
                <c:pt idx="9">
                  <c:v>30.2476621805373</c:v>
                </c:pt>
                <c:pt idx="10">
                  <c:v>76.8275605644415</c:v>
                </c:pt>
                <c:pt idx="11">
                  <c:v>77.5494661387617</c:v>
                </c:pt>
                <c:pt idx="12">
                  <c:v>82.0983718786597</c:v>
                </c:pt>
                <c:pt idx="13">
                  <c:v>30.9730236024732</c:v>
                </c:pt>
              </c:numCache>
            </c:numRef>
          </c:xVal>
          <c:yVal>
            <c:numRef>
              <c:f>总表删错20231214!$AH$97:$AH$110</c:f>
              <c:numCache>
                <c:formatCode>0.00_);[Red]\(0.00\)</c:formatCode>
                <c:ptCount val="14"/>
                <c:pt idx="0">
                  <c:v>0.0990416867648614</c:v>
                </c:pt>
                <c:pt idx="1">
                  <c:v>0.0997751520166141</c:v>
                </c:pt>
                <c:pt idx="2">
                  <c:v>0.0996824947547501</c:v>
                </c:pt>
                <c:pt idx="3">
                  <c:v>0.0996111953230547</c:v>
                </c:pt>
                <c:pt idx="4">
                  <c:v>0.100832487037264</c:v>
                </c:pt>
                <c:pt idx="5">
                  <c:v>0.099166465403528</c:v>
                </c:pt>
                <c:pt idx="6">
                  <c:v>0.0957164085848058</c:v>
                </c:pt>
                <c:pt idx="7">
                  <c:v>0.0956305276690413</c:v>
                </c:pt>
                <c:pt idx="8">
                  <c:v>0.132276095417276</c:v>
                </c:pt>
                <c:pt idx="9">
                  <c:v>0.105127034879173</c:v>
                </c:pt>
                <c:pt idx="10">
                  <c:v>0.107405205136811</c:v>
                </c:pt>
                <c:pt idx="11">
                  <c:v>0.0854113066888093</c:v>
                </c:pt>
                <c:pt idx="12">
                  <c:v>0.0853499307672084</c:v>
                </c:pt>
                <c:pt idx="13">
                  <c:v>0.123570706604839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总表删错20231214!$BL$111:$BL$143</c:f>
              <c:numCache>
                <c:formatCode>0.00_);[Red]\(0.00\)</c:formatCode>
                <c:ptCount val="33"/>
                <c:pt idx="0">
                  <c:v>6.03243773883652</c:v>
                </c:pt>
                <c:pt idx="1">
                  <c:v>6.7653740009446</c:v>
                </c:pt>
                <c:pt idx="2">
                  <c:v>6.73202053954951</c:v>
                </c:pt>
                <c:pt idx="3">
                  <c:v>6.70969844463091</c:v>
                </c:pt>
                <c:pt idx="4">
                  <c:v>7.41308611530119</c:v>
                </c:pt>
                <c:pt idx="5">
                  <c:v>6.48564215632288</c:v>
                </c:pt>
                <c:pt idx="6">
                  <c:v>9.87607411392965</c:v>
                </c:pt>
                <c:pt idx="7">
                  <c:v>9.49628927883206</c:v>
                </c:pt>
                <c:pt idx="8">
                  <c:v>5.94702201462017</c:v>
                </c:pt>
                <c:pt idx="9">
                  <c:v>9.86024385066824</c:v>
                </c:pt>
                <c:pt idx="10">
                  <c:v>14.316461946524</c:v>
                </c:pt>
                <c:pt idx="11">
                  <c:v>17.9555402212938</c:v>
                </c:pt>
                <c:pt idx="12">
                  <c:v>15.1453825823987</c:v>
                </c:pt>
                <c:pt idx="13">
                  <c:v>15.2680467696473</c:v>
                </c:pt>
                <c:pt idx="14">
                  <c:v>10.8660662469585</c:v>
                </c:pt>
                <c:pt idx="15">
                  <c:v>10.2895316001433</c:v>
                </c:pt>
                <c:pt idx="16">
                  <c:v>11.9687278460675</c:v>
                </c:pt>
                <c:pt idx="17">
                  <c:v>13.4000248515272</c:v>
                </c:pt>
                <c:pt idx="18">
                  <c:v>12.8787026771967</c:v>
                </c:pt>
                <c:pt idx="19">
                  <c:v>15.1198881301668</c:v>
                </c:pt>
                <c:pt idx="20">
                  <c:v>14.475263582063</c:v>
                </c:pt>
                <c:pt idx="21">
                  <c:v>13.4131338222107</c:v>
                </c:pt>
                <c:pt idx="22">
                  <c:v>21.5939024107767</c:v>
                </c:pt>
                <c:pt idx="23">
                  <c:v>26.9686427307378</c:v>
                </c:pt>
                <c:pt idx="24">
                  <c:v>14.9815446832297</c:v>
                </c:pt>
                <c:pt idx="25">
                  <c:v>12.7759876031984</c:v>
                </c:pt>
                <c:pt idx="26">
                  <c:v>19.3590129093924</c:v>
                </c:pt>
                <c:pt idx="27">
                  <c:v>23.7008033205644</c:v>
                </c:pt>
                <c:pt idx="28">
                  <c:v>24.8960792281861</c:v>
                </c:pt>
                <c:pt idx="29">
                  <c:v>39.0636433171606</c:v>
                </c:pt>
                <c:pt idx="30">
                  <c:v>36.1189440339488</c:v>
                </c:pt>
                <c:pt idx="31">
                  <c:v>25.9895504695054</c:v>
                </c:pt>
                <c:pt idx="32">
                  <c:v>28.5352839660779</c:v>
                </c:pt>
              </c:numCache>
            </c:numRef>
          </c:xVal>
          <c:yVal>
            <c:numRef>
              <c:f>总表删错20231214!$AH$111:$AH$143</c:f>
              <c:numCache>
                <c:formatCode>0.00_);[Red]\(0.00\)</c:formatCode>
                <c:ptCount val="33"/>
                <c:pt idx="0">
                  <c:v>0.0631546014458742</c:v>
                </c:pt>
                <c:pt idx="1">
                  <c:v>0.0732826603193703</c:v>
                </c:pt>
                <c:pt idx="2">
                  <c:v>0.0721904367589211</c:v>
                </c:pt>
                <c:pt idx="3">
                  <c:v>0.0712755500616338</c:v>
                </c:pt>
                <c:pt idx="4">
                  <c:v>0.0771106757528901</c:v>
                </c:pt>
                <c:pt idx="5">
                  <c:v>0.0829694008433553</c:v>
                </c:pt>
                <c:pt idx="6">
                  <c:v>0.0920943477444137</c:v>
                </c:pt>
                <c:pt idx="7">
                  <c:v>0.0914196014450725</c:v>
                </c:pt>
                <c:pt idx="8">
                  <c:v>0.078427436898236</c:v>
                </c:pt>
                <c:pt idx="9">
                  <c:v>0.0922469073207132</c:v>
                </c:pt>
                <c:pt idx="10">
                  <c:v>0.0956259039739843</c:v>
                </c:pt>
                <c:pt idx="11">
                  <c:v>0.0995758909864093</c:v>
                </c:pt>
                <c:pt idx="12">
                  <c:v>0.0971795721408293</c:v>
                </c:pt>
                <c:pt idx="13">
                  <c:v>0.0970615308174451</c:v>
                </c:pt>
                <c:pt idx="14">
                  <c:v>0.0933756993456615</c:v>
                </c:pt>
                <c:pt idx="15">
                  <c:v>0.091433473578961</c:v>
                </c:pt>
                <c:pt idx="16">
                  <c:v>0.0949176407833207</c:v>
                </c:pt>
                <c:pt idx="17">
                  <c:v>0.0956202933282553</c:v>
                </c:pt>
                <c:pt idx="18">
                  <c:v>0.09392153308977</c:v>
                </c:pt>
                <c:pt idx="19">
                  <c:v>0.103309278547955</c:v>
                </c:pt>
                <c:pt idx="20">
                  <c:v>0.101281519664231</c:v>
                </c:pt>
                <c:pt idx="21">
                  <c:v>0.0993032404396112</c:v>
                </c:pt>
                <c:pt idx="22">
                  <c:v>0.110579486925627</c:v>
                </c:pt>
                <c:pt idx="23">
                  <c:v>0.0812352070794442</c:v>
                </c:pt>
                <c:pt idx="24">
                  <c:v>0.0624316504790155</c:v>
                </c:pt>
                <c:pt idx="25">
                  <c:v>0.0595714598884587</c:v>
                </c:pt>
                <c:pt idx="26">
                  <c:v>0.0867838795212592</c:v>
                </c:pt>
                <c:pt idx="27">
                  <c:v>0.0935631122728037</c:v>
                </c:pt>
                <c:pt idx="28">
                  <c:v>0.0796500170825926</c:v>
                </c:pt>
                <c:pt idx="29">
                  <c:v>0.0780993887629629</c:v>
                </c:pt>
                <c:pt idx="30">
                  <c:v>0.0767666996984747</c:v>
                </c:pt>
                <c:pt idx="31">
                  <c:v>0.118185762992576</c:v>
                </c:pt>
                <c:pt idx="32">
                  <c:v>0.120462385717266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597870"/>
        <c:axId val="387829234"/>
      </c:scatterChart>
      <c:valAx>
        <c:axId val="881597870"/>
        <c:scaling>
          <c:orientation val="minMax"/>
          <c:max val="100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829234"/>
        <c:crosses val="autoZero"/>
        <c:crossBetween val="midCat"/>
      </c:valAx>
      <c:valAx>
        <c:axId val="387829234"/>
        <c:scaling>
          <c:orientation val="minMax"/>
          <c:max val="0.15"/>
          <c:min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59787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c75b34c-ee8a-42e5-8e31-f38ffbcbf9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数值积分法</a:t>
            </a:r>
            <a:r>
              <a:rPr lang="en-US" altLang="zh-CN"/>
              <a:t>t/t</a:t>
            </a:r>
            <a:endParaRPr lang="en-US" altLang="zh-CN"/>
          </a:p>
        </c:rich>
      </c:tx>
      <c:layout>
        <c:manualLayout>
          <c:xMode val="edge"/>
          <c:yMode val="edge"/>
          <c:x val="0.39307128580946"/>
          <c:y val="0.03246753246753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2990996999"/>
          <c:y val="0.202538482311639"/>
          <c:w val="0.84434811603868"/>
          <c:h val="0.73399945989738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总表删错20231214!$BL$3:$BL$96</c:f>
              <c:numCache>
                <c:formatCode>0.00_);[Red]\(0.00\)</c:formatCode>
                <c:ptCount val="94"/>
                <c:pt idx="0">
                  <c:v>14.9309943312997</c:v>
                </c:pt>
                <c:pt idx="1">
                  <c:v>15.7608771593722</c:v>
                </c:pt>
                <c:pt idx="2">
                  <c:v>24.8269965557466</c:v>
                </c:pt>
                <c:pt idx="3">
                  <c:v>15.3078962924791</c:v>
                </c:pt>
                <c:pt idx="4">
                  <c:v>18.9047623004716</c:v>
                </c:pt>
                <c:pt idx="5">
                  <c:v>25.5051145396425</c:v>
                </c:pt>
                <c:pt idx="6">
                  <c:v>16.257446008898</c:v>
                </c:pt>
                <c:pt idx="7">
                  <c:v>19.6040719557453</c:v>
                </c:pt>
                <c:pt idx="8">
                  <c:v>23.2048288926498</c:v>
                </c:pt>
                <c:pt idx="9">
                  <c:v>24.3887841180244</c:v>
                </c:pt>
                <c:pt idx="10">
                  <c:v>71.1370747155645</c:v>
                </c:pt>
                <c:pt idx="11">
                  <c:v>23.1214336233354</c:v>
                </c:pt>
                <c:pt idx="12">
                  <c:v>16.014329032683</c:v>
                </c:pt>
                <c:pt idx="13">
                  <c:v>15.1062262198801</c:v>
                </c:pt>
                <c:pt idx="14">
                  <c:v>12.5982274374674</c:v>
                </c:pt>
                <c:pt idx="15">
                  <c:v>12.4002414791981</c:v>
                </c:pt>
                <c:pt idx="16">
                  <c:v>11.8170425636422</c:v>
                </c:pt>
                <c:pt idx="17">
                  <c:v>362.294524174004</c:v>
                </c:pt>
                <c:pt idx="18">
                  <c:v>26.5663767722582</c:v>
                </c:pt>
                <c:pt idx="19">
                  <c:v>28.1182757829891</c:v>
                </c:pt>
                <c:pt idx="20">
                  <c:v>41.2899173249998</c:v>
                </c:pt>
                <c:pt idx="21">
                  <c:v>12.1012666613594</c:v>
                </c:pt>
                <c:pt idx="22">
                  <c:v>69.3380989017269</c:v>
                </c:pt>
                <c:pt idx="23">
                  <c:v>110.455412328559</c:v>
                </c:pt>
                <c:pt idx="24">
                  <c:v>67.5576527500021</c:v>
                </c:pt>
                <c:pt idx="25">
                  <c:v>111.342272638924</c:v>
                </c:pt>
                <c:pt idx="26">
                  <c:v>60.3417621002489</c:v>
                </c:pt>
                <c:pt idx="27">
                  <c:v>61.0759701204947</c:v>
                </c:pt>
                <c:pt idx="28">
                  <c:v>192.168490251719</c:v>
                </c:pt>
                <c:pt idx="29">
                  <c:v>79.496648685044</c:v>
                </c:pt>
                <c:pt idx="30">
                  <c:v>79.8972831381828</c:v>
                </c:pt>
                <c:pt idx="31">
                  <c:v>42.2240012541292</c:v>
                </c:pt>
                <c:pt idx="32">
                  <c:v>42.3225089967877</c:v>
                </c:pt>
                <c:pt idx="33">
                  <c:v>143.213980119937</c:v>
                </c:pt>
                <c:pt idx="34">
                  <c:v>55.5688645522852</c:v>
                </c:pt>
                <c:pt idx="35">
                  <c:v>76.349787275455</c:v>
                </c:pt>
                <c:pt idx="36">
                  <c:v>52.351938140658</c:v>
                </c:pt>
                <c:pt idx="37">
                  <c:v>43.8166935671358</c:v>
                </c:pt>
                <c:pt idx="38">
                  <c:v>49.8805087990785</c:v>
                </c:pt>
                <c:pt idx="39">
                  <c:v>41.8436165566087</c:v>
                </c:pt>
                <c:pt idx="40">
                  <c:v>43.6293462009661</c:v>
                </c:pt>
                <c:pt idx="41">
                  <c:v>27.6610910180241</c:v>
                </c:pt>
                <c:pt idx="42">
                  <c:v>23.4154891839215</c:v>
                </c:pt>
                <c:pt idx="43">
                  <c:v>42.1125761125138</c:v>
                </c:pt>
                <c:pt idx="44">
                  <c:v>18.1166966428137</c:v>
                </c:pt>
                <c:pt idx="45">
                  <c:v>865.830663281656</c:v>
                </c:pt>
                <c:pt idx="46">
                  <c:v>578.319999817017</c:v>
                </c:pt>
                <c:pt idx="47">
                  <c:v>32.0328796006673</c:v>
                </c:pt>
                <c:pt idx="48">
                  <c:v>29.8800308626609</c:v>
                </c:pt>
                <c:pt idx="49">
                  <c:v>34.0674304393194</c:v>
                </c:pt>
                <c:pt idx="50">
                  <c:v>30.5712918165942</c:v>
                </c:pt>
                <c:pt idx="51">
                  <c:v>22.3706934450891</c:v>
                </c:pt>
                <c:pt idx="52">
                  <c:v>22.9514599688826</c:v>
                </c:pt>
                <c:pt idx="53">
                  <c:v>20.4406570044944</c:v>
                </c:pt>
                <c:pt idx="54">
                  <c:v>22.3860941099104</c:v>
                </c:pt>
                <c:pt idx="55">
                  <c:v>22.002152465313</c:v>
                </c:pt>
                <c:pt idx="56">
                  <c:v>25.3004068290949</c:v>
                </c:pt>
                <c:pt idx="57">
                  <c:v>20.3451438031894</c:v>
                </c:pt>
                <c:pt idx="58">
                  <c:v>24.7318536434489</c:v>
                </c:pt>
                <c:pt idx="59">
                  <c:v>21.1735157957116</c:v>
                </c:pt>
                <c:pt idx="60">
                  <c:v>25.5400153436197</c:v>
                </c:pt>
                <c:pt idx="61">
                  <c:v>23.4553389915794</c:v>
                </c:pt>
                <c:pt idx="62">
                  <c:v>27.2886230205613</c:v>
                </c:pt>
                <c:pt idx="63">
                  <c:v>44.2884302776661</c:v>
                </c:pt>
                <c:pt idx="64">
                  <c:v>47.5973511987827</c:v>
                </c:pt>
                <c:pt idx="65">
                  <c:v>68.6111722053859</c:v>
                </c:pt>
                <c:pt idx="66">
                  <c:v>46.8456245289776</c:v>
                </c:pt>
                <c:pt idx="67">
                  <c:v>87.7002459848314</c:v>
                </c:pt>
                <c:pt idx="68">
                  <c:v>61.8922665781847</c:v>
                </c:pt>
                <c:pt idx="69">
                  <c:v>48.605921815141</c:v>
                </c:pt>
                <c:pt idx="70">
                  <c:v>59.6338039774329</c:v>
                </c:pt>
                <c:pt idx="71">
                  <c:v>61.3393398511762</c:v>
                </c:pt>
                <c:pt idx="72">
                  <c:v>58.6322260811406</c:v>
                </c:pt>
                <c:pt idx="73">
                  <c:v>78.014694619405</c:v>
                </c:pt>
                <c:pt idx="74">
                  <c:v>81.7238473768205</c:v>
                </c:pt>
                <c:pt idx="75">
                  <c:v>81.6778704325052</c:v>
                </c:pt>
                <c:pt idx="76">
                  <c:v>74.1836904994936</c:v>
                </c:pt>
                <c:pt idx="77">
                  <c:v>61.5183985074186</c:v>
                </c:pt>
                <c:pt idx="78">
                  <c:v>88.4857007740174</c:v>
                </c:pt>
                <c:pt idx="79">
                  <c:v>83.8959035026546</c:v>
                </c:pt>
                <c:pt idx="80">
                  <c:v>58.8527438262858</c:v>
                </c:pt>
                <c:pt idx="81">
                  <c:v>75.6714131771601</c:v>
                </c:pt>
                <c:pt idx="82">
                  <c:v>73.3714424422773</c:v>
                </c:pt>
                <c:pt idx="83">
                  <c:v>55.8932705470281</c:v>
                </c:pt>
                <c:pt idx="84">
                  <c:v>59.0353089849244</c:v>
                </c:pt>
                <c:pt idx="85">
                  <c:v>80.5533719057019</c:v>
                </c:pt>
                <c:pt idx="86">
                  <c:v>79.7165913215597</c:v>
                </c:pt>
                <c:pt idx="87">
                  <c:v>90.9224428526472</c:v>
                </c:pt>
                <c:pt idx="88">
                  <c:v>80.4861711842031</c:v>
                </c:pt>
                <c:pt idx="89">
                  <c:v>13.9907374544711</c:v>
                </c:pt>
                <c:pt idx="90">
                  <c:v>37.297921745225</c:v>
                </c:pt>
                <c:pt idx="91">
                  <c:v>24.0901618294885</c:v>
                </c:pt>
                <c:pt idx="92">
                  <c:v>24.2732115891931</c:v>
                </c:pt>
                <c:pt idx="93">
                  <c:v>30.3318687747251</c:v>
                </c:pt>
              </c:numCache>
            </c:numRef>
          </c:xVal>
          <c:yVal>
            <c:numRef>
              <c:f>总表删错20231214!$AO$3:$AO$96</c:f>
              <c:numCache>
                <c:formatCode>0.00_);[Red]\(0.00\)</c:formatCode>
                <c:ptCount val="94"/>
                <c:pt idx="0">
                  <c:v>0.133291574180483</c:v>
                </c:pt>
                <c:pt idx="1">
                  <c:v>0.146822600913695</c:v>
                </c:pt>
                <c:pt idx="2">
                  <c:v>0.216804018666053</c:v>
                </c:pt>
                <c:pt idx="3">
                  <c:v>0.150113383775648</c:v>
                </c:pt>
                <c:pt idx="4">
                  <c:v>0.200630629743821</c:v>
                </c:pt>
                <c:pt idx="5">
                  <c:v>0.318221861642592</c:v>
                </c:pt>
                <c:pt idx="6">
                  <c:v>0.191436892894816</c:v>
                </c:pt>
                <c:pt idx="7">
                  <c:v>0.205746913731626</c:v>
                </c:pt>
                <c:pt idx="8">
                  <c:v>0.31087575144217</c:v>
                </c:pt>
                <c:pt idx="9">
                  <c:v>0.315835703549677</c:v>
                </c:pt>
                <c:pt idx="10">
                  <c:v>-0.000100997113656941</c:v>
                </c:pt>
                <c:pt idx="11">
                  <c:v>-0.0660488885949242</c:v>
                </c:pt>
                <c:pt idx="12">
                  <c:v>0.286622930838206</c:v>
                </c:pt>
                <c:pt idx="13">
                  <c:v>0.271060544931168</c:v>
                </c:pt>
                <c:pt idx="14">
                  <c:v>0.199486315963662</c:v>
                </c:pt>
                <c:pt idx="15">
                  <c:v>0.195629237398728</c:v>
                </c:pt>
                <c:pt idx="16">
                  <c:v>0.0614735370417059</c:v>
                </c:pt>
                <c:pt idx="17">
                  <c:v>-6.59555181451193e-8</c:v>
                </c:pt>
                <c:pt idx="18">
                  <c:v>0.183083864611129</c:v>
                </c:pt>
                <c:pt idx="19">
                  <c:v>0.17711042215498</c:v>
                </c:pt>
                <c:pt idx="20">
                  <c:v>0.236809095299693</c:v>
                </c:pt>
                <c:pt idx="21">
                  <c:v>0.0722229899788666</c:v>
                </c:pt>
                <c:pt idx="22">
                  <c:v>0.45159902311155</c:v>
                </c:pt>
                <c:pt idx="23">
                  <c:v>-0.00530094708353372</c:v>
                </c:pt>
                <c:pt idx="24">
                  <c:v>0.410824204724696</c:v>
                </c:pt>
                <c:pt idx="25">
                  <c:v>-0.00192916288948385</c:v>
                </c:pt>
                <c:pt idx="26">
                  <c:v>0.399116410691301</c:v>
                </c:pt>
                <c:pt idx="27">
                  <c:v>0.455423573300957</c:v>
                </c:pt>
                <c:pt idx="28">
                  <c:v>-1.4209137842586e-5</c:v>
                </c:pt>
                <c:pt idx="29">
                  <c:v>-0.0257827611080991</c:v>
                </c:pt>
                <c:pt idx="30">
                  <c:v>-0.0174413457306193</c:v>
                </c:pt>
                <c:pt idx="31">
                  <c:v>0.226602816540826</c:v>
                </c:pt>
                <c:pt idx="32">
                  <c:v>0.242649212873308</c:v>
                </c:pt>
                <c:pt idx="33">
                  <c:v>-0.000367468849739799</c:v>
                </c:pt>
                <c:pt idx="34">
                  <c:v>0.369637741291457</c:v>
                </c:pt>
                <c:pt idx="35">
                  <c:v>1.9931831713899</c:v>
                </c:pt>
                <c:pt idx="36">
                  <c:v>0.370366191573181</c:v>
                </c:pt>
                <c:pt idx="37">
                  <c:v>0.266619625616648</c:v>
                </c:pt>
                <c:pt idx="38">
                  <c:v>0.343033696708166</c:v>
                </c:pt>
                <c:pt idx="39">
                  <c:v>0.268711995557136</c:v>
                </c:pt>
                <c:pt idx="40">
                  <c:v>0.273751636455412</c:v>
                </c:pt>
                <c:pt idx="41">
                  <c:v>0.185117628641332</c:v>
                </c:pt>
                <c:pt idx="42">
                  <c:v>0.12626837006466</c:v>
                </c:pt>
                <c:pt idx="43">
                  <c:v>0.25428371968846</c:v>
                </c:pt>
                <c:pt idx="44">
                  <c:v>0.0759886827618022</c:v>
                </c:pt>
                <c:pt idx="45">
                  <c:v>-4.51165848982518e-10</c:v>
                </c:pt>
                <c:pt idx="46">
                  <c:v>-2.09186764748724e-9</c:v>
                </c:pt>
                <c:pt idx="47">
                  <c:v>0.304812600179208</c:v>
                </c:pt>
                <c:pt idx="48">
                  <c:v>0.304780671967147</c:v>
                </c:pt>
                <c:pt idx="49">
                  <c:v>0.331352447876107</c:v>
                </c:pt>
                <c:pt idx="50">
                  <c:v>0.311258079672382</c:v>
                </c:pt>
                <c:pt idx="51">
                  <c:v>0.198277861745998</c:v>
                </c:pt>
                <c:pt idx="52">
                  <c:v>0.189392801074257</c:v>
                </c:pt>
                <c:pt idx="53">
                  <c:v>0.166833166615583</c:v>
                </c:pt>
                <c:pt idx="54">
                  <c:v>0.1645858403577</c:v>
                </c:pt>
                <c:pt idx="55">
                  <c:v>0.163303560729074</c:v>
                </c:pt>
                <c:pt idx="56">
                  <c:v>0.192565435843346</c:v>
                </c:pt>
                <c:pt idx="57">
                  <c:v>0.155798494616641</c:v>
                </c:pt>
                <c:pt idx="58">
                  <c:v>0.191725379721475</c:v>
                </c:pt>
                <c:pt idx="59">
                  <c:v>0.176992186291259</c:v>
                </c:pt>
                <c:pt idx="60">
                  <c:v>0.229749403332079</c:v>
                </c:pt>
                <c:pt idx="61">
                  <c:v>0.197131739349062</c:v>
                </c:pt>
                <c:pt idx="62">
                  <c:v>0.237481672526637</c:v>
                </c:pt>
                <c:pt idx="63">
                  <c:v>0.665339723134949</c:v>
                </c:pt>
                <c:pt idx="64">
                  <c:v>0.255159771949367</c:v>
                </c:pt>
                <c:pt idx="65">
                  <c:v>0.413162963887612</c:v>
                </c:pt>
                <c:pt idx="66">
                  <c:v>0.226571594197778</c:v>
                </c:pt>
                <c:pt idx="67">
                  <c:v>0.611129639193208</c:v>
                </c:pt>
                <c:pt idx="68">
                  <c:v>0.360335841351244</c:v>
                </c:pt>
                <c:pt idx="69">
                  <c:v>0.221703614182965</c:v>
                </c:pt>
                <c:pt idx="70">
                  <c:v>0.317375304844022</c:v>
                </c:pt>
                <c:pt idx="71">
                  <c:v>0.309654823677062</c:v>
                </c:pt>
                <c:pt idx="72">
                  <c:v>0.3248296108145</c:v>
                </c:pt>
                <c:pt idx="73">
                  <c:v>0.471128836524072</c:v>
                </c:pt>
                <c:pt idx="74">
                  <c:v>0.783034721106102</c:v>
                </c:pt>
                <c:pt idx="75">
                  <c:v>-0.466595580800225</c:v>
                </c:pt>
                <c:pt idx="76">
                  <c:v>-0.286509555439067</c:v>
                </c:pt>
                <c:pt idx="77">
                  <c:v>0.241996217843342</c:v>
                </c:pt>
                <c:pt idx="78">
                  <c:v>0.323200642842293</c:v>
                </c:pt>
                <c:pt idx="79">
                  <c:v>0.320484633951374</c:v>
                </c:pt>
                <c:pt idx="80">
                  <c:v>0.287650624776336</c:v>
                </c:pt>
                <c:pt idx="81">
                  <c:v>0.290840746137993</c:v>
                </c:pt>
                <c:pt idx="82">
                  <c:v>0.28541146549659</c:v>
                </c:pt>
                <c:pt idx="83">
                  <c:v>-0.284555595373862</c:v>
                </c:pt>
                <c:pt idx="84">
                  <c:v>0.255264731064951</c:v>
                </c:pt>
                <c:pt idx="85">
                  <c:v>0.281677193147151</c:v>
                </c:pt>
                <c:pt idx="86">
                  <c:v>0.275446635404066</c:v>
                </c:pt>
                <c:pt idx="87">
                  <c:v>1.70782429523374</c:v>
                </c:pt>
                <c:pt idx="88">
                  <c:v>0.315829943028159</c:v>
                </c:pt>
                <c:pt idx="89">
                  <c:v>0.065268367457755</c:v>
                </c:pt>
                <c:pt idx="90">
                  <c:v>0.231803654261821</c:v>
                </c:pt>
                <c:pt idx="91">
                  <c:v>0.100350400746894</c:v>
                </c:pt>
                <c:pt idx="92">
                  <c:v>0.114424659339715</c:v>
                </c:pt>
                <c:pt idx="93">
                  <c:v>0.122343738779124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总表删错20231214!$BL$97:$BL$110</c:f>
              <c:numCache>
                <c:formatCode>0.00_);[Red]\(0.00\)</c:formatCode>
                <c:ptCount val="14"/>
                <c:pt idx="0">
                  <c:v>17.9634448735519</c:v>
                </c:pt>
                <c:pt idx="1">
                  <c:v>18.0169631615002</c:v>
                </c:pt>
                <c:pt idx="2">
                  <c:v>18.8405019648574</c:v>
                </c:pt>
                <c:pt idx="3">
                  <c:v>18.8445191663542</c:v>
                </c:pt>
                <c:pt idx="4">
                  <c:v>19.3745447954065</c:v>
                </c:pt>
                <c:pt idx="5">
                  <c:v>18.5148993330296</c:v>
                </c:pt>
                <c:pt idx="6">
                  <c:v>14.3591803171075</c:v>
                </c:pt>
                <c:pt idx="7">
                  <c:v>13.3011277448135</c:v>
                </c:pt>
                <c:pt idx="8">
                  <c:v>644.012355002698</c:v>
                </c:pt>
                <c:pt idx="9">
                  <c:v>30.2476621805373</c:v>
                </c:pt>
                <c:pt idx="10">
                  <c:v>76.8275605644415</c:v>
                </c:pt>
                <c:pt idx="11">
                  <c:v>77.5494661387617</c:v>
                </c:pt>
                <c:pt idx="12">
                  <c:v>82.0983718786597</c:v>
                </c:pt>
                <c:pt idx="13">
                  <c:v>30.9730236024732</c:v>
                </c:pt>
              </c:numCache>
            </c:numRef>
          </c:xVal>
          <c:yVal>
            <c:numRef>
              <c:f>总表删错20231214!$AO$97:$AO$110</c:f>
              <c:numCache>
                <c:formatCode>0.00_);[Red]\(0.00\)</c:formatCode>
                <c:ptCount val="14"/>
                <c:pt idx="0">
                  <c:v>0.295989865505812</c:v>
                </c:pt>
                <c:pt idx="1">
                  <c:v>0.296310409646841</c:v>
                </c:pt>
                <c:pt idx="2">
                  <c:v>0.298343665980249</c:v>
                </c:pt>
                <c:pt idx="3">
                  <c:v>0.298277142079783</c:v>
                </c:pt>
                <c:pt idx="4">
                  <c:v>0.301415736757019</c:v>
                </c:pt>
                <c:pt idx="5">
                  <c:v>0.296959509443285</c:v>
                </c:pt>
                <c:pt idx="6">
                  <c:v>0.264520365862439</c:v>
                </c:pt>
                <c:pt idx="7">
                  <c:v>0.221728437464475</c:v>
                </c:pt>
                <c:pt idx="8">
                  <c:v>-6.28876368959081e-9</c:v>
                </c:pt>
                <c:pt idx="9">
                  <c:v>0.139562962477194</c:v>
                </c:pt>
                <c:pt idx="10">
                  <c:v>-0.027675185045729</c:v>
                </c:pt>
                <c:pt idx="11">
                  <c:v>0.255472158231133</c:v>
                </c:pt>
                <c:pt idx="12">
                  <c:v>0.273638585879805</c:v>
                </c:pt>
                <c:pt idx="13">
                  <c:v>0.161140617667702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总表删错20231214!$BL$111:$BL$143</c:f>
              <c:numCache>
                <c:formatCode>0.00_);[Red]\(0.00\)</c:formatCode>
                <c:ptCount val="33"/>
                <c:pt idx="0">
                  <c:v>6.03243773883652</c:v>
                </c:pt>
                <c:pt idx="1">
                  <c:v>6.7653740009446</c:v>
                </c:pt>
                <c:pt idx="2">
                  <c:v>6.73202053954951</c:v>
                </c:pt>
                <c:pt idx="3">
                  <c:v>6.70969844463091</c:v>
                </c:pt>
                <c:pt idx="4">
                  <c:v>7.41308611530119</c:v>
                </c:pt>
                <c:pt idx="5">
                  <c:v>6.48564215632288</c:v>
                </c:pt>
                <c:pt idx="6">
                  <c:v>9.87607411392965</c:v>
                </c:pt>
                <c:pt idx="7">
                  <c:v>9.49628927883206</c:v>
                </c:pt>
                <c:pt idx="8">
                  <c:v>5.94702201462017</c:v>
                </c:pt>
                <c:pt idx="9">
                  <c:v>9.86024385066824</c:v>
                </c:pt>
                <c:pt idx="10">
                  <c:v>14.316461946524</c:v>
                </c:pt>
                <c:pt idx="11">
                  <c:v>17.9555402212938</c:v>
                </c:pt>
                <c:pt idx="12">
                  <c:v>15.1453825823987</c:v>
                </c:pt>
                <c:pt idx="13">
                  <c:v>15.2680467696473</c:v>
                </c:pt>
                <c:pt idx="14">
                  <c:v>10.8660662469585</c:v>
                </c:pt>
                <c:pt idx="15">
                  <c:v>10.2895316001433</c:v>
                </c:pt>
                <c:pt idx="16">
                  <c:v>11.9687278460675</c:v>
                </c:pt>
                <c:pt idx="17">
                  <c:v>13.4000248515272</c:v>
                </c:pt>
                <c:pt idx="18">
                  <c:v>12.8787026771967</c:v>
                </c:pt>
                <c:pt idx="19">
                  <c:v>15.1198881301668</c:v>
                </c:pt>
                <c:pt idx="20">
                  <c:v>14.475263582063</c:v>
                </c:pt>
                <c:pt idx="21">
                  <c:v>13.4131338222107</c:v>
                </c:pt>
                <c:pt idx="22">
                  <c:v>21.5939024107767</c:v>
                </c:pt>
                <c:pt idx="23">
                  <c:v>26.9686427307378</c:v>
                </c:pt>
                <c:pt idx="24">
                  <c:v>14.9815446832297</c:v>
                </c:pt>
                <c:pt idx="25">
                  <c:v>12.7759876031984</c:v>
                </c:pt>
                <c:pt idx="26">
                  <c:v>19.3590129093924</c:v>
                </c:pt>
                <c:pt idx="27">
                  <c:v>23.7008033205644</c:v>
                </c:pt>
                <c:pt idx="28">
                  <c:v>24.8960792281861</c:v>
                </c:pt>
                <c:pt idx="29">
                  <c:v>39.0636433171606</c:v>
                </c:pt>
                <c:pt idx="30">
                  <c:v>36.1189440339488</c:v>
                </c:pt>
                <c:pt idx="31">
                  <c:v>25.9895504695054</c:v>
                </c:pt>
                <c:pt idx="32">
                  <c:v>28.5352839660779</c:v>
                </c:pt>
              </c:numCache>
            </c:numRef>
          </c:xVal>
          <c:yVal>
            <c:numRef>
              <c:f>总表删错20231214!$AO$111:$AO$143</c:f>
              <c:numCache>
                <c:formatCode>0.00_);[Red]\(0.00\)</c:formatCode>
                <c:ptCount val="33"/>
                <c:pt idx="0">
                  <c:v>0.0433264716459849</c:v>
                </c:pt>
                <c:pt idx="1">
                  <c:v>0.0523273270273029</c:v>
                </c:pt>
                <c:pt idx="2">
                  <c:v>0.0509869364294379</c:v>
                </c:pt>
                <c:pt idx="3">
                  <c:v>0.0499546224279954</c:v>
                </c:pt>
                <c:pt idx="4">
                  <c:v>0.056772970947938</c:v>
                </c:pt>
                <c:pt idx="5">
                  <c:v>0.0923291096244012</c:v>
                </c:pt>
                <c:pt idx="6">
                  <c:v>0.148686436922784</c:v>
                </c:pt>
                <c:pt idx="7">
                  <c:v>0.143606444407249</c:v>
                </c:pt>
                <c:pt idx="8">
                  <c:v>0.0687390052019069</c:v>
                </c:pt>
                <c:pt idx="9">
                  <c:v>0.145586908142333</c:v>
                </c:pt>
                <c:pt idx="10">
                  <c:v>0.264671760465019</c:v>
                </c:pt>
                <c:pt idx="11">
                  <c:v>0.296283493101839</c:v>
                </c:pt>
                <c:pt idx="12">
                  <c:v>0.264691406953721</c:v>
                </c:pt>
                <c:pt idx="13">
                  <c:v>0.270987079657821</c:v>
                </c:pt>
                <c:pt idx="14">
                  <c:v>0.165716178788675</c:v>
                </c:pt>
                <c:pt idx="15">
                  <c:v>0.173766798506286</c:v>
                </c:pt>
                <c:pt idx="16">
                  <c:v>0.181069953929978</c:v>
                </c:pt>
                <c:pt idx="17">
                  <c:v>0.226391116868346</c:v>
                </c:pt>
                <c:pt idx="18">
                  <c:v>0.24142769006462</c:v>
                </c:pt>
                <c:pt idx="19">
                  <c:v>0.136916748594699</c:v>
                </c:pt>
                <c:pt idx="20">
                  <c:v>0.110966905802622</c:v>
                </c:pt>
                <c:pt idx="21">
                  <c:v>0.107963347310472</c:v>
                </c:pt>
                <c:pt idx="22">
                  <c:v>0.108691194684207</c:v>
                </c:pt>
                <c:pt idx="23">
                  <c:v>0.105230958015216</c:v>
                </c:pt>
                <c:pt idx="24">
                  <c:v>0.0458263442238095</c:v>
                </c:pt>
                <c:pt idx="25">
                  <c:v>0.0433500471540872</c:v>
                </c:pt>
                <c:pt idx="26">
                  <c:v>0.0829164171332715</c:v>
                </c:pt>
                <c:pt idx="27">
                  <c:v>0.118795065266684</c:v>
                </c:pt>
                <c:pt idx="28">
                  <c:v>0.105365829403366</c:v>
                </c:pt>
                <c:pt idx="29">
                  <c:v>0.12449260815793</c:v>
                </c:pt>
                <c:pt idx="30">
                  <c:v>0.118896345658274</c:v>
                </c:pt>
                <c:pt idx="31">
                  <c:v>0.149257918443857</c:v>
                </c:pt>
                <c:pt idx="32">
                  <c:v>0.138760845469358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597870"/>
        <c:axId val="387829234"/>
      </c:scatterChart>
      <c:valAx>
        <c:axId val="881597870"/>
        <c:scaling>
          <c:orientation val="minMax"/>
          <c:max val="100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829234"/>
        <c:crosses val="autoZero"/>
        <c:crossBetween val="midCat"/>
      </c:valAx>
      <c:valAx>
        <c:axId val="387829234"/>
        <c:scaling>
          <c:logBase val="10"/>
          <c:orientation val="minMax"/>
          <c:max val="1"/>
          <c:min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59787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f50f6c-24f4-4dee-9006-5f7f19f437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7" Type="http://schemas.openxmlformats.org/officeDocument/2006/relationships/image" Target="../media/image5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7" Type="http://schemas.openxmlformats.org/officeDocument/2006/relationships/image" Target="../media/image5.png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4.xml"/><Relationship Id="rId8" Type="http://schemas.openxmlformats.org/officeDocument/2006/relationships/chart" Target="../charts/chart23.xml"/><Relationship Id="rId7" Type="http://schemas.openxmlformats.org/officeDocument/2006/relationships/chart" Target="../charts/chart22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Relationship Id="rId3" Type="http://schemas.openxmlformats.org/officeDocument/2006/relationships/chart" Target="../charts/chart18.xml"/><Relationship Id="rId20" Type="http://schemas.openxmlformats.org/officeDocument/2006/relationships/image" Target="../media/image20.png"/><Relationship Id="rId2" Type="http://schemas.openxmlformats.org/officeDocument/2006/relationships/chart" Target="../charts/chart17.xml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6.png"/><Relationship Id="rId13" Type="http://schemas.openxmlformats.org/officeDocument/2006/relationships/image" Target="../media/image5.png"/><Relationship Id="rId12" Type="http://schemas.openxmlformats.org/officeDocument/2006/relationships/chart" Target="../charts/chart27.xml"/><Relationship Id="rId11" Type="http://schemas.openxmlformats.org/officeDocument/2006/relationships/chart" Target="../charts/chart26.xml"/><Relationship Id="rId10" Type="http://schemas.openxmlformats.org/officeDocument/2006/relationships/chart" Target="../charts/chart25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6.xml"/><Relationship Id="rId8" Type="http://schemas.openxmlformats.org/officeDocument/2006/relationships/chart" Target="../charts/chart35.xml"/><Relationship Id="rId7" Type="http://schemas.openxmlformats.org/officeDocument/2006/relationships/chart" Target="../charts/chart34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3" Type="http://schemas.openxmlformats.org/officeDocument/2006/relationships/chart" Target="../charts/chart30.xml"/><Relationship Id="rId24" Type="http://schemas.openxmlformats.org/officeDocument/2006/relationships/image" Target="../media/image39.png"/><Relationship Id="rId23" Type="http://schemas.openxmlformats.org/officeDocument/2006/relationships/image" Target="../media/image38.png"/><Relationship Id="rId22" Type="http://schemas.openxmlformats.org/officeDocument/2006/relationships/image" Target="../media/image37.png"/><Relationship Id="rId21" Type="http://schemas.openxmlformats.org/officeDocument/2006/relationships/image" Target="../media/image36.png"/><Relationship Id="rId20" Type="http://schemas.openxmlformats.org/officeDocument/2006/relationships/image" Target="../media/image20.png"/><Relationship Id="rId2" Type="http://schemas.openxmlformats.org/officeDocument/2006/relationships/chart" Target="../charts/chart29.xml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chart" Target="../charts/chart41.xml"/><Relationship Id="rId13" Type="http://schemas.openxmlformats.org/officeDocument/2006/relationships/chart" Target="../charts/chart40.xml"/><Relationship Id="rId12" Type="http://schemas.openxmlformats.org/officeDocument/2006/relationships/chart" Target="../charts/chart39.xml"/><Relationship Id="rId11" Type="http://schemas.openxmlformats.org/officeDocument/2006/relationships/chart" Target="../charts/chart38.xml"/><Relationship Id="rId10" Type="http://schemas.openxmlformats.org/officeDocument/2006/relationships/chart" Target="../charts/chart37.xml"/><Relationship Id="rId1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9" Type="http://schemas.openxmlformats.org/officeDocument/2006/relationships/image" Target="../media/image48.png"/><Relationship Id="rId8" Type="http://schemas.openxmlformats.org/officeDocument/2006/relationships/image" Target="../media/image47.png"/><Relationship Id="rId7" Type="http://schemas.openxmlformats.org/officeDocument/2006/relationships/image" Target="../media/image46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1" Type="http://schemas.openxmlformats.org/officeDocument/2006/relationships/image" Target="../media/image50.png"/><Relationship Id="rId10" Type="http://schemas.openxmlformats.org/officeDocument/2006/relationships/image" Target="../media/image49.png"/><Relationship Id="rId1" Type="http://schemas.openxmlformats.org/officeDocument/2006/relationships/image" Target="../media/image40.png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wmf"/><Relationship Id="rId8" Type="http://schemas.openxmlformats.org/officeDocument/2006/relationships/image" Target="../media/image11.wmf"/><Relationship Id="rId7" Type="http://schemas.openxmlformats.org/officeDocument/2006/relationships/image" Target="../media/image10.wmf"/><Relationship Id="rId6" Type="http://schemas.openxmlformats.org/officeDocument/2006/relationships/image" Target="../media/image9.wmf"/><Relationship Id="rId5" Type="http://schemas.openxmlformats.org/officeDocument/2006/relationships/image" Target="../media/image8.wmf"/><Relationship Id="rId4" Type="http://schemas.openxmlformats.org/officeDocument/2006/relationships/image" Target="../media/image7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9" Type="http://schemas.openxmlformats.org/officeDocument/2006/relationships/image" Target="../media/image14.wmf"/><Relationship Id="rId8" Type="http://schemas.openxmlformats.org/officeDocument/2006/relationships/image" Target="../media/image11.wmf"/><Relationship Id="rId7" Type="http://schemas.openxmlformats.org/officeDocument/2006/relationships/image" Target="../media/image10.wmf"/><Relationship Id="rId6" Type="http://schemas.openxmlformats.org/officeDocument/2006/relationships/image" Target="../media/image13.wmf"/><Relationship Id="rId5" Type="http://schemas.openxmlformats.org/officeDocument/2006/relationships/image" Target="../media/image8.wmf"/><Relationship Id="rId4" Type="http://schemas.openxmlformats.org/officeDocument/2006/relationships/image" Target="../media/image7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0" Type="http://schemas.openxmlformats.org/officeDocument/2006/relationships/image" Target="../media/image12.wmf"/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9" Type="http://schemas.openxmlformats.org/officeDocument/2006/relationships/image" Target="../media/image25.wmf"/><Relationship Id="rId8" Type="http://schemas.openxmlformats.org/officeDocument/2006/relationships/image" Target="../media/image11.wmf"/><Relationship Id="rId7" Type="http://schemas.openxmlformats.org/officeDocument/2006/relationships/image" Target="../media/image24.wmf"/><Relationship Id="rId6" Type="http://schemas.openxmlformats.org/officeDocument/2006/relationships/image" Target="../media/image23.wmf"/><Relationship Id="rId5" Type="http://schemas.openxmlformats.org/officeDocument/2006/relationships/image" Target="../media/image22.wmf"/><Relationship Id="rId4" Type="http://schemas.openxmlformats.org/officeDocument/2006/relationships/image" Target="../media/image21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9" Type="http://schemas.openxmlformats.org/officeDocument/2006/relationships/image" Target="../media/image35.wmf"/><Relationship Id="rId18" Type="http://schemas.openxmlformats.org/officeDocument/2006/relationships/image" Target="../media/image34.wmf"/><Relationship Id="rId17" Type="http://schemas.openxmlformats.org/officeDocument/2006/relationships/image" Target="../media/image33.wmf"/><Relationship Id="rId16" Type="http://schemas.openxmlformats.org/officeDocument/2006/relationships/image" Target="../media/image32.wmf"/><Relationship Id="rId15" Type="http://schemas.openxmlformats.org/officeDocument/2006/relationships/image" Target="../media/image31.wmf"/><Relationship Id="rId14" Type="http://schemas.openxmlformats.org/officeDocument/2006/relationships/image" Target="../media/image30.wmf"/><Relationship Id="rId13" Type="http://schemas.openxmlformats.org/officeDocument/2006/relationships/image" Target="../media/image29.wmf"/><Relationship Id="rId12" Type="http://schemas.openxmlformats.org/officeDocument/2006/relationships/image" Target="../media/image28.wmf"/><Relationship Id="rId11" Type="http://schemas.openxmlformats.org/officeDocument/2006/relationships/image" Target="../media/image27.wmf"/><Relationship Id="rId10" Type="http://schemas.openxmlformats.org/officeDocument/2006/relationships/image" Target="../media/image26.wmf"/><Relationship Id="rId1" Type="http://schemas.openxmlformats.org/officeDocument/2006/relationships/image" Target="../media/image1.wmf"/></Relationships>
</file>

<file path=xl/drawings/_rels/vmlDrawing5.vml.rels><?xml version="1.0" encoding="UTF-8" standalone="yes"?>
<Relationships xmlns="http://schemas.openxmlformats.org/package/2006/relationships"><Relationship Id="rId9" Type="http://schemas.openxmlformats.org/officeDocument/2006/relationships/image" Target="../media/image26.wmf"/><Relationship Id="rId8" Type="http://schemas.openxmlformats.org/officeDocument/2006/relationships/image" Target="../media/image25.wmf"/><Relationship Id="rId7" Type="http://schemas.openxmlformats.org/officeDocument/2006/relationships/image" Target="../media/image24.wmf"/><Relationship Id="rId6" Type="http://schemas.openxmlformats.org/officeDocument/2006/relationships/image" Target="../media/image23.wmf"/><Relationship Id="rId5" Type="http://schemas.openxmlformats.org/officeDocument/2006/relationships/image" Target="../media/image22.wmf"/><Relationship Id="rId4" Type="http://schemas.openxmlformats.org/officeDocument/2006/relationships/image" Target="../media/image21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8" Type="http://schemas.openxmlformats.org/officeDocument/2006/relationships/image" Target="../media/image35.wmf"/><Relationship Id="rId17" Type="http://schemas.openxmlformats.org/officeDocument/2006/relationships/image" Target="../media/image34.wmf"/><Relationship Id="rId16" Type="http://schemas.openxmlformats.org/officeDocument/2006/relationships/image" Target="../media/image33.wmf"/><Relationship Id="rId15" Type="http://schemas.openxmlformats.org/officeDocument/2006/relationships/image" Target="../media/image32.wmf"/><Relationship Id="rId14" Type="http://schemas.openxmlformats.org/officeDocument/2006/relationships/image" Target="../media/image31.wmf"/><Relationship Id="rId13" Type="http://schemas.openxmlformats.org/officeDocument/2006/relationships/image" Target="../media/image30.wmf"/><Relationship Id="rId12" Type="http://schemas.openxmlformats.org/officeDocument/2006/relationships/image" Target="../media/image29.wmf"/><Relationship Id="rId11" Type="http://schemas.openxmlformats.org/officeDocument/2006/relationships/image" Target="../media/image28.wmf"/><Relationship Id="rId10" Type="http://schemas.openxmlformats.org/officeDocument/2006/relationships/image" Target="../media/image27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</xdr:colOff>
          <xdr:row>52</xdr:row>
          <xdr:rowOff>14605</xdr:rowOff>
        </xdr:from>
        <xdr:to>
          <xdr:col>3</xdr:col>
          <xdr:colOff>1169035</xdr:colOff>
          <xdr:row>59</xdr:row>
          <xdr:rowOff>112395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346325" y="16854805"/>
              <a:ext cx="2333625" cy="13246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52</xdr:row>
          <xdr:rowOff>3175</xdr:rowOff>
        </xdr:from>
        <xdr:to>
          <xdr:col>5</xdr:col>
          <xdr:colOff>1096010</xdr:colOff>
          <xdr:row>59</xdr:row>
          <xdr:rowOff>100965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4688840" y="16843375"/>
              <a:ext cx="2258695" cy="13246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1089660</xdr:colOff>
          <xdr:row>52</xdr:row>
          <xdr:rowOff>3810</xdr:rowOff>
        </xdr:from>
        <xdr:to>
          <xdr:col>7</xdr:col>
          <xdr:colOff>710565</xdr:colOff>
          <xdr:row>59</xdr:row>
          <xdr:rowOff>104775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941185" y="16844010"/>
              <a:ext cx="1961515" cy="1327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52</xdr:row>
          <xdr:rowOff>6350</xdr:rowOff>
        </xdr:from>
        <xdr:to>
          <xdr:col>9</xdr:col>
          <xdr:colOff>709930</xdr:colOff>
          <xdr:row>59</xdr:row>
          <xdr:rowOff>119380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8916035" y="16846550"/>
              <a:ext cx="2326640" cy="13398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57</xdr:col>
      <xdr:colOff>237490</xdr:colOff>
      <xdr:row>23</xdr:row>
      <xdr:rowOff>220345</xdr:rowOff>
    </xdr:from>
    <xdr:to>
      <xdr:col>72</xdr:col>
      <xdr:colOff>511810</xdr:colOff>
      <xdr:row>50</xdr:row>
      <xdr:rowOff>139065</xdr:rowOff>
    </xdr:to>
    <xdr:grpSp>
      <xdr:nvGrpSpPr>
        <xdr:cNvPr id="28" name="组合 27"/>
        <xdr:cNvGrpSpPr/>
      </xdr:nvGrpSpPr>
      <xdr:grpSpPr>
        <a:xfrm>
          <a:off x="51814730" y="7853045"/>
          <a:ext cx="9532620" cy="8491220"/>
          <a:chOff x="73541" y="12401"/>
          <a:chExt cx="15159" cy="21865"/>
        </a:xfrm>
      </xdr:grpSpPr>
      <xdr:graphicFrame>
        <xdr:nvGraphicFramePr>
          <xdr:cNvPr id="20" name="图表 19"/>
          <xdr:cNvGraphicFramePr/>
        </xdr:nvGraphicFramePr>
        <xdr:xfrm>
          <a:off x="73560" y="12401"/>
          <a:ext cx="15140" cy="107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27" name="图片 26" descr="c5d80966f2c295feb92c736caf8f32f"/>
          <xdr:cNvPicPr>
            <a:picLocks noChangeAspect="1"/>
          </xdr:cNvPicPr>
        </xdr:nvPicPr>
        <xdr:blipFill>
          <a:blip r:embed="rId7"/>
          <a:stretch>
            <a:fillRect/>
          </a:stretch>
        </xdr:blipFill>
        <xdr:spPr>
          <a:xfrm>
            <a:off x="73541" y="23186"/>
            <a:ext cx="15129" cy="11080"/>
          </a:xfrm>
          <a:prstGeom prst="rect">
            <a:avLst/>
          </a:prstGeom>
        </xdr:spPr>
      </xdr:pic>
    </xdr:grpSp>
    <xdr:clientData/>
  </xdr:twoCellAnchor>
  <xdr:twoCellAnchor>
    <xdr:from>
      <xdr:col>38</xdr:col>
      <xdr:colOff>610870</xdr:colOff>
      <xdr:row>23</xdr:row>
      <xdr:rowOff>50165</xdr:rowOff>
    </xdr:from>
    <xdr:to>
      <xdr:col>56</xdr:col>
      <xdr:colOff>381000</xdr:colOff>
      <xdr:row>50</xdr:row>
      <xdr:rowOff>149860</xdr:rowOff>
    </xdr:to>
    <xdr:grpSp>
      <xdr:nvGrpSpPr>
        <xdr:cNvPr id="26" name="组合 25"/>
        <xdr:cNvGrpSpPr/>
      </xdr:nvGrpSpPr>
      <xdr:grpSpPr>
        <a:xfrm>
          <a:off x="40460930" y="7682865"/>
          <a:ext cx="10880090" cy="8672195"/>
          <a:chOff x="55687" y="11970"/>
          <a:chExt cx="17108" cy="20938"/>
        </a:xfrm>
      </xdr:grpSpPr>
      <xdr:graphicFrame>
        <xdr:nvGraphicFramePr>
          <xdr:cNvPr id="18" name="图表 17"/>
          <xdr:cNvGraphicFramePr/>
        </xdr:nvGraphicFramePr>
        <xdr:xfrm>
          <a:off x="55697" y="11970"/>
          <a:ext cx="17098" cy="107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pic>
        <xdr:nvPicPr>
          <xdr:cNvPr id="24" name="图片 23" descr="a78d1ebd112213cc2d1a6eb051ff847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55687" y="22726"/>
            <a:ext cx="17108" cy="10183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960120</xdr:colOff>
          <xdr:row>5</xdr:row>
          <xdr:rowOff>96520</xdr:rowOff>
        </xdr:from>
        <xdr:to>
          <xdr:col>7</xdr:col>
          <xdr:colOff>953135</xdr:colOff>
          <xdr:row>9</xdr:row>
          <xdr:rowOff>151130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811645" y="2014220"/>
              <a:ext cx="2333625" cy="13246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51435</xdr:colOff>
          <xdr:row>5</xdr:row>
          <xdr:rowOff>45085</xdr:rowOff>
        </xdr:from>
        <xdr:to>
          <xdr:col>9</xdr:col>
          <xdr:colOff>1139825</xdr:colOff>
          <xdr:row>9</xdr:row>
          <xdr:rowOff>99695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9413875" y="1962785"/>
              <a:ext cx="2258695" cy="13246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1435735</xdr:colOff>
          <xdr:row>4</xdr:row>
          <xdr:rowOff>261620</xdr:rowOff>
        </xdr:from>
        <xdr:to>
          <xdr:col>10</xdr:col>
          <xdr:colOff>1149350</xdr:colOff>
          <xdr:row>9</xdr:row>
          <xdr:rowOff>1905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1968480" y="1861820"/>
              <a:ext cx="1961515" cy="1327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176530</xdr:colOff>
          <xdr:row>5</xdr:row>
          <xdr:rowOff>77470</xdr:rowOff>
        </xdr:from>
        <xdr:to>
          <xdr:col>15</xdr:col>
          <xdr:colOff>234315</xdr:colOff>
          <xdr:row>9</xdr:row>
          <xdr:rowOff>147320</xdr:rowOff>
        </xdr:to>
        <xdr:sp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16977360" y="1995170"/>
              <a:ext cx="2398395" cy="13398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23</xdr:col>
      <xdr:colOff>656590</xdr:colOff>
      <xdr:row>0</xdr:row>
      <xdr:rowOff>513080</xdr:rowOff>
    </xdr:from>
    <xdr:to>
      <xdr:col>38</xdr:col>
      <xdr:colOff>182880</xdr:colOff>
      <xdr:row>21</xdr:row>
      <xdr:rowOff>304800</xdr:rowOff>
    </xdr:to>
    <xdr:graphicFrame>
      <xdr:nvGraphicFramePr>
        <xdr:cNvPr id="2" name="图表 1"/>
        <xdr:cNvGraphicFramePr/>
      </xdr:nvGraphicFramePr>
      <xdr:xfrm>
        <a:off x="30512385" y="513080"/>
        <a:ext cx="9520555" cy="678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662940</xdr:colOff>
      <xdr:row>22</xdr:row>
      <xdr:rowOff>193675</xdr:rowOff>
    </xdr:from>
    <xdr:to>
      <xdr:col>38</xdr:col>
      <xdr:colOff>189230</xdr:colOff>
      <xdr:row>43</xdr:row>
      <xdr:rowOff>315595</xdr:rowOff>
    </xdr:to>
    <xdr:graphicFrame>
      <xdr:nvGraphicFramePr>
        <xdr:cNvPr id="3" name="图表 2"/>
        <xdr:cNvGraphicFramePr/>
      </xdr:nvGraphicFramePr>
      <xdr:xfrm>
        <a:off x="30518735" y="7508875"/>
        <a:ext cx="9520555" cy="678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27</xdr:col>
      <xdr:colOff>140970</xdr:colOff>
      <xdr:row>35</xdr:row>
      <xdr:rowOff>301625</xdr:rowOff>
    </xdr:from>
    <xdr:ext cx="3566795" cy="1151255"/>
    <xdr:sp>
      <xdr:nvSpPr>
        <xdr:cNvPr id="4" name="文本框 3"/>
        <xdr:cNvSpPr txBox="1"/>
      </xdr:nvSpPr>
      <xdr:spPr>
        <a:xfrm>
          <a:off x="33201610" y="11744325"/>
          <a:ext cx="3566795" cy="115125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出现类似WeOh</a:t>
          </a:r>
          <a:r>
            <a: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^</a:t>
          </a:r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−0.58 &gt; 119（文献而来）的分界线。但该拟合线稍有误差，需要修正。可能误差原因：</a:t>
          </a:r>
          <a:r>
            <a: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1.</a:t>
          </a:r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粘度不准，得测；</a:t>
          </a:r>
          <a:r>
            <a: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2.criteria</a:t>
          </a:r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改变</a:t>
          </a:r>
          <a:endParaRPr lang="en-US" altLang="zh-CN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xdr:oneCellAnchor>
    <xdr:from>
      <xdr:col>25</xdr:col>
      <xdr:colOff>551180</xdr:colOff>
      <xdr:row>2</xdr:row>
      <xdr:rowOff>130175</xdr:rowOff>
    </xdr:from>
    <xdr:ext cx="3629660" cy="901065"/>
    <xdr:sp>
      <xdr:nvSpPr>
        <xdr:cNvPr id="5" name="文本框 4"/>
        <xdr:cNvSpPr txBox="1"/>
      </xdr:nvSpPr>
      <xdr:spPr>
        <a:xfrm>
          <a:off x="32194500" y="1095375"/>
          <a:ext cx="3629660" cy="90106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原始计算出现巨大失误，</a:t>
          </a:r>
          <a:r>
            <a: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We</a:t>
          </a:r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数等代入的是半径而非直径，此处已修正。此处粉色拟合线是</a:t>
          </a:r>
          <a:r>
            <a: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We+2Bo=15</a:t>
          </a:r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（能量角度）</a:t>
          </a:r>
          <a:endParaRPr lang="en-US" altLang="zh-CN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xdr:twoCellAnchor>
    <xdr:from>
      <xdr:col>24</xdr:col>
      <xdr:colOff>193040</xdr:colOff>
      <xdr:row>2</xdr:row>
      <xdr:rowOff>186055</xdr:rowOff>
    </xdr:from>
    <xdr:to>
      <xdr:col>30</xdr:col>
      <xdr:colOff>429895</xdr:colOff>
      <xdr:row>18</xdr:row>
      <xdr:rowOff>204470</xdr:rowOff>
    </xdr:to>
    <xdr:cxnSp>
      <xdr:nvCxnSpPr>
        <xdr:cNvPr id="6" name="直接连接符 5"/>
        <xdr:cNvCxnSpPr/>
      </xdr:nvCxnSpPr>
      <xdr:spPr>
        <a:xfrm flipH="1" flipV="1">
          <a:off x="31219140" y="1151255"/>
          <a:ext cx="4123055" cy="5098415"/>
        </a:xfrm>
        <a:prstGeom prst="line">
          <a:avLst/>
        </a:prstGeom>
        <a:ln w="12700" cmpd="sng">
          <a:solidFill>
            <a:srgbClr val="FF4C97"/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449580</xdr:colOff>
      <xdr:row>24</xdr:row>
      <xdr:rowOff>83820</xdr:rowOff>
    </xdr:from>
    <xdr:to>
      <xdr:col>37</xdr:col>
      <xdr:colOff>76200</xdr:colOff>
      <xdr:row>38</xdr:row>
      <xdr:rowOff>76200</xdr:rowOff>
    </xdr:to>
    <xdr:cxnSp>
      <xdr:nvCxnSpPr>
        <xdr:cNvPr id="7" name="直接连接符 6"/>
        <xdr:cNvCxnSpPr/>
      </xdr:nvCxnSpPr>
      <xdr:spPr>
        <a:xfrm flipV="1">
          <a:off x="31475680" y="8034020"/>
          <a:ext cx="7833360" cy="4437380"/>
        </a:xfrm>
        <a:prstGeom prst="line">
          <a:avLst/>
        </a:prstGeom>
        <a:ln w="12700" cmpd="sng">
          <a:solidFill>
            <a:srgbClr val="FF4C97"/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526415</xdr:colOff>
      <xdr:row>0</xdr:row>
      <xdr:rowOff>540385</xdr:rowOff>
    </xdr:from>
    <xdr:to>
      <xdr:col>56</xdr:col>
      <xdr:colOff>451485</xdr:colOff>
      <xdr:row>22</xdr:row>
      <xdr:rowOff>196215</xdr:rowOff>
    </xdr:to>
    <xdr:graphicFrame>
      <xdr:nvGraphicFramePr>
        <xdr:cNvPr id="8" name="图表 7"/>
        <xdr:cNvGraphicFramePr/>
      </xdr:nvGraphicFramePr>
      <xdr:xfrm>
        <a:off x="40376475" y="540385"/>
        <a:ext cx="11035030" cy="6971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436880</xdr:colOff>
      <xdr:row>9</xdr:row>
      <xdr:rowOff>125730</xdr:rowOff>
    </xdr:from>
    <xdr:to>
      <xdr:col>55</xdr:col>
      <xdr:colOff>584200</xdr:colOff>
      <xdr:row>9</xdr:row>
      <xdr:rowOff>127000</xdr:rowOff>
    </xdr:to>
    <xdr:cxnSp>
      <xdr:nvCxnSpPr>
        <xdr:cNvPr id="9" name="直接连接符 8"/>
        <xdr:cNvCxnSpPr/>
      </xdr:nvCxnSpPr>
      <xdr:spPr>
        <a:xfrm flipH="1">
          <a:off x="42138600" y="3313430"/>
          <a:ext cx="8788400" cy="1270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128270</xdr:colOff>
      <xdr:row>6</xdr:row>
      <xdr:rowOff>154940</xdr:rowOff>
    </xdr:from>
    <xdr:to>
      <xdr:col>55</xdr:col>
      <xdr:colOff>579755</xdr:colOff>
      <xdr:row>6</xdr:row>
      <xdr:rowOff>154940</xdr:rowOff>
    </xdr:to>
    <xdr:cxnSp>
      <xdr:nvCxnSpPr>
        <xdr:cNvPr id="10" name="直接连接符 9"/>
        <xdr:cNvCxnSpPr/>
      </xdr:nvCxnSpPr>
      <xdr:spPr>
        <a:xfrm flipH="1">
          <a:off x="48002190" y="2390140"/>
          <a:ext cx="2920365" cy="0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113665</xdr:colOff>
      <xdr:row>3</xdr:row>
      <xdr:rowOff>160655</xdr:rowOff>
    </xdr:from>
    <xdr:to>
      <xdr:col>55</xdr:col>
      <xdr:colOff>565150</xdr:colOff>
      <xdr:row>3</xdr:row>
      <xdr:rowOff>160655</xdr:rowOff>
    </xdr:to>
    <xdr:cxnSp>
      <xdr:nvCxnSpPr>
        <xdr:cNvPr id="11" name="直接连接符 10"/>
        <xdr:cNvCxnSpPr/>
      </xdr:nvCxnSpPr>
      <xdr:spPr>
        <a:xfrm flipH="1">
          <a:off x="47987585" y="1443355"/>
          <a:ext cx="2920365" cy="0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572770</xdr:colOff>
      <xdr:row>3</xdr:row>
      <xdr:rowOff>165735</xdr:rowOff>
    </xdr:from>
    <xdr:to>
      <xdr:col>55</xdr:col>
      <xdr:colOff>584200</xdr:colOff>
      <xdr:row>9</xdr:row>
      <xdr:rowOff>148590</xdr:rowOff>
    </xdr:to>
    <xdr:cxnSp>
      <xdr:nvCxnSpPr>
        <xdr:cNvPr id="12" name="直接连接符 11"/>
        <xdr:cNvCxnSpPr/>
      </xdr:nvCxnSpPr>
      <xdr:spPr>
        <a:xfrm>
          <a:off x="50915570" y="1448435"/>
          <a:ext cx="11430" cy="1887855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115570</xdr:colOff>
      <xdr:row>3</xdr:row>
      <xdr:rowOff>161925</xdr:rowOff>
    </xdr:from>
    <xdr:to>
      <xdr:col>51</xdr:col>
      <xdr:colOff>126365</xdr:colOff>
      <xdr:row>18</xdr:row>
      <xdr:rowOff>199390</xdr:rowOff>
    </xdr:to>
    <xdr:cxnSp>
      <xdr:nvCxnSpPr>
        <xdr:cNvPr id="13" name="直接连接符 12"/>
        <xdr:cNvCxnSpPr/>
      </xdr:nvCxnSpPr>
      <xdr:spPr>
        <a:xfrm>
          <a:off x="47989490" y="1444625"/>
          <a:ext cx="10795" cy="4799965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205105</xdr:colOff>
      <xdr:row>1</xdr:row>
      <xdr:rowOff>89535</xdr:rowOff>
    </xdr:from>
    <xdr:ext cx="4385945" cy="648970"/>
    <xdr:sp>
      <xdr:nvSpPr>
        <xdr:cNvPr id="14" name="文本框 13"/>
        <xdr:cNvSpPr txBox="1"/>
      </xdr:nvSpPr>
      <xdr:spPr>
        <a:xfrm>
          <a:off x="42524045" y="737235"/>
          <a:ext cx="4385945" cy="64897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类似文献中的三区域出现，有趣的是，此处仿佛有一个先前未发现的斜线（粉色）出现。</a:t>
          </a:r>
          <a:endParaRPr lang="en-US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718820</xdr:colOff>
          <xdr:row>5</xdr:row>
          <xdr:rowOff>168275</xdr:rowOff>
        </xdr:from>
        <xdr:to>
          <xdr:col>16</xdr:col>
          <xdr:colOff>2151380</xdr:colOff>
          <xdr:row>10</xdr:row>
          <xdr:rowOff>123190</xdr:rowOff>
        </xdr:to>
        <xdr:sp>
          <xdr:nvSpPr>
            <xdr:cNvPr id="2054" name="Object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19860260" y="2085975"/>
              <a:ext cx="2602865" cy="15424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2425065</xdr:colOff>
          <xdr:row>5</xdr:row>
          <xdr:rowOff>142240</xdr:rowOff>
        </xdr:from>
        <xdr:to>
          <xdr:col>19</xdr:col>
          <xdr:colOff>326390</xdr:colOff>
          <xdr:row>10</xdr:row>
          <xdr:rowOff>97790</xdr:rowOff>
        </xdr:to>
        <xdr:sp>
          <xdr:nvSpPr>
            <xdr:cNvPr id="2055" name="Object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22736810" y="2059940"/>
              <a:ext cx="2764155" cy="1543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540385</xdr:colOff>
          <xdr:row>6</xdr:row>
          <xdr:rowOff>160655</xdr:rowOff>
        </xdr:from>
        <xdr:to>
          <xdr:col>30</xdr:col>
          <xdr:colOff>248920</xdr:colOff>
          <xdr:row>7</xdr:row>
          <xdr:rowOff>288290</xdr:rowOff>
        </xdr:to>
        <xdr:sp>
          <xdr:nvSpPr>
            <xdr:cNvPr id="2056" name="Object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32869505" y="2395855"/>
              <a:ext cx="2291715" cy="4451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568325</xdr:colOff>
          <xdr:row>26</xdr:row>
          <xdr:rowOff>237490</xdr:rowOff>
        </xdr:from>
        <xdr:to>
          <xdr:col>32</xdr:col>
          <xdr:colOff>579120</xdr:colOff>
          <xdr:row>28</xdr:row>
          <xdr:rowOff>113665</xdr:rowOff>
        </xdr:to>
        <xdr:sp>
          <xdr:nvSpPr>
            <xdr:cNvPr id="2057" name="Object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34246185" y="8822690"/>
              <a:ext cx="2479675" cy="511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746125</xdr:colOff>
          <xdr:row>3</xdr:row>
          <xdr:rowOff>269240</xdr:rowOff>
        </xdr:from>
        <xdr:to>
          <xdr:col>23</xdr:col>
          <xdr:colOff>1127125</xdr:colOff>
          <xdr:row>8</xdr:row>
          <xdr:rowOff>224790</xdr:rowOff>
        </xdr:to>
        <xdr:sp>
          <xdr:nvSpPr>
            <xdr:cNvPr id="2059" name="Object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28261310" y="1551940"/>
              <a:ext cx="2721610" cy="1543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57</xdr:col>
      <xdr:colOff>145415</xdr:colOff>
      <xdr:row>0</xdr:row>
      <xdr:rowOff>539115</xdr:rowOff>
    </xdr:from>
    <xdr:to>
      <xdr:col>75</xdr:col>
      <xdr:colOff>70485</xdr:colOff>
      <xdr:row>22</xdr:row>
      <xdr:rowOff>194945</xdr:rowOff>
    </xdr:to>
    <xdr:graphicFrame>
      <xdr:nvGraphicFramePr>
        <xdr:cNvPr id="19" name="图表 18"/>
        <xdr:cNvGraphicFramePr/>
      </xdr:nvGraphicFramePr>
      <xdr:xfrm>
        <a:off x="51722655" y="539115"/>
        <a:ext cx="11035030" cy="6971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59</xdr:col>
      <xdr:colOff>252095</xdr:colOff>
      <xdr:row>26</xdr:row>
      <xdr:rowOff>60325</xdr:rowOff>
    </xdr:from>
    <xdr:ext cx="2096770" cy="621030"/>
    <xdr:sp>
      <xdr:nvSpPr>
        <xdr:cNvPr id="21" name="文本框 20"/>
        <xdr:cNvSpPr txBox="1"/>
      </xdr:nvSpPr>
      <xdr:spPr>
        <a:xfrm>
          <a:off x="53063775" y="8645525"/>
          <a:ext cx="2096770" cy="62103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来源于王位老师文献（液滴坠落法）</a:t>
          </a:r>
          <a:endParaRPr lang="en-US" altLang="zh-CN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xdr:oneCellAnchor>
    <xdr:from>
      <xdr:col>42</xdr:col>
      <xdr:colOff>328930</xdr:colOff>
      <xdr:row>26</xdr:row>
      <xdr:rowOff>53340</xdr:rowOff>
    </xdr:from>
    <xdr:ext cx="1887220" cy="621665"/>
    <xdr:sp>
      <xdr:nvSpPr>
        <xdr:cNvPr id="22" name="文本框 21"/>
        <xdr:cNvSpPr txBox="1"/>
      </xdr:nvSpPr>
      <xdr:spPr>
        <a:xfrm>
          <a:off x="42647870" y="8638540"/>
          <a:ext cx="1887220" cy="62166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来源于邹老师文献</a:t>
          </a:r>
          <a:r>
            <a: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(</a:t>
          </a:r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液膜法</a:t>
          </a:r>
          <a:r>
            <a: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)</a:t>
          </a:r>
          <a:endParaRPr lang="en-US" altLang="zh-CN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xdr:oneCellAnchor>
    <xdr:from>
      <xdr:col>61</xdr:col>
      <xdr:colOff>117475</xdr:colOff>
      <xdr:row>8</xdr:row>
      <xdr:rowOff>195580</xdr:rowOff>
    </xdr:from>
    <xdr:ext cx="1384300" cy="370205"/>
    <xdr:sp>
      <xdr:nvSpPr>
        <xdr:cNvPr id="23" name="文本框 22"/>
        <xdr:cNvSpPr txBox="1"/>
      </xdr:nvSpPr>
      <xdr:spPr>
        <a:xfrm>
          <a:off x="54163595" y="3065780"/>
          <a:ext cx="1384300" cy="37020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可能的修正？</a:t>
          </a:r>
          <a:endParaRPr lang="en-US" altLang="zh-CN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450215</xdr:colOff>
      <xdr:row>20</xdr:row>
      <xdr:rowOff>146050</xdr:rowOff>
    </xdr:from>
    <xdr:to>
      <xdr:col>21</xdr:col>
      <xdr:colOff>430530</xdr:colOff>
      <xdr:row>38</xdr:row>
      <xdr:rowOff>248285</xdr:rowOff>
    </xdr:to>
    <xdr:graphicFrame>
      <xdr:nvGraphicFramePr>
        <xdr:cNvPr id="2" name="图表 1"/>
        <xdr:cNvGraphicFramePr/>
      </xdr:nvGraphicFramePr>
      <xdr:xfrm>
        <a:off x="10107295" y="5861050"/>
        <a:ext cx="8004175" cy="5245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469265</xdr:colOff>
      <xdr:row>0</xdr:row>
      <xdr:rowOff>219075</xdr:rowOff>
    </xdr:from>
    <xdr:to>
      <xdr:col>21</xdr:col>
      <xdr:colOff>401955</xdr:colOff>
      <xdr:row>19</xdr:row>
      <xdr:rowOff>231775</xdr:rowOff>
    </xdr:to>
    <xdr:graphicFrame>
      <xdr:nvGraphicFramePr>
        <xdr:cNvPr id="3" name="图表 2"/>
        <xdr:cNvGraphicFramePr/>
      </xdr:nvGraphicFramePr>
      <xdr:xfrm>
        <a:off x="10126345" y="219075"/>
        <a:ext cx="7956550" cy="544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273685</xdr:colOff>
      <xdr:row>4</xdr:row>
      <xdr:rowOff>126365</xdr:rowOff>
    </xdr:from>
    <xdr:to>
      <xdr:col>11</xdr:col>
      <xdr:colOff>578485</xdr:colOff>
      <xdr:row>19</xdr:row>
      <xdr:rowOff>131445</xdr:rowOff>
    </xdr:to>
    <xdr:graphicFrame>
      <xdr:nvGraphicFramePr>
        <xdr:cNvPr id="3" name="图表 2"/>
        <xdr:cNvGraphicFramePr/>
      </xdr:nvGraphicFramePr>
      <xdr:xfrm>
        <a:off x="3164840" y="1071245"/>
        <a:ext cx="4572000" cy="274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74295</xdr:colOff>
          <xdr:row>2</xdr:row>
          <xdr:rowOff>57785</xdr:rowOff>
        </xdr:from>
        <xdr:to>
          <xdr:col>13</xdr:col>
          <xdr:colOff>1035050</xdr:colOff>
          <xdr:row>3</xdr:row>
          <xdr:rowOff>288925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13881735" y="1340485"/>
              <a:ext cx="960755" cy="548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92075</xdr:colOff>
          <xdr:row>2</xdr:row>
          <xdr:rowOff>75565</xdr:rowOff>
        </xdr:from>
        <xdr:to>
          <xdr:col>14</xdr:col>
          <xdr:colOff>1049655</xdr:colOff>
          <xdr:row>4</xdr:row>
          <xdr:rowOff>2540</xdr:rowOff>
        </xdr:to>
        <xdr:sp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15050135" y="1358265"/>
              <a:ext cx="957580" cy="561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97790</xdr:colOff>
          <xdr:row>2</xdr:row>
          <xdr:rowOff>59690</xdr:rowOff>
        </xdr:from>
        <xdr:to>
          <xdr:col>15</xdr:col>
          <xdr:colOff>1005205</xdr:colOff>
          <xdr:row>4</xdr:row>
          <xdr:rowOff>40005</xdr:rowOff>
        </xdr:to>
        <xdr:sp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16206470" y="1342390"/>
              <a:ext cx="907415" cy="615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36830</xdr:colOff>
          <xdr:row>2</xdr:row>
          <xdr:rowOff>85090</xdr:rowOff>
        </xdr:from>
        <xdr:to>
          <xdr:col>16</xdr:col>
          <xdr:colOff>1033145</xdr:colOff>
          <xdr:row>4</xdr:row>
          <xdr:rowOff>7620</xdr:rowOff>
        </xdr:to>
        <xdr:sp>
          <xdr:nvSpPr>
            <xdr:cNvPr id="3076" name="Object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17296130" y="1367790"/>
              <a:ext cx="996315" cy="55753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24</xdr:col>
      <xdr:colOff>656590</xdr:colOff>
      <xdr:row>0</xdr:row>
      <xdr:rowOff>513080</xdr:rowOff>
    </xdr:from>
    <xdr:to>
      <xdr:col>39</xdr:col>
      <xdr:colOff>182880</xdr:colOff>
      <xdr:row>21</xdr:row>
      <xdr:rowOff>304800</xdr:rowOff>
    </xdr:to>
    <xdr:graphicFrame>
      <xdr:nvGraphicFramePr>
        <xdr:cNvPr id="12" name="图表 11"/>
        <xdr:cNvGraphicFramePr/>
      </xdr:nvGraphicFramePr>
      <xdr:xfrm>
        <a:off x="27140535" y="513080"/>
        <a:ext cx="9520555" cy="710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26</xdr:col>
      <xdr:colOff>551180</xdr:colOff>
      <xdr:row>2</xdr:row>
      <xdr:rowOff>130175</xdr:rowOff>
    </xdr:from>
    <xdr:ext cx="3629660" cy="901065"/>
    <xdr:sp>
      <xdr:nvSpPr>
        <xdr:cNvPr id="15" name="文本框 14"/>
        <xdr:cNvSpPr txBox="1"/>
      </xdr:nvSpPr>
      <xdr:spPr>
        <a:xfrm>
          <a:off x="28822650" y="1412875"/>
          <a:ext cx="3629660" cy="90106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原始计算出现巨大失误，</a:t>
          </a:r>
          <a:r>
            <a: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We</a:t>
          </a:r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数等代入的是半径而非直径，此处已修正。此处粉色拟合线是</a:t>
          </a:r>
          <a:r>
            <a: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We+2Bo=15</a:t>
          </a:r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（能量角度）</a:t>
          </a:r>
          <a:endParaRPr lang="en-US" altLang="zh-CN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xdr:twoCellAnchor>
    <xdr:from>
      <xdr:col>25</xdr:col>
      <xdr:colOff>193040</xdr:colOff>
      <xdr:row>2</xdr:row>
      <xdr:rowOff>186055</xdr:rowOff>
    </xdr:from>
    <xdr:to>
      <xdr:col>31</xdr:col>
      <xdr:colOff>429895</xdr:colOff>
      <xdr:row>18</xdr:row>
      <xdr:rowOff>204470</xdr:rowOff>
    </xdr:to>
    <xdr:cxnSp>
      <xdr:nvCxnSpPr>
        <xdr:cNvPr id="16" name="直接连接符 15"/>
        <xdr:cNvCxnSpPr/>
      </xdr:nvCxnSpPr>
      <xdr:spPr>
        <a:xfrm flipH="1" flipV="1">
          <a:off x="27847290" y="1468755"/>
          <a:ext cx="4123055" cy="5098415"/>
        </a:xfrm>
        <a:prstGeom prst="line">
          <a:avLst/>
        </a:prstGeom>
        <a:ln w="12700" cmpd="sng">
          <a:solidFill>
            <a:srgbClr val="FF4C97"/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526415</xdr:colOff>
      <xdr:row>0</xdr:row>
      <xdr:rowOff>540385</xdr:rowOff>
    </xdr:from>
    <xdr:to>
      <xdr:col>57</xdr:col>
      <xdr:colOff>451485</xdr:colOff>
      <xdr:row>22</xdr:row>
      <xdr:rowOff>196215</xdr:rowOff>
    </xdr:to>
    <xdr:graphicFrame>
      <xdr:nvGraphicFramePr>
        <xdr:cNvPr id="18" name="图表 17"/>
        <xdr:cNvGraphicFramePr/>
      </xdr:nvGraphicFramePr>
      <xdr:xfrm>
        <a:off x="37004625" y="540385"/>
        <a:ext cx="11035030" cy="7288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436880</xdr:colOff>
      <xdr:row>9</xdr:row>
      <xdr:rowOff>125730</xdr:rowOff>
    </xdr:from>
    <xdr:to>
      <xdr:col>56</xdr:col>
      <xdr:colOff>584200</xdr:colOff>
      <xdr:row>9</xdr:row>
      <xdr:rowOff>127000</xdr:rowOff>
    </xdr:to>
    <xdr:cxnSp>
      <xdr:nvCxnSpPr>
        <xdr:cNvPr id="19" name="直接连接符 18"/>
        <xdr:cNvCxnSpPr/>
      </xdr:nvCxnSpPr>
      <xdr:spPr>
        <a:xfrm flipH="1">
          <a:off x="38766750" y="3630930"/>
          <a:ext cx="8788400" cy="1270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128270</xdr:colOff>
      <xdr:row>6</xdr:row>
      <xdr:rowOff>154940</xdr:rowOff>
    </xdr:from>
    <xdr:to>
      <xdr:col>56</xdr:col>
      <xdr:colOff>579755</xdr:colOff>
      <xdr:row>6</xdr:row>
      <xdr:rowOff>154940</xdr:rowOff>
    </xdr:to>
    <xdr:cxnSp>
      <xdr:nvCxnSpPr>
        <xdr:cNvPr id="20" name="直接连接符 19"/>
        <xdr:cNvCxnSpPr/>
      </xdr:nvCxnSpPr>
      <xdr:spPr>
        <a:xfrm flipH="1">
          <a:off x="44630340" y="2707640"/>
          <a:ext cx="2920365" cy="0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113665</xdr:colOff>
      <xdr:row>3</xdr:row>
      <xdr:rowOff>160655</xdr:rowOff>
    </xdr:from>
    <xdr:to>
      <xdr:col>56</xdr:col>
      <xdr:colOff>565150</xdr:colOff>
      <xdr:row>3</xdr:row>
      <xdr:rowOff>160655</xdr:rowOff>
    </xdr:to>
    <xdr:cxnSp>
      <xdr:nvCxnSpPr>
        <xdr:cNvPr id="21" name="直接连接符 20"/>
        <xdr:cNvCxnSpPr/>
      </xdr:nvCxnSpPr>
      <xdr:spPr>
        <a:xfrm flipH="1">
          <a:off x="44615735" y="1760855"/>
          <a:ext cx="2920365" cy="0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572770</xdr:colOff>
      <xdr:row>3</xdr:row>
      <xdr:rowOff>165735</xdr:rowOff>
    </xdr:from>
    <xdr:to>
      <xdr:col>56</xdr:col>
      <xdr:colOff>584200</xdr:colOff>
      <xdr:row>9</xdr:row>
      <xdr:rowOff>148590</xdr:rowOff>
    </xdr:to>
    <xdr:cxnSp>
      <xdr:nvCxnSpPr>
        <xdr:cNvPr id="22" name="直接连接符 21"/>
        <xdr:cNvCxnSpPr/>
      </xdr:nvCxnSpPr>
      <xdr:spPr>
        <a:xfrm>
          <a:off x="47543720" y="1765935"/>
          <a:ext cx="11430" cy="1887855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115570</xdr:colOff>
      <xdr:row>3</xdr:row>
      <xdr:rowOff>161925</xdr:rowOff>
    </xdr:from>
    <xdr:to>
      <xdr:col>52</xdr:col>
      <xdr:colOff>126365</xdr:colOff>
      <xdr:row>18</xdr:row>
      <xdr:rowOff>199390</xdr:rowOff>
    </xdr:to>
    <xdr:cxnSp>
      <xdr:nvCxnSpPr>
        <xdr:cNvPr id="23" name="直接连接符 22"/>
        <xdr:cNvCxnSpPr/>
      </xdr:nvCxnSpPr>
      <xdr:spPr>
        <a:xfrm>
          <a:off x="44617640" y="1762125"/>
          <a:ext cx="10795" cy="4799965"/>
        </a:xfrm>
        <a:prstGeom prst="line">
          <a:avLst/>
        </a:prstGeom>
        <a:ln w="12700" cmpd="sng">
          <a:solidFill>
            <a:schemeClr val="accent1">
              <a:shade val="50000"/>
            </a:schemeClr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410845</xdr:colOff>
      <xdr:row>10</xdr:row>
      <xdr:rowOff>17780</xdr:rowOff>
    </xdr:from>
    <xdr:ext cx="4385945" cy="648970"/>
    <xdr:sp>
      <xdr:nvSpPr>
        <xdr:cNvPr id="24" name="文本框 23"/>
        <xdr:cNvSpPr txBox="1"/>
      </xdr:nvSpPr>
      <xdr:spPr>
        <a:xfrm>
          <a:off x="38740715" y="3840480"/>
          <a:ext cx="4385945" cy="64897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类似文献中的三区域出现，有趣的是，此处仿佛有一个先前未发现的斜线（粉色）出现。</a:t>
          </a:r>
          <a:endParaRPr lang="en-US" altLang="en-US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xdr:twoCellAnchor>
    <xdr:from>
      <xdr:col>43</xdr:col>
      <xdr:colOff>577850</xdr:colOff>
      <xdr:row>3</xdr:row>
      <xdr:rowOff>247015</xdr:rowOff>
    </xdr:from>
    <xdr:to>
      <xdr:col>56</xdr:col>
      <xdr:colOff>436245</xdr:colOff>
      <xdr:row>18</xdr:row>
      <xdr:rowOff>192405</xdr:rowOff>
    </xdr:to>
    <xdr:cxnSp>
      <xdr:nvCxnSpPr>
        <xdr:cNvPr id="25" name="直接连接符 24"/>
        <xdr:cNvCxnSpPr/>
      </xdr:nvCxnSpPr>
      <xdr:spPr>
        <a:xfrm flipV="1">
          <a:off x="39524940" y="1847215"/>
          <a:ext cx="7882255" cy="4707890"/>
        </a:xfrm>
        <a:prstGeom prst="line">
          <a:avLst/>
        </a:prstGeom>
        <a:ln w="12700" cmpd="sng">
          <a:solidFill>
            <a:srgbClr val="FF4C97"/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93980</xdr:colOff>
          <xdr:row>2</xdr:row>
          <xdr:rowOff>29845</xdr:rowOff>
        </xdr:from>
        <xdr:to>
          <xdr:col>17</xdr:col>
          <xdr:colOff>1088390</xdr:colOff>
          <xdr:row>3</xdr:row>
          <xdr:rowOff>301625</xdr:rowOff>
        </xdr:to>
        <xdr:sp>
          <xdr:nvSpPr>
            <xdr:cNvPr id="3077" name="Object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18503900" y="1312545"/>
              <a:ext cx="994410" cy="589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53975</xdr:colOff>
          <xdr:row>1</xdr:row>
          <xdr:rowOff>631190</xdr:rowOff>
        </xdr:from>
        <xdr:to>
          <xdr:col>18</xdr:col>
          <xdr:colOff>1111885</xdr:colOff>
          <xdr:row>3</xdr:row>
          <xdr:rowOff>278130</xdr:rowOff>
        </xdr:to>
        <xdr:sp>
          <xdr:nvSpPr>
            <xdr:cNvPr id="3078" name="Object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19614515" y="1278890"/>
              <a:ext cx="1057910" cy="599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540385</xdr:colOff>
          <xdr:row>6</xdr:row>
          <xdr:rowOff>160655</xdr:rowOff>
        </xdr:from>
        <xdr:to>
          <xdr:col>31</xdr:col>
          <xdr:colOff>248920</xdr:colOff>
          <xdr:row>7</xdr:row>
          <xdr:rowOff>288290</xdr:rowOff>
        </xdr:to>
        <xdr:sp>
          <xdr:nvSpPr>
            <xdr:cNvPr id="3079" name="Object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29497655" y="2713355"/>
              <a:ext cx="2291715" cy="44513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24</xdr:col>
      <xdr:colOff>853440</xdr:colOff>
      <xdr:row>23</xdr:row>
      <xdr:rowOff>136525</xdr:rowOff>
    </xdr:from>
    <xdr:to>
      <xdr:col>39</xdr:col>
      <xdr:colOff>162560</xdr:colOff>
      <xdr:row>46</xdr:row>
      <xdr:rowOff>125095</xdr:rowOff>
    </xdr:to>
    <xdr:grpSp>
      <xdr:nvGrpSpPr>
        <xdr:cNvPr id="9" name="组合 8"/>
        <xdr:cNvGrpSpPr/>
      </xdr:nvGrpSpPr>
      <xdr:grpSpPr>
        <a:xfrm>
          <a:off x="27337385" y="8086725"/>
          <a:ext cx="9303385" cy="7291070"/>
          <a:chOff x="42432" y="50033"/>
          <a:chExt cx="14494" cy="10542"/>
        </a:xfrm>
      </xdr:grpSpPr>
      <xdr:graphicFrame>
        <xdr:nvGraphicFramePr>
          <xdr:cNvPr id="13" name="图表 12"/>
          <xdr:cNvGraphicFramePr/>
        </xdr:nvGraphicFramePr>
        <xdr:xfrm>
          <a:off x="42432" y="50033"/>
          <a:ext cx="14494" cy="1054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>
        <xdr:nvSpPr>
          <xdr:cNvPr id="14" name="文本框 13"/>
          <xdr:cNvSpPr txBox="1"/>
        </xdr:nvSpPr>
        <xdr:spPr>
          <a:xfrm>
            <a:off x="46620" y="56713"/>
            <a:ext cx="5557" cy="1733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出现类似WeOh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^</a:t>
            </a:r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−0.58 &gt; 119（文献而来）的分界线。但该拟合线稍有误差，需要修正。可能误差原因：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1.</a:t>
            </a:r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粘度不准，得测；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2.criteria</a:t>
            </a:r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改变</a:t>
            </a:r>
            <a:endPara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endParaRPr>
          </a:p>
        </xdr:txBody>
      </xdr:sp>
      <xdr:cxnSp>
        <xdr:nvCxnSpPr>
          <xdr:cNvPr id="17" name="直接连接符 16"/>
          <xdr:cNvCxnSpPr/>
        </xdr:nvCxnSpPr>
        <xdr:spPr>
          <a:xfrm flipV="1">
            <a:off x="43926" y="50610"/>
            <a:ext cx="12192" cy="7188"/>
          </a:xfrm>
          <a:prstGeom prst="line">
            <a:avLst/>
          </a:prstGeom>
          <a:ln w="12700" cmpd="sng">
            <a:solidFill>
              <a:srgbClr val="FF4C97"/>
            </a:solidFill>
            <a:prstDash val="lgDash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>
        <mc:Choice xmlns:a14="http://schemas.microsoft.com/office/drawing/2010/main" Requires="a14">
          <xdr:sp>
            <xdr:nvSpPr>
              <xdr:cNvPr id="3080" name="Object 8" hidden="1">
                <a:extLst>
                  <a:ext uri="{63B3BB69-23CF-44E3-9099-C40C66FF867C}">
                    <a14:compatExt spid="_x0000_s3080"/>
                  </a:ext>
                </a:extLst>
              </xdr:cNvPr>
              <xdr:cNvSpPr/>
            </xdr:nvSpPr>
            <xdr:spPr>
              <a:xfrm>
                <a:off x="48253" y="51812"/>
                <a:ext cx="3857" cy="765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50</xdr:col>
          <xdr:colOff>318135</xdr:colOff>
          <xdr:row>12</xdr:row>
          <xdr:rowOff>59690</xdr:rowOff>
        </xdr:from>
        <xdr:to>
          <xdr:col>56</xdr:col>
          <xdr:colOff>71120</xdr:colOff>
          <xdr:row>15</xdr:row>
          <xdr:rowOff>257810</xdr:rowOff>
        </xdr:to>
        <xdr:sp>
          <xdr:nvSpPr>
            <xdr:cNvPr id="3081" name="Object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43585765" y="4517390"/>
              <a:ext cx="3456305" cy="115062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45</xdr:col>
      <xdr:colOff>99060</xdr:colOff>
      <xdr:row>13</xdr:row>
      <xdr:rowOff>189865</xdr:rowOff>
    </xdr:from>
    <xdr:to>
      <xdr:col>46</xdr:col>
      <xdr:colOff>305435</xdr:colOff>
      <xdr:row>15</xdr:row>
      <xdr:rowOff>40640</xdr:rowOff>
    </xdr:to>
    <xdr:sp>
      <xdr:nvSpPr>
        <xdr:cNvPr id="31" name="直角三角形 30"/>
        <xdr:cNvSpPr/>
      </xdr:nvSpPr>
      <xdr:spPr>
        <a:xfrm flipH="1">
          <a:off x="40280590" y="4965065"/>
          <a:ext cx="823595" cy="485775"/>
        </a:xfrm>
        <a:prstGeom prst="rtTriangle">
          <a:avLst/>
        </a:prstGeom>
        <a:noFill/>
        <a:ln w="9525">
          <a:solidFill>
            <a:srgbClr val="FF4C97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44</xdr:col>
      <xdr:colOff>591185</xdr:colOff>
      <xdr:row>13</xdr:row>
      <xdr:rowOff>99060</xdr:rowOff>
    </xdr:from>
    <xdr:ext cx="732155" cy="362585"/>
    <xdr:sp>
      <xdr:nvSpPr>
        <xdr:cNvPr id="32" name="文本框 31"/>
        <xdr:cNvSpPr txBox="1"/>
      </xdr:nvSpPr>
      <xdr:spPr>
        <a:xfrm>
          <a:off x="40155495" y="4874260"/>
          <a:ext cx="732155" cy="3625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>
              <a:solidFill>
                <a:srgbClr val="FF4C97"/>
              </a:solidFill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0.58</a:t>
          </a:r>
          <a:endParaRPr lang="en-US" altLang="zh-CN" sz="1600">
            <a:solidFill>
              <a:srgbClr val="FF4C97"/>
            </a:solidFill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78105</xdr:colOff>
          <xdr:row>2</xdr:row>
          <xdr:rowOff>58420</xdr:rowOff>
        </xdr:from>
        <xdr:to>
          <xdr:col>20</xdr:col>
          <xdr:colOff>1026160</xdr:colOff>
          <xdr:row>3</xdr:row>
          <xdr:rowOff>278130</xdr:rowOff>
        </xdr:to>
        <xdr:sp>
          <xdr:nvSpPr>
            <xdr:cNvPr id="3082" name="Object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21939885" y="1341120"/>
              <a:ext cx="948055" cy="53721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58</xdr:col>
      <xdr:colOff>145415</xdr:colOff>
      <xdr:row>0</xdr:row>
      <xdr:rowOff>539115</xdr:rowOff>
    </xdr:from>
    <xdr:to>
      <xdr:col>76</xdr:col>
      <xdr:colOff>70485</xdr:colOff>
      <xdr:row>22</xdr:row>
      <xdr:rowOff>194945</xdr:rowOff>
    </xdr:to>
    <xdr:graphicFrame>
      <xdr:nvGraphicFramePr>
        <xdr:cNvPr id="34" name="图表 33"/>
        <xdr:cNvGraphicFramePr/>
      </xdr:nvGraphicFramePr>
      <xdr:xfrm>
        <a:off x="48350805" y="539115"/>
        <a:ext cx="11035030" cy="7288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237490</xdr:colOff>
      <xdr:row>23</xdr:row>
      <xdr:rowOff>220345</xdr:rowOff>
    </xdr:from>
    <xdr:to>
      <xdr:col>73</xdr:col>
      <xdr:colOff>511810</xdr:colOff>
      <xdr:row>77</xdr:row>
      <xdr:rowOff>75565</xdr:rowOff>
    </xdr:to>
    <xdr:grpSp>
      <xdr:nvGrpSpPr>
        <xdr:cNvPr id="11" name="组合 10"/>
        <xdr:cNvGrpSpPr/>
      </xdr:nvGrpSpPr>
      <xdr:grpSpPr>
        <a:xfrm>
          <a:off x="48442880" y="8170545"/>
          <a:ext cx="9532620" cy="17000220"/>
          <a:chOff x="76154" y="50351"/>
          <a:chExt cx="14832" cy="22432"/>
        </a:xfrm>
      </xdr:grpSpPr>
      <xdr:grpSp>
        <xdr:nvGrpSpPr>
          <xdr:cNvPr id="2" name="组合 1"/>
          <xdr:cNvGrpSpPr/>
        </xdr:nvGrpSpPr>
        <xdr:grpSpPr>
          <a:xfrm>
            <a:off x="76154" y="50351"/>
            <a:ext cx="14832" cy="22432"/>
            <a:chOff x="73541" y="12401"/>
            <a:chExt cx="15159" cy="21865"/>
          </a:xfrm>
        </xdr:grpSpPr>
        <xdr:graphicFrame>
          <xdr:nvGraphicFramePr>
            <xdr:cNvPr id="3" name="图表 2"/>
            <xdr:cNvGraphicFramePr/>
          </xdr:nvGraphicFramePr>
          <xdr:xfrm>
            <a:off x="73560" y="12401"/>
            <a:ext cx="15140" cy="1073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pic>
          <xdr:nvPicPr>
            <xdr:cNvPr id="4" name="图片 3" descr="c5d80966f2c295feb92c736caf8f32f"/>
            <xdr:cNvPicPr>
              <a:picLocks noChangeAspect="1"/>
            </xdr:cNvPicPr>
          </xdr:nvPicPr>
          <xdr:blipFill>
            <a:blip r:embed="rId7"/>
            <a:stretch>
              <a:fillRect/>
            </a:stretch>
          </xdr:blipFill>
          <xdr:spPr>
            <a:xfrm>
              <a:off x="73541" y="23186"/>
              <a:ext cx="15129" cy="11080"/>
            </a:xfrm>
            <a:prstGeom prst="rect">
              <a:avLst/>
            </a:prstGeom>
          </xdr:spPr>
        </xdr:pic>
      </xdr:grpSp>
      <xdr:sp>
        <xdr:nvSpPr>
          <xdr:cNvPr id="35" name="文本框 34"/>
          <xdr:cNvSpPr txBox="1"/>
        </xdr:nvSpPr>
        <xdr:spPr>
          <a:xfrm>
            <a:off x="78097" y="51539"/>
            <a:ext cx="3266" cy="938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来源于王位老师文献（液滴坠落法）</a:t>
            </a:r>
            <a:endPara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endParaRPr>
          </a:p>
        </xdr:txBody>
      </xdr:sp>
    </xdr:grpSp>
    <xdr:clientData/>
  </xdr:twoCellAnchor>
  <xdr:twoCellAnchor>
    <xdr:from>
      <xdr:col>39</xdr:col>
      <xdr:colOff>549910</xdr:colOff>
      <xdr:row>23</xdr:row>
      <xdr:rowOff>233045</xdr:rowOff>
    </xdr:from>
    <xdr:to>
      <xdr:col>57</xdr:col>
      <xdr:colOff>320040</xdr:colOff>
      <xdr:row>76</xdr:row>
      <xdr:rowOff>235585</xdr:rowOff>
    </xdr:to>
    <xdr:grpSp>
      <xdr:nvGrpSpPr>
        <xdr:cNvPr id="10" name="组合 9"/>
        <xdr:cNvGrpSpPr/>
      </xdr:nvGrpSpPr>
      <xdr:grpSpPr>
        <a:xfrm>
          <a:off x="37028120" y="8183245"/>
          <a:ext cx="10880090" cy="16830040"/>
          <a:chOff x="58502" y="50083"/>
          <a:chExt cx="16918" cy="22140"/>
        </a:xfrm>
      </xdr:grpSpPr>
      <xdr:grpSp>
        <xdr:nvGrpSpPr>
          <xdr:cNvPr id="5" name="组合 4"/>
          <xdr:cNvGrpSpPr/>
        </xdr:nvGrpSpPr>
        <xdr:grpSpPr>
          <a:xfrm>
            <a:off x="58502" y="50083"/>
            <a:ext cx="16918" cy="22141"/>
            <a:chOff x="55687" y="11970"/>
            <a:chExt cx="17108" cy="20938"/>
          </a:xfrm>
        </xdr:grpSpPr>
        <xdr:graphicFrame>
          <xdr:nvGraphicFramePr>
            <xdr:cNvPr id="6" name="图表 5"/>
            <xdr:cNvGraphicFramePr/>
          </xdr:nvGraphicFramePr>
          <xdr:xfrm>
            <a:off x="55697" y="11970"/>
            <a:ext cx="17098" cy="1074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pic>
          <xdr:nvPicPr>
            <xdr:cNvPr id="7" name="图片 6" descr="a78d1ebd112213cc2d1a6eb051ff847"/>
            <xdr:cNvPicPr>
              <a:picLocks noChangeAspect="1"/>
            </xdr:cNvPicPr>
          </xdr:nvPicPr>
          <xdr:blipFill>
            <a:blip r:embed="rId8"/>
            <a:stretch>
              <a:fillRect/>
            </a:stretch>
          </xdr:blipFill>
          <xdr:spPr>
            <a:xfrm>
              <a:off x="55687" y="22726"/>
              <a:ext cx="17108" cy="10183"/>
            </a:xfrm>
            <a:prstGeom prst="rect">
              <a:avLst/>
            </a:prstGeom>
          </xdr:spPr>
        </xdr:pic>
      </xdr:grpSp>
      <xdr:sp>
        <xdr:nvSpPr>
          <xdr:cNvPr id="36" name="文本框 35"/>
          <xdr:cNvSpPr txBox="1"/>
        </xdr:nvSpPr>
        <xdr:spPr>
          <a:xfrm>
            <a:off x="61898" y="51528"/>
            <a:ext cx="2936" cy="939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来源于邹老师文献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(</a:t>
            </a:r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液膜法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)</a:t>
            </a:r>
            <a:endPara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endParaRPr>
          </a:p>
        </xdr:txBody>
      </xdr:sp>
    </xdr:grpSp>
    <xdr:clientData/>
  </xdr:twoCellAnchor>
  <xdr:oneCellAnchor>
    <xdr:from>
      <xdr:col>62</xdr:col>
      <xdr:colOff>117475</xdr:colOff>
      <xdr:row>8</xdr:row>
      <xdr:rowOff>195580</xdr:rowOff>
    </xdr:from>
    <xdr:ext cx="1384300" cy="370205"/>
    <xdr:sp>
      <xdr:nvSpPr>
        <xdr:cNvPr id="37" name="文本框 36"/>
        <xdr:cNvSpPr txBox="1"/>
      </xdr:nvSpPr>
      <xdr:spPr>
        <a:xfrm>
          <a:off x="50791745" y="3383280"/>
          <a:ext cx="1384300" cy="37020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可能的修正？</a:t>
          </a:r>
          <a:endParaRPr lang="en-US" altLang="zh-CN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xdr:twoCellAnchor>
    <xdr:from>
      <xdr:col>36</xdr:col>
      <xdr:colOff>573405</xdr:colOff>
      <xdr:row>134</xdr:row>
      <xdr:rowOff>5080</xdr:rowOff>
    </xdr:from>
    <xdr:to>
      <xdr:col>49</xdr:col>
      <xdr:colOff>225425</xdr:colOff>
      <xdr:row>149</xdr:row>
      <xdr:rowOff>160020</xdr:rowOff>
    </xdr:to>
    <xdr:sp>
      <xdr:nvSpPr>
        <xdr:cNvPr id="26" name="矩形 25"/>
        <xdr:cNvSpPr/>
      </xdr:nvSpPr>
      <xdr:spPr>
        <a:xfrm>
          <a:off x="35199955" y="43197780"/>
          <a:ext cx="7675880" cy="491744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47625</xdr:colOff>
      <xdr:row>141</xdr:row>
      <xdr:rowOff>265430</xdr:rowOff>
    </xdr:from>
    <xdr:to>
      <xdr:col>48</xdr:col>
      <xdr:colOff>94615</xdr:colOff>
      <xdr:row>148</xdr:row>
      <xdr:rowOff>54610</xdr:rowOff>
    </xdr:to>
    <xdr:sp>
      <xdr:nvSpPr>
        <xdr:cNvPr id="28" name="圆角矩形 27"/>
        <xdr:cNvSpPr/>
      </xdr:nvSpPr>
      <xdr:spPr>
        <a:xfrm>
          <a:off x="39611935" y="45680630"/>
          <a:ext cx="2515870" cy="2011680"/>
        </a:xfrm>
        <a:prstGeom prst="roundRect">
          <a:avLst>
            <a:gd name="adj" fmla="val 0"/>
          </a:avLst>
        </a:prstGeom>
        <a:solidFill>
          <a:schemeClr val="tx1"/>
        </a:solidFill>
        <a:ln w="2540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368935</xdr:colOff>
      <xdr:row>144</xdr:row>
      <xdr:rowOff>290830</xdr:rowOff>
    </xdr:from>
    <xdr:to>
      <xdr:col>47</xdr:col>
      <xdr:colOff>50800</xdr:colOff>
      <xdr:row>150</xdr:row>
      <xdr:rowOff>200025</xdr:rowOff>
    </xdr:to>
    <xdr:sp>
      <xdr:nvSpPr>
        <xdr:cNvPr id="27" name="等腰三角形 26"/>
        <xdr:cNvSpPr/>
      </xdr:nvSpPr>
      <xdr:spPr>
        <a:xfrm>
          <a:off x="41167685" y="46658530"/>
          <a:ext cx="299085" cy="1814195"/>
        </a:xfrm>
        <a:prstGeom prst="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102870</xdr:colOff>
          <xdr:row>1</xdr:row>
          <xdr:rowOff>59055</xdr:rowOff>
        </xdr:from>
        <xdr:to>
          <xdr:col>28</xdr:col>
          <xdr:colOff>1063625</xdr:colOff>
          <xdr:row>1</xdr:row>
          <xdr:rowOff>607695</xdr:rowOff>
        </xdr:to>
        <xdr:sp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10458450" y="706755"/>
              <a:ext cx="960755" cy="548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92075</xdr:colOff>
          <xdr:row>1</xdr:row>
          <xdr:rowOff>30480</xdr:rowOff>
        </xdr:from>
        <xdr:to>
          <xdr:col>29</xdr:col>
          <xdr:colOff>1049655</xdr:colOff>
          <xdr:row>1</xdr:row>
          <xdr:rowOff>592455</xdr:rowOff>
        </xdr:to>
        <xdr:sp>
          <xdr:nvSpPr>
            <xdr:cNvPr id="7170" name="Object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11598275" y="678180"/>
              <a:ext cx="957580" cy="561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107950</xdr:colOff>
          <xdr:row>1</xdr:row>
          <xdr:rowOff>27305</xdr:rowOff>
        </xdr:from>
        <xdr:to>
          <xdr:col>38</xdr:col>
          <xdr:colOff>1015365</xdr:colOff>
          <xdr:row>2</xdr:row>
          <xdr:rowOff>7620</xdr:rowOff>
        </xdr:to>
        <xdr:sp>
          <xdr:nvSpPr>
            <xdr:cNvPr id="7171" name="Object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22586950" y="675005"/>
              <a:ext cx="907415" cy="615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79375</xdr:colOff>
          <xdr:row>1</xdr:row>
          <xdr:rowOff>30480</xdr:rowOff>
        </xdr:from>
        <xdr:to>
          <xdr:col>39</xdr:col>
          <xdr:colOff>1061085</xdr:colOff>
          <xdr:row>1</xdr:row>
          <xdr:rowOff>588010</xdr:rowOff>
        </xdr:to>
        <xdr:sp>
          <xdr:nvSpPr>
            <xdr:cNvPr id="7172" name="Object 4" hidden="1">
              <a:extLst>
                <a:ext uri="{63B3BB69-23CF-44E3-9099-C40C66FF867C}">
                  <a14:compatExt spid="_x0000_s7172"/>
                </a:ext>
              </a:extLst>
            </xdr:cNvPr>
            <xdr:cNvSpPr/>
          </xdr:nvSpPr>
          <xdr:spPr>
            <a:xfrm>
              <a:off x="23708995" y="678180"/>
              <a:ext cx="981710" cy="55753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58</xdr:col>
      <xdr:colOff>656590</xdr:colOff>
      <xdr:row>0</xdr:row>
      <xdr:rowOff>513080</xdr:rowOff>
    </xdr:from>
    <xdr:to>
      <xdr:col>72</xdr:col>
      <xdr:colOff>182880</xdr:colOff>
      <xdr:row>21</xdr:row>
      <xdr:rowOff>304800</xdr:rowOff>
    </xdr:to>
    <xdr:graphicFrame>
      <xdr:nvGraphicFramePr>
        <xdr:cNvPr id="6" name="图表 5"/>
        <xdr:cNvGraphicFramePr/>
      </xdr:nvGraphicFramePr>
      <xdr:xfrm>
        <a:off x="47833280" y="513080"/>
        <a:ext cx="8389620" cy="710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626110</xdr:colOff>
      <xdr:row>1</xdr:row>
      <xdr:rowOff>500380</xdr:rowOff>
    </xdr:from>
    <xdr:to>
      <xdr:col>65</xdr:col>
      <xdr:colOff>330200</xdr:colOff>
      <xdr:row>18</xdr:row>
      <xdr:rowOff>143510</xdr:rowOff>
    </xdr:to>
    <xdr:cxnSp>
      <xdr:nvCxnSpPr>
        <xdr:cNvPr id="8" name="直接连接符 7"/>
        <xdr:cNvCxnSpPr/>
      </xdr:nvCxnSpPr>
      <xdr:spPr>
        <a:xfrm flipH="1" flipV="1">
          <a:off x="48459390" y="1148080"/>
          <a:ext cx="3590290" cy="5358130"/>
        </a:xfrm>
        <a:prstGeom prst="line">
          <a:avLst/>
        </a:prstGeom>
        <a:ln w="12700" cmpd="sng">
          <a:solidFill>
            <a:srgbClr val="FF4C97"/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558165</xdr:colOff>
      <xdr:row>0</xdr:row>
      <xdr:rowOff>616585</xdr:rowOff>
    </xdr:from>
    <xdr:to>
      <xdr:col>90</xdr:col>
      <xdr:colOff>483235</xdr:colOff>
      <xdr:row>22</xdr:row>
      <xdr:rowOff>272415</xdr:rowOff>
    </xdr:to>
    <xdr:graphicFrame>
      <xdr:nvGraphicFramePr>
        <xdr:cNvPr id="9" name="图表 8"/>
        <xdr:cNvGraphicFramePr/>
      </xdr:nvGraphicFramePr>
      <xdr:xfrm>
        <a:off x="56598185" y="616585"/>
        <a:ext cx="11035030" cy="7288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99060</xdr:colOff>
          <xdr:row>1</xdr:row>
          <xdr:rowOff>15240</xdr:rowOff>
        </xdr:from>
        <xdr:to>
          <xdr:col>40</xdr:col>
          <xdr:colOff>1078230</xdr:colOff>
          <xdr:row>1</xdr:row>
          <xdr:rowOff>605155</xdr:rowOff>
        </xdr:to>
        <xdr:sp>
          <xdr:nvSpPr>
            <xdr:cNvPr id="7173" name="Object 5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>
            <a:xfrm>
              <a:off x="24879300" y="662940"/>
              <a:ext cx="979170" cy="5899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35560</xdr:colOff>
          <xdr:row>1</xdr:row>
          <xdr:rowOff>26035</xdr:rowOff>
        </xdr:from>
        <xdr:to>
          <xdr:col>48</xdr:col>
          <xdr:colOff>1093470</xdr:colOff>
          <xdr:row>1</xdr:row>
          <xdr:rowOff>625475</xdr:rowOff>
        </xdr:to>
        <xdr:sp>
          <xdr:nvSpPr>
            <xdr:cNvPr id="7174" name="Object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>
            <a:xfrm>
              <a:off x="35666680" y="673735"/>
              <a:ext cx="1057910" cy="599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60</xdr:col>
          <xdr:colOff>136525</xdr:colOff>
          <xdr:row>1</xdr:row>
          <xdr:rowOff>490855</xdr:rowOff>
        </xdr:from>
        <xdr:to>
          <xdr:col>61</xdr:col>
          <xdr:colOff>566420</xdr:colOff>
          <xdr:row>2</xdr:row>
          <xdr:rowOff>86360</xdr:rowOff>
        </xdr:to>
        <xdr:sp>
          <xdr:nvSpPr>
            <xdr:cNvPr id="7175" name="Object 7" hidden="1">
              <a:extLst>
                <a:ext uri="{63B3BB69-23CF-44E3-9099-C40C66FF867C}">
                  <a14:compatExt spid="_x0000_s7175"/>
                </a:ext>
              </a:extLst>
            </xdr:cNvPr>
            <xdr:cNvSpPr/>
          </xdr:nvSpPr>
          <xdr:spPr>
            <a:xfrm>
              <a:off x="48655605" y="1138555"/>
              <a:ext cx="1161415" cy="23050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58</xdr:col>
      <xdr:colOff>853440</xdr:colOff>
      <xdr:row>23</xdr:row>
      <xdr:rowOff>136525</xdr:rowOff>
    </xdr:from>
    <xdr:to>
      <xdr:col>72</xdr:col>
      <xdr:colOff>162560</xdr:colOff>
      <xdr:row>45</xdr:row>
      <xdr:rowOff>125095</xdr:rowOff>
    </xdr:to>
    <xdr:grpSp>
      <xdr:nvGrpSpPr>
        <xdr:cNvPr id="20" name="组合 19"/>
        <xdr:cNvGrpSpPr/>
      </xdr:nvGrpSpPr>
      <xdr:grpSpPr>
        <a:xfrm>
          <a:off x="47833280" y="8086725"/>
          <a:ext cx="8369300" cy="6973570"/>
          <a:chOff x="42432" y="50033"/>
          <a:chExt cx="14494" cy="10542"/>
        </a:xfrm>
      </xdr:grpSpPr>
      <xdr:graphicFrame>
        <xdr:nvGraphicFramePr>
          <xdr:cNvPr id="21" name="图表 20"/>
          <xdr:cNvGraphicFramePr/>
        </xdr:nvGraphicFramePr>
        <xdr:xfrm>
          <a:off x="42432" y="50033"/>
          <a:ext cx="14494" cy="1054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>
        <xdr:nvSpPr>
          <xdr:cNvPr id="22" name="文本框 21"/>
          <xdr:cNvSpPr txBox="1"/>
        </xdr:nvSpPr>
        <xdr:spPr>
          <a:xfrm>
            <a:off x="46620" y="56713"/>
            <a:ext cx="5557" cy="1733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出现类似WeOh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^</a:t>
            </a:r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−0.58 &gt; 119（文献而来）的分界线。但该拟合线稍有误差，需要修正。可能误差原因：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1.</a:t>
            </a:r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粘度不准，得测；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2.criteria</a:t>
            </a:r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改变</a:t>
            </a:r>
            <a:endPara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endParaRPr>
          </a:p>
        </xdr:txBody>
      </xdr:sp>
      <xdr:cxnSp>
        <xdr:nvCxnSpPr>
          <xdr:cNvPr id="23" name="直接连接符 22"/>
          <xdr:cNvCxnSpPr/>
        </xdr:nvCxnSpPr>
        <xdr:spPr>
          <a:xfrm flipV="1">
            <a:off x="43926" y="50610"/>
            <a:ext cx="12192" cy="7188"/>
          </a:xfrm>
          <a:prstGeom prst="line">
            <a:avLst/>
          </a:prstGeom>
          <a:ln w="12700" cmpd="sng">
            <a:solidFill>
              <a:srgbClr val="FF4C97"/>
            </a:solidFill>
            <a:prstDash val="lgDash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>
        <mc:Choice xmlns:a14="http://schemas.microsoft.com/office/drawing/2010/main" Requires="a14">
          <xdr:sp>
            <xdr:nvSpPr>
              <xdr:cNvPr id="7176" name="Object 8" hidden="1">
                <a:extLst>
                  <a:ext uri="{63B3BB69-23CF-44E3-9099-C40C66FF867C}">
                    <a14:compatExt spid="_x0000_s7176"/>
                  </a:ext>
                </a:extLst>
              </xdr:cNvPr>
              <xdr:cNvSpPr/>
            </xdr:nvSpPr>
            <xdr:spPr>
              <a:xfrm>
                <a:off x="48253" y="51812"/>
                <a:ext cx="3857" cy="765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50</xdr:col>
          <xdr:colOff>97790</xdr:colOff>
          <xdr:row>1</xdr:row>
          <xdr:rowOff>24130</xdr:rowOff>
        </xdr:from>
        <xdr:to>
          <xdr:col>50</xdr:col>
          <xdr:colOff>1045845</xdr:colOff>
          <xdr:row>1</xdr:row>
          <xdr:rowOff>561340</xdr:rowOff>
        </xdr:to>
        <xdr:sp>
          <xdr:nvSpPr>
            <xdr:cNvPr id="7178" name="Object 10" hidden="1">
              <a:extLst>
                <a:ext uri="{63B3BB69-23CF-44E3-9099-C40C66FF867C}">
                  <a14:compatExt spid="_x0000_s7178"/>
                </a:ext>
              </a:extLst>
            </xdr:cNvPr>
            <xdr:cNvSpPr/>
          </xdr:nvSpPr>
          <xdr:spPr>
            <a:xfrm>
              <a:off x="38030150" y="671830"/>
              <a:ext cx="948055" cy="53721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91</xdr:col>
      <xdr:colOff>145415</xdr:colOff>
      <xdr:row>0</xdr:row>
      <xdr:rowOff>539115</xdr:rowOff>
    </xdr:from>
    <xdr:to>
      <xdr:col>109</xdr:col>
      <xdr:colOff>70485</xdr:colOff>
      <xdr:row>22</xdr:row>
      <xdr:rowOff>194945</xdr:rowOff>
    </xdr:to>
    <xdr:graphicFrame>
      <xdr:nvGraphicFramePr>
        <xdr:cNvPr id="29" name="图表 28"/>
        <xdr:cNvGraphicFramePr/>
      </xdr:nvGraphicFramePr>
      <xdr:xfrm>
        <a:off x="67912615" y="539115"/>
        <a:ext cx="11035030" cy="7288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91</xdr:col>
      <xdr:colOff>237490</xdr:colOff>
      <xdr:row>23</xdr:row>
      <xdr:rowOff>220345</xdr:rowOff>
    </xdr:from>
    <xdr:to>
      <xdr:col>106</xdr:col>
      <xdr:colOff>511810</xdr:colOff>
      <xdr:row>71</xdr:row>
      <xdr:rowOff>75565</xdr:rowOff>
    </xdr:to>
    <xdr:grpSp>
      <xdr:nvGrpSpPr>
        <xdr:cNvPr id="30" name="组合 29"/>
        <xdr:cNvGrpSpPr/>
      </xdr:nvGrpSpPr>
      <xdr:grpSpPr>
        <a:xfrm>
          <a:off x="68004690" y="8170545"/>
          <a:ext cx="9532620" cy="14067155"/>
          <a:chOff x="76154" y="50351"/>
          <a:chExt cx="14832" cy="22432"/>
        </a:xfrm>
      </xdr:grpSpPr>
      <xdr:grpSp>
        <xdr:nvGrpSpPr>
          <xdr:cNvPr id="31" name="组合 30"/>
          <xdr:cNvGrpSpPr/>
        </xdr:nvGrpSpPr>
        <xdr:grpSpPr>
          <a:xfrm>
            <a:off x="76154" y="50351"/>
            <a:ext cx="14832" cy="22432"/>
            <a:chOff x="73541" y="12401"/>
            <a:chExt cx="15159" cy="21865"/>
          </a:xfrm>
        </xdr:grpSpPr>
        <xdr:graphicFrame>
          <xdr:nvGraphicFramePr>
            <xdr:cNvPr id="32" name="图表 31"/>
            <xdr:cNvGraphicFramePr/>
          </xdr:nvGraphicFramePr>
          <xdr:xfrm>
            <a:off x="73560" y="12401"/>
            <a:ext cx="15140" cy="1073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pic>
          <xdr:nvPicPr>
            <xdr:cNvPr id="33" name="图片 32" descr="c5d80966f2c295feb92c736caf8f32f"/>
            <xdr:cNvPicPr>
              <a:picLocks noChangeAspect="1"/>
            </xdr:cNvPicPr>
          </xdr:nvPicPr>
          <xdr:blipFill>
            <a:blip r:embed="rId13"/>
            <a:stretch>
              <a:fillRect/>
            </a:stretch>
          </xdr:blipFill>
          <xdr:spPr>
            <a:xfrm>
              <a:off x="73541" y="23186"/>
              <a:ext cx="15129" cy="11080"/>
            </a:xfrm>
            <a:prstGeom prst="rect">
              <a:avLst/>
            </a:prstGeom>
          </xdr:spPr>
        </xdr:pic>
      </xdr:grpSp>
      <xdr:sp>
        <xdr:nvSpPr>
          <xdr:cNvPr id="34" name="文本框 33"/>
          <xdr:cNvSpPr txBox="1"/>
        </xdr:nvSpPr>
        <xdr:spPr>
          <a:xfrm>
            <a:off x="78097" y="51539"/>
            <a:ext cx="3266" cy="938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来源于王位老师文献（液滴坠落法）</a:t>
            </a:r>
            <a:endPara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endParaRPr>
          </a:p>
        </xdr:txBody>
      </xdr:sp>
    </xdr:grpSp>
    <xdr:clientData/>
  </xdr:twoCellAnchor>
  <xdr:twoCellAnchor>
    <xdr:from>
      <xdr:col>72</xdr:col>
      <xdr:colOff>397510</xdr:colOff>
      <xdr:row>20</xdr:row>
      <xdr:rowOff>66675</xdr:rowOff>
    </xdr:from>
    <xdr:to>
      <xdr:col>90</xdr:col>
      <xdr:colOff>167640</xdr:colOff>
      <xdr:row>64</xdr:row>
      <xdr:rowOff>151130</xdr:rowOff>
    </xdr:to>
    <xdr:grpSp>
      <xdr:nvGrpSpPr>
        <xdr:cNvPr id="35" name="组合 34"/>
        <xdr:cNvGrpSpPr/>
      </xdr:nvGrpSpPr>
      <xdr:grpSpPr>
        <a:xfrm>
          <a:off x="56437530" y="7064375"/>
          <a:ext cx="10880090" cy="14054455"/>
          <a:chOff x="58502" y="50083"/>
          <a:chExt cx="16918" cy="22140"/>
        </a:xfrm>
      </xdr:grpSpPr>
      <xdr:grpSp>
        <xdr:nvGrpSpPr>
          <xdr:cNvPr id="36" name="组合 35"/>
          <xdr:cNvGrpSpPr/>
        </xdr:nvGrpSpPr>
        <xdr:grpSpPr>
          <a:xfrm>
            <a:off x="58502" y="50083"/>
            <a:ext cx="16918" cy="22141"/>
            <a:chOff x="55687" y="11970"/>
            <a:chExt cx="17108" cy="20938"/>
          </a:xfrm>
        </xdr:grpSpPr>
        <xdr:graphicFrame>
          <xdr:nvGraphicFramePr>
            <xdr:cNvPr id="37" name="图表 36"/>
            <xdr:cNvGraphicFramePr/>
          </xdr:nvGraphicFramePr>
          <xdr:xfrm>
            <a:off x="55697" y="11970"/>
            <a:ext cx="17098" cy="1074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pic>
          <xdr:nvPicPr>
            <xdr:cNvPr id="38" name="图片 37" descr="a78d1ebd112213cc2d1a6eb051ff847"/>
            <xdr:cNvPicPr>
              <a:picLocks noChangeAspect="1"/>
            </xdr:cNvPicPr>
          </xdr:nvPicPr>
          <xdr:blipFill>
            <a:blip r:embed="rId14"/>
            <a:stretch>
              <a:fillRect/>
            </a:stretch>
          </xdr:blipFill>
          <xdr:spPr>
            <a:xfrm>
              <a:off x="55687" y="22726"/>
              <a:ext cx="17108" cy="10183"/>
            </a:xfrm>
            <a:prstGeom prst="rect">
              <a:avLst/>
            </a:prstGeom>
          </xdr:spPr>
        </xdr:pic>
      </xdr:grpSp>
      <xdr:sp>
        <xdr:nvSpPr>
          <xdr:cNvPr id="39" name="文本框 38"/>
          <xdr:cNvSpPr txBox="1"/>
        </xdr:nvSpPr>
        <xdr:spPr>
          <a:xfrm>
            <a:off x="61898" y="51528"/>
            <a:ext cx="2936" cy="939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来源于邹老师文献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(</a:t>
            </a:r>
            <a:r>
              <a:rPr lang="zh-CN" altLang="en-US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液膜法</a:t>
            </a:r>
            <a:r>
              <a:rPr lang="en-US" altLang="zh-CN" sz="1600"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)</a:t>
            </a:r>
            <a:endParaRPr lang="en-US" altLang="zh-CN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endParaRPr>
          </a:p>
        </xdr:txBody>
      </xdr:sp>
    </xdr:grpSp>
    <xdr:clientData/>
  </xdr:twoCellAnchor>
  <xdr:oneCellAnchor>
    <xdr:from>
      <xdr:col>95</xdr:col>
      <xdr:colOff>117475</xdr:colOff>
      <xdr:row>8</xdr:row>
      <xdr:rowOff>195580</xdr:rowOff>
    </xdr:from>
    <xdr:ext cx="1384300" cy="370205"/>
    <xdr:sp>
      <xdr:nvSpPr>
        <xdr:cNvPr id="40" name="文本框 39"/>
        <xdr:cNvSpPr txBox="1"/>
      </xdr:nvSpPr>
      <xdr:spPr>
        <a:xfrm>
          <a:off x="70353555" y="3383280"/>
          <a:ext cx="1384300" cy="37020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>
              <a:latin typeface="Times New Roman" panose="02020603050405020304" charset="0"/>
              <a:ea typeface="宋体" panose="02010600030101010101" pitchFamily="7" charset="-122"/>
              <a:cs typeface="Times New Roman" panose="02020603050405020304" charset="0"/>
            </a:rPr>
            <a:t>可能的修正？</a:t>
          </a:r>
          <a:endParaRPr lang="en-US" altLang="zh-CN" sz="1600">
            <a:latin typeface="Times New Roman" panose="02020603050405020304" charset="0"/>
            <a:ea typeface="宋体" panose="02010600030101010101" pitchFamily="7" charset="-122"/>
            <a:cs typeface="Times New Roman" panose="02020603050405020304" charset="0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139065</xdr:colOff>
          <xdr:row>1</xdr:row>
          <xdr:rowOff>13335</xdr:rowOff>
        </xdr:from>
        <xdr:to>
          <xdr:col>36</xdr:col>
          <xdr:colOff>993140</xdr:colOff>
          <xdr:row>2</xdr:row>
          <xdr:rowOff>2540</xdr:rowOff>
        </xdr:to>
        <xdr:sp>
          <xdr:nvSpPr>
            <xdr:cNvPr id="7179" name="Object 11" hidden="1">
              <a:extLst>
                <a:ext uri="{63B3BB69-23CF-44E3-9099-C40C66FF867C}">
                  <a14:compatExt spid="_x0000_s7179"/>
                </a:ext>
              </a:extLst>
            </xdr:cNvPr>
            <xdr:cNvSpPr/>
          </xdr:nvSpPr>
          <xdr:spPr>
            <a:xfrm>
              <a:off x="20316825" y="661035"/>
              <a:ext cx="854075" cy="62420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58</xdr:col>
      <xdr:colOff>609600</xdr:colOff>
      <xdr:row>113</xdr:row>
      <xdr:rowOff>64135</xdr:rowOff>
    </xdr:from>
    <xdr:to>
      <xdr:col>73</xdr:col>
      <xdr:colOff>255905</xdr:colOff>
      <xdr:row>137</xdr:row>
      <xdr:rowOff>14605</xdr:rowOff>
    </xdr:to>
    <xdr:graphicFrame>
      <xdr:nvGraphicFramePr>
        <xdr:cNvPr id="2" name="图表 1"/>
        <xdr:cNvGraphicFramePr/>
      </xdr:nvGraphicFramePr>
      <xdr:xfrm>
        <a:off x="47825660" y="25794335"/>
        <a:ext cx="9087485" cy="7570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74</xdr:col>
      <xdr:colOff>179705</xdr:colOff>
      <xdr:row>113</xdr:row>
      <xdr:rowOff>114935</xdr:rowOff>
    </xdr:from>
    <xdr:to>
      <xdr:col>88</xdr:col>
      <xdr:colOff>351790</xdr:colOff>
      <xdr:row>137</xdr:row>
      <xdr:rowOff>103505</xdr:rowOff>
    </xdr:to>
    <xdr:graphicFrame>
      <xdr:nvGraphicFramePr>
        <xdr:cNvPr id="3" name="图表 2"/>
        <xdr:cNvGraphicFramePr/>
      </xdr:nvGraphicFramePr>
      <xdr:xfrm>
        <a:off x="57454165" y="25845135"/>
        <a:ext cx="8813165" cy="7608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61</xdr:col>
      <xdr:colOff>56515</xdr:colOff>
      <xdr:row>138</xdr:row>
      <xdr:rowOff>305435</xdr:rowOff>
    </xdr:from>
    <xdr:to>
      <xdr:col>76</xdr:col>
      <xdr:colOff>247650</xdr:colOff>
      <xdr:row>160</xdr:row>
      <xdr:rowOff>71755</xdr:rowOff>
    </xdr:to>
    <xdr:graphicFrame>
      <xdr:nvGraphicFramePr>
        <xdr:cNvPr id="7" name="图表 6"/>
        <xdr:cNvGraphicFramePr/>
      </xdr:nvGraphicFramePr>
      <xdr:xfrm>
        <a:off x="49307115" y="33973135"/>
        <a:ext cx="9449435" cy="675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62</xdr:col>
      <xdr:colOff>310515</xdr:colOff>
      <xdr:row>113</xdr:row>
      <xdr:rowOff>150495</xdr:rowOff>
    </xdr:from>
    <xdr:to>
      <xdr:col>73</xdr:col>
      <xdr:colOff>443865</xdr:colOff>
      <xdr:row>132</xdr:row>
      <xdr:rowOff>267335</xdr:rowOff>
    </xdr:to>
    <xdr:pic>
      <xdr:nvPicPr>
        <xdr:cNvPr id="17" name="图片 16" descr="We-Bo相图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0178335" y="25880695"/>
          <a:ext cx="6922770" cy="6149340"/>
        </a:xfrm>
        <a:prstGeom prst="rect">
          <a:avLst/>
        </a:prstGeom>
      </xdr:spPr>
    </xdr:pic>
    <xdr:clientData/>
  </xdr:twoCellAnchor>
  <xdr:twoCellAnchor editAs="oneCell">
    <xdr:from>
      <xdr:col>79</xdr:col>
      <xdr:colOff>146050</xdr:colOff>
      <xdr:row>114</xdr:row>
      <xdr:rowOff>132080</xdr:rowOff>
    </xdr:from>
    <xdr:to>
      <xdr:col>83</xdr:col>
      <xdr:colOff>500380</xdr:colOff>
      <xdr:row>122</xdr:row>
      <xdr:rowOff>90805</xdr:rowOff>
    </xdr:to>
    <xdr:pic>
      <xdr:nvPicPr>
        <xdr:cNvPr id="18" name="图片 17" descr="We-Cd相图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0506610" y="26179780"/>
          <a:ext cx="2823210" cy="2498725"/>
        </a:xfrm>
        <a:prstGeom prst="rect">
          <a:avLst/>
        </a:prstGeom>
      </xdr:spPr>
    </xdr:pic>
    <xdr:clientData/>
  </xdr:twoCellAnchor>
  <xdr:twoCellAnchor editAs="oneCell">
    <xdr:from>
      <xdr:col>67</xdr:col>
      <xdr:colOff>380365</xdr:colOff>
      <xdr:row>140</xdr:row>
      <xdr:rowOff>22225</xdr:rowOff>
    </xdr:from>
    <xdr:to>
      <xdr:col>73</xdr:col>
      <xdr:colOff>27940</xdr:colOff>
      <xdr:row>149</xdr:row>
      <xdr:rowOff>150495</xdr:rowOff>
    </xdr:to>
    <xdr:pic>
      <xdr:nvPicPr>
        <xdr:cNvPr id="19" name="图片 18" descr="Bo-Cd相图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3334285" y="34324925"/>
          <a:ext cx="3350895" cy="2985770"/>
        </a:xfrm>
        <a:prstGeom prst="rect">
          <a:avLst/>
        </a:prstGeom>
      </xdr:spPr>
    </xdr:pic>
    <xdr:clientData/>
  </xdr:twoCellAnchor>
  <xdr:twoCellAnchor>
    <xdr:from>
      <xdr:col>77</xdr:col>
      <xdr:colOff>369570</xdr:colOff>
      <xdr:row>139</xdr:row>
      <xdr:rowOff>153035</xdr:rowOff>
    </xdr:from>
    <xdr:to>
      <xdr:col>91</xdr:col>
      <xdr:colOff>541655</xdr:colOff>
      <xdr:row>161</xdr:row>
      <xdr:rowOff>195580</xdr:rowOff>
    </xdr:to>
    <xdr:graphicFrame>
      <xdr:nvGraphicFramePr>
        <xdr:cNvPr id="24" name="图表 23"/>
        <xdr:cNvGraphicFramePr/>
      </xdr:nvGraphicFramePr>
      <xdr:xfrm>
        <a:off x="59495690" y="34138235"/>
        <a:ext cx="8813165" cy="7027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90</xdr:col>
      <xdr:colOff>367665</xdr:colOff>
      <xdr:row>130</xdr:row>
      <xdr:rowOff>136525</xdr:rowOff>
    </xdr:from>
    <xdr:to>
      <xdr:col>101</xdr:col>
      <xdr:colOff>593090</xdr:colOff>
      <xdr:row>149</xdr:row>
      <xdr:rowOff>38735</xdr:rowOff>
    </xdr:to>
    <xdr:pic>
      <xdr:nvPicPr>
        <xdr:cNvPr id="28" name="图片 2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7517645" y="31264225"/>
          <a:ext cx="7014845" cy="593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90</xdr:col>
      <xdr:colOff>452120</xdr:colOff>
      <xdr:row>149</xdr:row>
      <xdr:rowOff>157480</xdr:rowOff>
    </xdr:from>
    <xdr:to>
      <xdr:col>102</xdr:col>
      <xdr:colOff>41910</xdr:colOff>
      <xdr:row>166</xdr:row>
      <xdr:rowOff>238125</xdr:rowOff>
    </xdr:to>
    <xdr:pic>
      <xdr:nvPicPr>
        <xdr:cNvPr id="44" name="图片 4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7602100" y="37317680"/>
          <a:ext cx="6996430" cy="5478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90</xdr:col>
      <xdr:colOff>497840</xdr:colOff>
      <xdr:row>167</xdr:row>
      <xdr:rowOff>182245</xdr:rowOff>
    </xdr:from>
    <xdr:to>
      <xdr:col>102</xdr:col>
      <xdr:colOff>97790</xdr:colOff>
      <xdr:row>185</xdr:row>
      <xdr:rowOff>27305</xdr:rowOff>
    </xdr:to>
    <xdr:pic>
      <xdr:nvPicPr>
        <xdr:cNvPr id="45" name="图片 4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7647820" y="43057445"/>
          <a:ext cx="7006590" cy="556006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26035</xdr:colOff>
          <xdr:row>1</xdr:row>
          <xdr:rowOff>19050</xdr:rowOff>
        </xdr:from>
        <xdr:to>
          <xdr:col>37</xdr:col>
          <xdr:colOff>1143635</xdr:colOff>
          <xdr:row>1</xdr:row>
          <xdr:rowOff>598170</xdr:rowOff>
        </xdr:to>
        <xdr:sp>
          <xdr:nvSpPr>
            <xdr:cNvPr id="7180" name="Object 12" hidden="1">
              <a:extLst>
                <a:ext uri="{63B3BB69-23CF-44E3-9099-C40C66FF867C}">
                  <a14:compatExt spid="_x0000_s7180"/>
                </a:ext>
              </a:extLst>
            </xdr:cNvPr>
            <xdr:cNvSpPr/>
          </xdr:nvSpPr>
          <xdr:spPr>
            <a:xfrm>
              <a:off x="21354415" y="666750"/>
              <a:ext cx="1117600" cy="579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68580</xdr:colOff>
          <xdr:row>1</xdr:row>
          <xdr:rowOff>15240</xdr:rowOff>
        </xdr:from>
        <xdr:to>
          <xdr:col>47</xdr:col>
          <xdr:colOff>1049020</xdr:colOff>
          <xdr:row>1</xdr:row>
          <xdr:rowOff>626745</xdr:rowOff>
        </xdr:to>
        <xdr:sp>
          <xdr:nvSpPr>
            <xdr:cNvPr id="7183" name="Object 15" hidden="1">
              <a:extLst>
                <a:ext uri="{63B3BB69-23CF-44E3-9099-C40C66FF867C}">
                  <a14:compatExt spid="_x0000_s7183"/>
                </a:ext>
              </a:extLst>
            </xdr:cNvPr>
            <xdr:cNvSpPr/>
          </xdr:nvSpPr>
          <xdr:spPr>
            <a:xfrm>
              <a:off x="34549080" y="662940"/>
              <a:ext cx="980440" cy="61150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61</xdr:col>
      <xdr:colOff>267335</xdr:colOff>
      <xdr:row>161</xdr:row>
      <xdr:rowOff>184150</xdr:rowOff>
    </xdr:from>
    <xdr:to>
      <xdr:col>77</xdr:col>
      <xdr:colOff>461010</xdr:colOff>
      <xdr:row>187</xdr:row>
      <xdr:rowOff>182880</xdr:rowOff>
    </xdr:to>
    <xdr:graphicFrame>
      <xdr:nvGraphicFramePr>
        <xdr:cNvPr id="4" name="图表 3"/>
        <xdr:cNvGraphicFramePr/>
      </xdr:nvGraphicFramePr>
      <xdr:xfrm>
        <a:off x="49517935" y="41154350"/>
        <a:ext cx="10069195" cy="8253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158750</xdr:colOff>
          <xdr:row>1</xdr:row>
          <xdr:rowOff>15240</xdr:rowOff>
        </xdr:from>
        <xdr:to>
          <xdr:col>54</xdr:col>
          <xdr:colOff>1077595</xdr:colOff>
          <xdr:row>1</xdr:row>
          <xdr:rowOff>614680</xdr:rowOff>
        </xdr:to>
        <xdr:sp>
          <xdr:nvSpPr>
            <xdr:cNvPr id="7184" name="Object 16" hidden="1">
              <a:extLst>
                <a:ext uri="{63B3BB69-23CF-44E3-9099-C40C66FF867C}">
                  <a14:compatExt spid="_x0000_s7184"/>
                </a:ext>
              </a:extLst>
            </xdr:cNvPr>
            <xdr:cNvSpPr/>
          </xdr:nvSpPr>
          <xdr:spPr>
            <a:xfrm>
              <a:off x="42693590" y="662940"/>
              <a:ext cx="918845" cy="599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55</xdr:col>
          <xdr:colOff>41910</xdr:colOff>
          <xdr:row>1</xdr:row>
          <xdr:rowOff>41275</xdr:rowOff>
        </xdr:from>
        <xdr:to>
          <xdr:col>55</xdr:col>
          <xdr:colOff>1116965</xdr:colOff>
          <xdr:row>1</xdr:row>
          <xdr:rowOff>607695</xdr:rowOff>
        </xdr:to>
        <xdr:sp>
          <xdr:nvSpPr>
            <xdr:cNvPr id="7186" name="Object 18" hidden="1">
              <a:extLst>
                <a:ext uri="{63B3BB69-23CF-44E3-9099-C40C66FF867C}">
                  <a14:compatExt spid="_x0000_s7186"/>
                </a:ext>
              </a:extLst>
            </xdr:cNvPr>
            <xdr:cNvSpPr/>
          </xdr:nvSpPr>
          <xdr:spPr>
            <a:xfrm>
              <a:off x="43747055" y="688975"/>
              <a:ext cx="1075055" cy="56642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61</xdr:col>
      <xdr:colOff>241935</xdr:colOff>
      <xdr:row>189</xdr:row>
      <xdr:rowOff>97790</xdr:rowOff>
    </xdr:from>
    <xdr:to>
      <xdr:col>77</xdr:col>
      <xdr:colOff>435610</xdr:colOff>
      <xdr:row>215</xdr:row>
      <xdr:rowOff>96520</xdr:rowOff>
    </xdr:to>
    <xdr:graphicFrame>
      <xdr:nvGraphicFramePr>
        <xdr:cNvPr id="5" name="图表 4"/>
        <xdr:cNvGraphicFramePr/>
      </xdr:nvGraphicFramePr>
      <xdr:xfrm>
        <a:off x="49492535" y="49957990"/>
        <a:ext cx="10069195" cy="8253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157480</xdr:colOff>
          <xdr:row>1</xdr:row>
          <xdr:rowOff>34290</xdr:rowOff>
        </xdr:from>
        <xdr:to>
          <xdr:col>45</xdr:col>
          <xdr:colOff>1357630</xdr:colOff>
          <xdr:row>1</xdr:row>
          <xdr:rowOff>600710</xdr:rowOff>
        </xdr:to>
        <xdr:sp>
          <xdr:nvSpPr>
            <xdr:cNvPr id="7189" name="Object 21" hidden="1">
              <a:extLst>
                <a:ext uri="{63B3BB69-23CF-44E3-9099-C40C66FF867C}">
                  <a14:compatExt spid="_x0000_s7189"/>
                </a:ext>
              </a:extLst>
            </xdr:cNvPr>
            <xdr:cNvSpPr/>
          </xdr:nvSpPr>
          <xdr:spPr>
            <a:xfrm>
              <a:off x="31788100" y="681990"/>
              <a:ext cx="1200150" cy="566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287020</xdr:colOff>
          <xdr:row>1</xdr:row>
          <xdr:rowOff>3810</xdr:rowOff>
        </xdr:from>
        <xdr:to>
          <xdr:col>46</xdr:col>
          <xdr:colOff>1113155</xdr:colOff>
          <xdr:row>1</xdr:row>
          <xdr:rowOff>620395</xdr:rowOff>
        </xdr:to>
        <xdr:sp>
          <xdr:nvSpPr>
            <xdr:cNvPr id="7190" name="Object 22" hidden="1">
              <a:extLst>
                <a:ext uri="{63B3BB69-23CF-44E3-9099-C40C66FF867C}">
                  <a14:compatExt spid="_x0000_s7190"/>
                </a:ext>
              </a:extLst>
            </xdr:cNvPr>
            <xdr:cNvSpPr/>
          </xdr:nvSpPr>
          <xdr:spPr>
            <a:xfrm>
              <a:off x="33342580" y="651510"/>
              <a:ext cx="826135" cy="61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64135</xdr:colOff>
          <xdr:row>1</xdr:row>
          <xdr:rowOff>15240</xdr:rowOff>
        </xdr:from>
        <xdr:to>
          <xdr:col>34</xdr:col>
          <xdr:colOff>1054100</xdr:colOff>
          <xdr:row>1</xdr:row>
          <xdr:rowOff>594360</xdr:rowOff>
        </xdr:to>
        <xdr:sp>
          <xdr:nvSpPr>
            <xdr:cNvPr id="7191" name="Object 23" hidden="1">
              <a:extLst>
                <a:ext uri="{63B3BB69-23CF-44E3-9099-C40C66FF867C}">
                  <a14:compatExt spid="_x0000_s7191"/>
                </a:ext>
              </a:extLst>
            </xdr:cNvPr>
            <xdr:cNvSpPr/>
          </xdr:nvSpPr>
          <xdr:spPr>
            <a:xfrm>
              <a:off x="17323435" y="662940"/>
              <a:ext cx="989965" cy="579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78105</xdr:colOff>
          <xdr:row>1</xdr:row>
          <xdr:rowOff>14605</xdr:rowOff>
        </xdr:from>
        <xdr:to>
          <xdr:col>35</xdr:col>
          <xdr:colOff>1626235</xdr:colOff>
          <xdr:row>2</xdr:row>
          <xdr:rowOff>27305</xdr:rowOff>
        </xdr:to>
        <xdr:sp>
          <xdr:nvSpPr>
            <xdr:cNvPr id="7192" name="Object 24" hidden="1">
              <a:extLst>
                <a:ext uri="{63B3BB69-23CF-44E3-9099-C40C66FF867C}">
                  <a14:compatExt spid="_x0000_s7192"/>
                </a:ext>
              </a:extLst>
            </xdr:cNvPr>
            <xdr:cNvSpPr/>
          </xdr:nvSpPr>
          <xdr:spPr>
            <a:xfrm>
              <a:off x="18488025" y="662305"/>
              <a:ext cx="154813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102235</xdr:colOff>
          <xdr:row>1</xdr:row>
          <xdr:rowOff>130175</xdr:rowOff>
        </xdr:from>
        <xdr:to>
          <xdr:col>57</xdr:col>
          <xdr:colOff>0</xdr:colOff>
          <xdr:row>1</xdr:row>
          <xdr:rowOff>517525</xdr:rowOff>
        </xdr:to>
        <xdr:sp>
          <xdr:nvSpPr>
            <xdr:cNvPr id="7193" name="Object 25" hidden="1">
              <a:extLst>
                <a:ext uri="{63B3BB69-23CF-44E3-9099-C40C66FF867C}">
                  <a14:compatExt spid="_x0000_s7193"/>
                </a:ext>
              </a:extLst>
            </xdr:cNvPr>
            <xdr:cNvSpPr/>
          </xdr:nvSpPr>
          <xdr:spPr>
            <a:xfrm>
              <a:off x="44977685" y="777875"/>
              <a:ext cx="106807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102870</xdr:colOff>
          <xdr:row>1</xdr:row>
          <xdr:rowOff>59055</xdr:rowOff>
        </xdr:from>
        <xdr:to>
          <xdr:col>27</xdr:col>
          <xdr:colOff>1063625</xdr:colOff>
          <xdr:row>1</xdr:row>
          <xdr:rowOff>607695</xdr:rowOff>
        </xdr:to>
        <xdr:sp>
          <xdr:nvSpPr>
            <xdr:cNvPr id="8193" name="Object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31169610" y="706755"/>
              <a:ext cx="960755" cy="548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92075</xdr:colOff>
          <xdr:row>1</xdr:row>
          <xdr:rowOff>30480</xdr:rowOff>
        </xdr:from>
        <xdr:to>
          <xdr:col>28</xdr:col>
          <xdr:colOff>1049655</xdr:colOff>
          <xdr:row>1</xdr:row>
          <xdr:rowOff>592455</xdr:rowOff>
        </xdr:to>
        <xdr:sp>
          <xdr:nvSpPr>
            <xdr:cNvPr id="8194" name="Object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32309435" y="678180"/>
              <a:ext cx="957580" cy="561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107950</xdr:colOff>
          <xdr:row>1</xdr:row>
          <xdr:rowOff>27305</xdr:rowOff>
        </xdr:from>
        <xdr:to>
          <xdr:col>45</xdr:col>
          <xdr:colOff>1015365</xdr:colOff>
          <xdr:row>2</xdr:row>
          <xdr:rowOff>7620</xdr:rowOff>
        </xdr:to>
        <xdr:sp>
          <xdr:nvSpPr>
            <xdr:cNvPr id="8195" name="Object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52503070" y="675005"/>
              <a:ext cx="907415" cy="615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79375</xdr:colOff>
          <xdr:row>1</xdr:row>
          <xdr:rowOff>30480</xdr:rowOff>
        </xdr:from>
        <xdr:to>
          <xdr:col>46</xdr:col>
          <xdr:colOff>1061085</xdr:colOff>
          <xdr:row>1</xdr:row>
          <xdr:rowOff>588010</xdr:rowOff>
        </xdr:to>
        <xdr:sp>
          <xdr:nvSpPr>
            <xdr:cNvPr id="8196" name="Object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53625115" y="678180"/>
              <a:ext cx="981710" cy="55753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65</xdr:col>
      <xdr:colOff>590550</xdr:colOff>
      <xdr:row>0</xdr:row>
      <xdr:rowOff>208280</xdr:rowOff>
    </xdr:from>
    <xdr:to>
      <xdr:col>79</xdr:col>
      <xdr:colOff>156210</xdr:colOff>
      <xdr:row>22</xdr:row>
      <xdr:rowOff>36195</xdr:rowOff>
    </xdr:to>
    <xdr:graphicFrame>
      <xdr:nvGraphicFramePr>
        <xdr:cNvPr id="6" name="图表 5"/>
        <xdr:cNvGraphicFramePr/>
      </xdr:nvGraphicFramePr>
      <xdr:xfrm>
        <a:off x="78320265" y="208280"/>
        <a:ext cx="8389620" cy="7460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626110</xdr:colOff>
      <xdr:row>1</xdr:row>
      <xdr:rowOff>500380</xdr:rowOff>
    </xdr:from>
    <xdr:to>
      <xdr:col>72</xdr:col>
      <xdr:colOff>330200</xdr:colOff>
      <xdr:row>18</xdr:row>
      <xdr:rowOff>143510</xdr:rowOff>
    </xdr:to>
    <xdr:cxnSp>
      <xdr:nvCxnSpPr>
        <xdr:cNvPr id="7" name="直接连接符 6"/>
        <xdr:cNvCxnSpPr/>
      </xdr:nvCxnSpPr>
      <xdr:spPr>
        <a:xfrm flipH="1" flipV="1">
          <a:off x="78973045" y="1148080"/>
          <a:ext cx="3590290" cy="5358130"/>
        </a:xfrm>
        <a:prstGeom prst="line">
          <a:avLst/>
        </a:prstGeom>
        <a:ln w="12700" cmpd="sng">
          <a:solidFill>
            <a:srgbClr val="FF4C97"/>
          </a:solidFill>
          <a:prstDash val="lg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539115</xdr:colOff>
      <xdr:row>0</xdr:row>
      <xdr:rowOff>208280</xdr:rowOff>
    </xdr:from>
    <xdr:to>
      <xdr:col>97</xdr:col>
      <xdr:colOff>464185</xdr:colOff>
      <xdr:row>22</xdr:row>
      <xdr:rowOff>36195</xdr:rowOff>
    </xdr:to>
    <xdr:graphicFrame>
      <xdr:nvGraphicFramePr>
        <xdr:cNvPr id="8" name="图表 7"/>
        <xdr:cNvGraphicFramePr/>
      </xdr:nvGraphicFramePr>
      <xdr:xfrm>
        <a:off x="87092790" y="208280"/>
        <a:ext cx="11035030" cy="7460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99060</xdr:colOff>
          <xdr:row>1</xdr:row>
          <xdr:rowOff>15240</xdr:rowOff>
        </xdr:from>
        <xdr:to>
          <xdr:col>47</xdr:col>
          <xdr:colOff>1078230</xdr:colOff>
          <xdr:row>1</xdr:row>
          <xdr:rowOff>605155</xdr:rowOff>
        </xdr:to>
        <xdr:sp>
          <xdr:nvSpPr>
            <xdr:cNvPr id="8197" name="Object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>
            <a:xfrm>
              <a:off x="54795420" y="662940"/>
              <a:ext cx="979170" cy="5899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55</xdr:col>
          <xdr:colOff>35560</xdr:colOff>
          <xdr:row>1</xdr:row>
          <xdr:rowOff>26035</xdr:rowOff>
        </xdr:from>
        <xdr:to>
          <xdr:col>55</xdr:col>
          <xdr:colOff>1093470</xdr:colOff>
          <xdr:row>1</xdr:row>
          <xdr:rowOff>625475</xdr:rowOff>
        </xdr:to>
        <xdr:sp>
          <xdr:nvSpPr>
            <xdr:cNvPr id="8198" name="Object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>
            <a:xfrm>
              <a:off x="65582800" y="673735"/>
              <a:ext cx="1057910" cy="599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136525</xdr:colOff>
          <xdr:row>1</xdr:row>
          <xdr:rowOff>490855</xdr:rowOff>
        </xdr:from>
        <xdr:to>
          <xdr:col>68</xdr:col>
          <xdr:colOff>566420</xdr:colOff>
          <xdr:row>2</xdr:row>
          <xdr:rowOff>86360</xdr:rowOff>
        </xdr:to>
        <xdr:sp>
          <xdr:nvSpPr>
            <xdr:cNvPr id="8199" name="Object 7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>
            <a:xfrm>
              <a:off x="79169260" y="1138555"/>
              <a:ext cx="1161415" cy="230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57</xdr:col>
          <xdr:colOff>97790</xdr:colOff>
          <xdr:row>1</xdr:row>
          <xdr:rowOff>24130</xdr:rowOff>
        </xdr:from>
        <xdr:to>
          <xdr:col>57</xdr:col>
          <xdr:colOff>1045845</xdr:colOff>
          <xdr:row>1</xdr:row>
          <xdr:rowOff>561340</xdr:rowOff>
        </xdr:to>
        <xdr:sp>
          <xdr:nvSpPr>
            <xdr:cNvPr id="8201" name="Object 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>
            <a:xfrm>
              <a:off x="67946270" y="671830"/>
              <a:ext cx="948055" cy="5372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139065</xdr:colOff>
          <xdr:row>1</xdr:row>
          <xdr:rowOff>13335</xdr:rowOff>
        </xdr:from>
        <xdr:to>
          <xdr:col>43</xdr:col>
          <xdr:colOff>993140</xdr:colOff>
          <xdr:row>2</xdr:row>
          <xdr:rowOff>2540</xdr:rowOff>
        </xdr:to>
        <xdr:sp>
          <xdr:nvSpPr>
            <xdr:cNvPr id="8202" name="Object 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>
            <a:xfrm>
              <a:off x="50232945" y="661035"/>
              <a:ext cx="854075" cy="62420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65</xdr:col>
      <xdr:colOff>590550</xdr:colOff>
      <xdr:row>23</xdr:row>
      <xdr:rowOff>159385</xdr:rowOff>
    </xdr:from>
    <xdr:to>
      <xdr:col>80</xdr:col>
      <xdr:colOff>236855</xdr:colOff>
      <xdr:row>47</xdr:row>
      <xdr:rowOff>31750</xdr:rowOff>
    </xdr:to>
    <xdr:grpSp>
      <xdr:nvGrpSpPr>
        <xdr:cNvPr id="3" name="组合 2"/>
        <xdr:cNvGrpSpPr/>
      </xdr:nvGrpSpPr>
      <xdr:grpSpPr>
        <a:xfrm>
          <a:off x="78320265" y="8109585"/>
          <a:ext cx="9087485" cy="7492365"/>
          <a:chOff x="97488" y="37139"/>
          <a:chExt cx="14143" cy="8562"/>
        </a:xfrm>
      </xdr:grpSpPr>
      <xdr:graphicFrame>
        <xdr:nvGraphicFramePr>
          <xdr:cNvPr id="31" name="图表 30"/>
          <xdr:cNvGraphicFramePr/>
        </xdr:nvGraphicFramePr>
        <xdr:xfrm>
          <a:off x="97488" y="37139"/>
          <a:ext cx="14143" cy="85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pic>
        <xdr:nvPicPr>
          <xdr:cNvPr id="34" name="图片 33" descr="We-Bo相图"/>
          <xdr:cNvPicPr>
            <a:picLocks noChangeAspect="1"/>
          </xdr:cNvPicPr>
        </xdr:nvPicPr>
        <xdr:blipFill>
          <a:blip r:embed="rId15"/>
          <a:stretch>
            <a:fillRect/>
          </a:stretch>
        </xdr:blipFill>
        <xdr:spPr>
          <a:xfrm>
            <a:off x="106858" y="38907"/>
            <a:ext cx="4172" cy="3613"/>
          </a:xfrm>
          <a:prstGeom prst="rect">
            <a:avLst/>
          </a:prstGeom>
        </xdr:spPr>
      </xdr:pic>
    </xdr:grpSp>
    <xdr:clientData/>
  </xdr:twoCellAnchor>
  <xdr:twoCellAnchor>
    <xdr:from>
      <xdr:col>81</xdr:col>
      <xdr:colOff>160655</xdr:colOff>
      <xdr:row>23</xdr:row>
      <xdr:rowOff>159385</xdr:rowOff>
    </xdr:from>
    <xdr:to>
      <xdr:col>95</xdr:col>
      <xdr:colOff>332740</xdr:colOff>
      <xdr:row>47</xdr:row>
      <xdr:rowOff>31750</xdr:rowOff>
    </xdr:to>
    <xdr:grpSp>
      <xdr:nvGrpSpPr>
        <xdr:cNvPr id="4" name="组合 3"/>
        <xdr:cNvGrpSpPr/>
      </xdr:nvGrpSpPr>
      <xdr:grpSpPr>
        <a:xfrm>
          <a:off x="87948770" y="8109585"/>
          <a:ext cx="8813165" cy="7492365"/>
          <a:chOff x="112471" y="37219"/>
          <a:chExt cx="13711" cy="8622"/>
        </a:xfrm>
      </xdr:grpSpPr>
      <xdr:graphicFrame>
        <xdr:nvGraphicFramePr>
          <xdr:cNvPr id="32" name="图表 31"/>
          <xdr:cNvGraphicFramePr/>
        </xdr:nvGraphicFramePr>
        <xdr:xfrm>
          <a:off x="112471" y="37219"/>
          <a:ext cx="13711" cy="86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pic>
        <xdr:nvPicPr>
          <xdr:cNvPr id="35" name="图片 34" descr="We-Cd相图"/>
          <xdr:cNvPicPr>
            <a:picLocks noChangeAspect="1"/>
          </xdr:cNvPicPr>
        </xdr:nvPicPr>
        <xdr:blipFill>
          <a:blip r:embed="rId16"/>
          <a:stretch>
            <a:fillRect/>
          </a:stretch>
        </xdr:blipFill>
        <xdr:spPr>
          <a:xfrm>
            <a:off x="120818" y="38775"/>
            <a:ext cx="4398" cy="3775"/>
          </a:xfrm>
          <a:prstGeom prst="rect">
            <a:avLst/>
          </a:prstGeom>
        </xdr:spPr>
      </xdr:pic>
    </xdr:grpSp>
    <xdr:clientData/>
  </xdr:twoCellAnchor>
  <xdr:twoCellAnchor>
    <xdr:from>
      <xdr:col>65</xdr:col>
      <xdr:colOff>590550</xdr:colOff>
      <xdr:row>48</xdr:row>
      <xdr:rowOff>114935</xdr:rowOff>
    </xdr:from>
    <xdr:to>
      <xdr:col>80</xdr:col>
      <xdr:colOff>598170</xdr:colOff>
      <xdr:row>71</xdr:row>
      <xdr:rowOff>316865</xdr:rowOff>
    </xdr:to>
    <xdr:grpSp>
      <xdr:nvGrpSpPr>
        <xdr:cNvPr id="5" name="组合 4"/>
        <xdr:cNvGrpSpPr/>
      </xdr:nvGrpSpPr>
      <xdr:grpSpPr>
        <a:xfrm>
          <a:off x="78320265" y="16002635"/>
          <a:ext cx="9448800" cy="7504430"/>
          <a:chOff x="99797" y="46639"/>
          <a:chExt cx="14700" cy="11338"/>
        </a:xfrm>
      </xdr:grpSpPr>
      <xdr:graphicFrame>
        <xdr:nvGraphicFramePr>
          <xdr:cNvPr id="33" name="图表 32"/>
          <xdr:cNvGraphicFramePr/>
        </xdr:nvGraphicFramePr>
        <xdr:xfrm>
          <a:off x="99797" y="46639"/>
          <a:ext cx="14701" cy="113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pic>
        <xdr:nvPicPr>
          <xdr:cNvPr id="36" name="图片 35" descr="Bo-Cd相图"/>
          <xdr:cNvPicPr>
            <a:picLocks noChangeAspect="1"/>
          </xdr:cNvPicPr>
        </xdr:nvPicPr>
        <xdr:blipFill>
          <a:blip r:embed="rId17"/>
          <a:stretch>
            <a:fillRect/>
          </a:stretch>
        </xdr:blipFill>
        <xdr:spPr>
          <a:xfrm>
            <a:off x="108587" y="48323"/>
            <a:ext cx="5217" cy="4522"/>
          </a:xfrm>
          <a:prstGeom prst="rect">
            <a:avLst/>
          </a:prstGeom>
        </xdr:spPr>
      </xdr:pic>
    </xdr:grpSp>
    <xdr:clientData/>
  </xdr:twoCellAnchor>
  <xdr:twoCellAnchor>
    <xdr:from>
      <xdr:col>81</xdr:col>
      <xdr:colOff>360045</xdr:colOff>
      <xdr:row>48</xdr:row>
      <xdr:rowOff>114935</xdr:rowOff>
    </xdr:from>
    <xdr:to>
      <xdr:col>95</xdr:col>
      <xdr:colOff>531495</xdr:colOff>
      <xdr:row>71</xdr:row>
      <xdr:rowOff>316865</xdr:rowOff>
    </xdr:to>
    <xdr:grpSp>
      <xdr:nvGrpSpPr>
        <xdr:cNvPr id="16" name="组合 15"/>
        <xdr:cNvGrpSpPr/>
      </xdr:nvGrpSpPr>
      <xdr:grpSpPr>
        <a:xfrm>
          <a:off x="88148160" y="16002635"/>
          <a:ext cx="8812530" cy="7504430"/>
          <a:chOff x="115650" y="46879"/>
          <a:chExt cx="13710" cy="11338"/>
        </a:xfrm>
      </xdr:grpSpPr>
      <xdr:graphicFrame>
        <xdr:nvGraphicFramePr>
          <xdr:cNvPr id="37" name="图表 36"/>
          <xdr:cNvGraphicFramePr/>
        </xdr:nvGraphicFramePr>
        <xdr:xfrm>
          <a:off x="115650" y="46879"/>
          <a:ext cx="13711" cy="113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pic>
        <xdr:nvPicPr>
          <xdr:cNvPr id="38" name="图片 37"/>
          <xdr:cNvPicPr>
            <a:picLocks noChangeAspect="1"/>
          </xdr:cNvPicPr>
        </xdr:nvPicPr>
        <xdr:blipFill>
          <a:blip r:embed="rId18"/>
          <a:stretch>
            <a:fillRect/>
          </a:stretch>
        </xdr:blipFill>
        <xdr:spPr>
          <a:xfrm>
            <a:off x="124629" y="47003"/>
            <a:ext cx="4535" cy="372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9" name="图片 38"/>
          <xdr:cNvPicPr>
            <a:picLocks noChangeAspect="1"/>
          </xdr:cNvPicPr>
        </xdr:nvPicPr>
        <xdr:blipFill>
          <a:blip r:embed="rId19"/>
          <a:stretch>
            <a:fillRect/>
          </a:stretch>
        </xdr:blipFill>
        <xdr:spPr>
          <a:xfrm>
            <a:off x="124629" y="50936"/>
            <a:ext cx="4535" cy="343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0" name="图片 39"/>
          <xdr:cNvPicPr>
            <a:picLocks noChangeAspect="1"/>
          </xdr:cNvPicPr>
        </xdr:nvPicPr>
        <xdr:blipFill>
          <a:blip r:embed="rId20"/>
          <a:stretch>
            <a:fillRect/>
          </a:stretch>
        </xdr:blipFill>
        <xdr:spPr>
          <a:xfrm>
            <a:off x="124629" y="54605"/>
            <a:ext cx="4535" cy="349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26035</xdr:colOff>
          <xdr:row>1</xdr:row>
          <xdr:rowOff>19050</xdr:rowOff>
        </xdr:from>
        <xdr:to>
          <xdr:col>44</xdr:col>
          <xdr:colOff>1143635</xdr:colOff>
          <xdr:row>1</xdr:row>
          <xdr:rowOff>598170</xdr:rowOff>
        </xdr:to>
        <xdr:sp>
          <xdr:nvSpPr>
            <xdr:cNvPr id="8203" name="Object 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>
            <a:xfrm>
              <a:off x="51270535" y="666750"/>
              <a:ext cx="1117600" cy="579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68580</xdr:colOff>
          <xdr:row>1</xdr:row>
          <xdr:rowOff>15240</xdr:rowOff>
        </xdr:from>
        <xdr:to>
          <xdr:col>54</xdr:col>
          <xdr:colOff>1049020</xdr:colOff>
          <xdr:row>1</xdr:row>
          <xdr:rowOff>626745</xdr:rowOff>
        </xdr:to>
        <xdr:sp>
          <xdr:nvSpPr>
            <xdr:cNvPr id="8204" name="Object 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>
            <a:xfrm>
              <a:off x="64465200" y="662940"/>
              <a:ext cx="980440" cy="61150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65</xdr:col>
      <xdr:colOff>590550</xdr:colOff>
      <xdr:row>73</xdr:row>
      <xdr:rowOff>220980</xdr:rowOff>
    </xdr:from>
    <xdr:to>
      <xdr:col>80</xdr:col>
      <xdr:colOff>605790</xdr:colOff>
      <xdr:row>96</xdr:row>
      <xdr:rowOff>50800</xdr:rowOff>
    </xdr:to>
    <xdr:graphicFrame>
      <xdr:nvGraphicFramePr>
        <xdr:cNvPr id="43" name="图表 42"/>
        <xdr:cNvGraphicFramePr/>
      </xdr:nvGraphicFramePr>
      <xdr:xfrm>
        <a:off x="78320265" y="24046180"/>
        <a:ext cx="9456420" cy="713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158750</xdr:colOff>
          <xdr:row>1</xdr:row>
          <xdr:rowOff>15240</xdr:rowOff>
        </xdr:from>
        <xdr:to>
          <xdr:col>61</xdr:col>
          <xdr:colOff>1077595</xdr:colOff>
          <xdr:row>1</xdr:row>
          <xdr:rowOff>614680</xdr:rowOff>
        </xdr:to>
        <xdr:sp>
          <xdr:nvSpPr>
            <xdr:cNvPr id="8205" name="Object 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>
            <a:xfrm>
              <a:off x="72609710" y="662940"/>
              <a:ext cx="918845" cy="599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41910</xdr:colOff>
          <xdr:row>1</xdr:row>
          <xdr:rowOff>41275</xdr:rowOff>
        </xdr:from>
        <xdr:to>
          <xdr:col>62</xdr:col>
          <xdr:colOff>1116965</xdr:colOff>
          <xdr:row>1</xdr:row>
          <xdr:rowOff>607695</xdr:rowOff>
        </xdr:to>
        <xdr:sp>
          <xdr:nvSpPr>
            <xdr:cNvPr id="8206" name="Object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>
            <a:xfrm>
              <a:off x="73663175" y="688975"/>
              <a:ext cx="1075055" cy="56642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81</xdr:col>
      <xdr:colOff>360680</xdr:colOff>
      <xdr:row>73</xdr:row>
      <xdr:rowOff>220980</xdr:rowOff>
    </xdr:from>
    <xdr:to>
      <xdr:col>95</xdr:col>
      <xdr:colOff>530860</xdr:colOff>
      <xdr:row>96</xdr:row>
      <xdr:rowOff>50800</xdr:rowOff>
    </xdr:to>
    <xdr:graphicFrame>
      <xdr:nvGraphicFramePr>
        <xdr:cNvPr id="46" name="图表 45"/>
        <xdr:cNvGraphicFramePr/>
      </xdr:nvGraphicFramePr>
      <xdr:xfrm>
        <a:off x="88148795" y="24046180"/>
        <a:ext cx="8811260" cy="713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157480</xdr:colOff>
          <xdr:row>1</xdr:row>
          <xdr:rowOff>34290</xdr:rowOff>
        </xdr:from>
        <xdr:to>
          <xdr:col>52</xdr:col>
          <xdr:colOff>1357630</xdr:colOff>
          <xdr:row>1</xdr:row>
          <xdr:rowOff>600710</xdr:rowOff>
        </xdr:to>
        <xdr:sp>
          <xdr:nvSpPr>
            <xdr:cNvPr id="8207" name="Object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>
            <a:xfrm>
              <a:off x="61704220" y="681990"/>
              <a:ext cx="1200150" cy="566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</xdr:col>
          <xdr:colOff>287020</xdr:colOff>
          <xdr:row>1</xdr:row>
          <xdr:rowOff>3810</xdr:rowOff>
        </xdr:from>
        <xdr:to>
          <xdr:col>53</xdr:col>
          <xdr:colOff>1113155</xdr:colOff>
          <xdr:row>1</xdr:row>
          <xdr:rowOff>620395</xdr:rowOff>
        </xdr:to>
        <xdr:sp>
          <xdr:nvSpPr>
            <xdr:cNvPr id="8208" name="Object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>
            <a:xfrm>
              <a:off x="63258700" y="651510"/>
              <a:ext cx="826135" cy="61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64135</xdr:colOff>
          <xdr:row>1</xdr:row>
          <xdr:rowOff>15240</xdr:rowOff>
        </xdr:from>
        <xdr:to>
          <xdr:col>41</xdr:col>
          <xdr:colOff>1054100</xdr:colOff>
          <xdr:row>1</xdr:row>
          <xdr:rowOff>594360</xdr:rowOff>
        </xdr:to>
        <xdr:sp>
          <xdr:nvSpPr>
            <xdr:cNvPr id="8209" name="Object 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>
            <a:xfrm>
              <a:off x="47239555" y="662940"/>
              <a:ext cx="989965" cy="579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78105</xdr:colOff>
          <xdr:row>1</xdr:row>
          <xdr:rowOff>14605</xdr:rowOff>
        </xdr:from>
        <xdr:to>
          <xdr:col>42</xdr:col>
          <xdr:colOff>1626235</xdr:colOff>
          <xdr:row>2</xdr:row>
          <xdr:rowOff>27305</xdr:rowOff>
        </xdr:to>
        <xdr:sp>
          <xdr:nvSpPr>
            <xdr:cNvPr id="8210" name="Object 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>
            <a:xfrm>
              <a:off x="48404145" y="662305"/>
              <a:ext cx="154813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65</xdr:col>
      <xdr:colOff>600075</xdr:colOff>
      <xdr:row>97</xdr:row>
      <xdr:rowOff>201930</xdr:rowOff>
    </xdr:from>
    <xdr:to>
      <xdr:col>80</xdr:col>
      <xdr:colOff>607695</xdr:colOff>
      <xdr:row>119</xdr:row>
      <xdr:rowOff>31750</xdr:rowOff>
    </xdr:to>
    <xdr:graphicFrame>
      <xdr:nvGraphicFramePr>
        <xdr:cNvPr id="17" name="图表 16"/>
        <xdr:cNvGraphicFramePr/>
      </xdr:nvGraphicFramePr>
      <xdr:xfrm>
        <a:off x="78329790" y="31647130"/>
        <a:ext cx="9448800" cy="6814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63</xdr:col>
          <xdr:colOff>25400</xdr:colOff>
          <xdr:row>1</xdr:row>
          <xdr:rowOff>146050</xdr:rowOff>
        </xdr:from>
        <xdr:to>
          <xdr:col>63</xdr:col>
          <xdr:colOff>1148715</xdr:colOff>
          <xdr:row>1</xdr:row>
          <xdr:rowOff>533400</xdr:rowOff>
        </xdr:to>
        <xdr:sp>
          <xdr:nvSpPr>
            <xdr:cNvPr id="8211" name="Object 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>
            <a:xfrm>
              <a:off x="74816970" y="793750"/>
              <a:ext cx="1123315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96</xdr:col>
      <xdr:colOff>452120</xdr:colOff>
      <xdr:row>99</xdr:row>
      <xdr:rowOff>157480</xdr:rowOff>
    </xdr:from>
    <xdr:to>
      <xdr:col>108</xdr:col>
      <xdr:colOff>41910</xdr:colOff>
      <xdr:row>116</xdr:row>
      <xdr:rowOff>238125</xdr:rowOff>
    </xdr:to>
    <xdr:pic>
      <xdr:nvPicPr>
        <xdr:cNvPr id="44" name="图片 4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7498535" y="32237680"/>
          <a:ext cx="6996430" cy="5478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36</xdr:col>
      <xdr:colOff>13970</xdr:colOff>
      <xdr:row>35</xdr:row>
      <xdr:rowOff>97155</xdr:rowOff>
    </xdr:from>
    <xdr:to>
      <xdr:col>38</xdr:col>
      <xdr:colOff>1271905</xdr:colOff>
      <xdr:row>42</xdr:row>
      <xdr:rowOff>248285</xdr:rowOff>
    </xdr:to>
    <xdr:graphicFrame>
      <xdr:nvGraphicFramePr>
        <xdr:cNvPr id="10" name="图表 9"/>
        <xdr:cNvGraphicFramePr/>
      </xdr:nvGraphicFramePr>
      <xdr:xfrm>
        <a:off x="41436290" y="11857355"/>
        <a:ext cx="3437890" cy="2373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10160</xdr:colOff>
      <xdr:row>11</xdr:row>
      <xdr:rowOff>74295</xdr:rowOff>
    </xdr:from>
    <xdr:to>
      <xdr:col>38</xdr:col>
      <xdr:colOff>1236980</xdr:colOff>
      <xdr:row>19</xdr:row>
      <xdr:rowOff>34925</xdr:rowOff>
    </xdr:to>
    <xdr:graphicFrame>
      <xdr:nvGraphicFramePr>
        <xdr:cNvPr id="11" name="图表 10"/>
        <xdr:cNvGraphicFramePr/>
      </xdr:nvGraphicFramePr>
      <xdr:xfrm>
        <a:off x="41432480" y="4214495"/>
        <a:ext cx="3441700" cy="2500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13970</xdr:colOff>
      <xdr:row>19</xdr:row>
      <xdr:rowOff>153035</xdr:rowOff>
    </xdr:from>
    <xdr:to>
      <xdr:col>38</xdr:col>
      <xdr:colOff>1271905</xdr:colOff>
      <xdr:row>26</xdr:row>
      <xdr:rowOff>304165</xdr:rowOff>
    </xdr:to>
    <xdr:graphicFrame>
      <xdr:nvGraphicFramePr>
        <xdr:cNvPr id="2" name="图表 1"/>
        <xdr:cNvGraphicFramePr/>
      </xdr:nvGraphicFramePr>
      <xdr:xfrm>
        <a:off x="41436290" y="6833235"/>
        <a:ext cx="3437890" cy="2373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36</xdr:col>
      <xdr:colOff>13970</xdr:colOff>
      <xdr:row>27</xdr:row>
      <xdr:rowOff>107315</xdr:rowOff>
    </xdr:from>
    <xdr:to>
      <xdr:col>38</xdr:col>
      <xdr:colOff>1271905</xdr:colOff>
      <xdr:row>34</xdr:row>
      <xdr:rowOff>258445</xdr:rowOff>
    </xdr:to>
    <xdr:graphicFrame>
      <xdr:nvGraphicFramePr>
        <xdr:cNvPr id="9" name="图表 8"/>
        <xdr:cNvGraphicFramePr/>
      </xdr:nvGraphicFramePr>
      <xdr:xfrm>
        <a:off x="41436290" y="9327515"/>
        <a:ext cx="3437890" cy="2373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13970</xdr:colOff>
      <xdr:row>43</xdr:row>
      <xdr:rowOff>78105</xdr:rowOff>
    </xdr:from>
    <xdr:to>
      <xdr:col>38</xdr:col>
      <xdr:colOff>1271905</xdr:colOff>
      <xdr:row>50</xdr:row>
      <xdr:rowOff>229235</xdr:rowOff>
    </xdr:to>
    <xdr:graphicFrame>
      <xdr:nvGraphicFramePr>
        <xdr:cNvPr id="12" name="图表 11"/>
        <xdr:cNvGraphicFramePr/>
      </xdr:nvGraphicFramePr>
      <xdr:xfrm>
        <a:off x="41436290" y="14378305"/>
        <a:ext cx="3437890" cy="2373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36</xdr:col>
      <xdr:colOff>40005</xdr:colOff>
      <xdr:row>51</xdr:row>
      <xdr:rowOff>59690</xdr:rowOff>
    </xdr:from>
    <xdr:to>
      <xdr:col>39</xdr:col>
      <xdr:colOff>0</xdr:colOff>
      <xdr:row>58</xdr:row>
      <xdr:rowOff>202565</xdr:rowOff>
    </xdr:to>
    <xdr:pic>
      <xdr:nvPicPr>
        <xdr:cNvPr id="13" name="图片 1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1462325" y="16899890"/>
          <a:ext cx="3411855" cy="236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36</xdr:col>
      <xdr:colOff>58420</xdr:colOff>
      <xdr:row>59</xdr:row>
      <xdr:rowOff>57785</xdr:rowOff>
    </xdr:from>
    <xdr:to>
      <xdr:col>39</xdr:col>
      <xdr:colOff>0</xdr:colOff>
      <xdr:row>66</xdr:row>
      <xdr:rowOff>155575</xdr:rowOff>
    </xdr:to>
    <xdr:pic>
      <xdr:nvPicPr>
        <xdr:cNvPr id="14" name="图片 1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1480740" y="19437985"/>
          <a:ext cx="3393440" cy="2320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36</xdr:col>
      <xdr:colOff>68580</xdr:colOff>
      <xdr:row>67</xdr:row>
      <xdr:rowOff>30480</xdr:rowOff>
    </xdr:from>
    <xdr:to>
      <xdr:col>39</xdr:col>
      <xdr:colOff>0</xdr:colOff>
      <xdr:row>74</xdr:row>
      <xdr:rowOff>114935</xdr:rowOff>
    </xdr:to>
    <xdr:pic>
      <xdr:nvPicPr>
        <xdr:cNvPr id="15" name="图片 1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1490900" y="21950680"/>
          <a:ext cx="3383280" cy="2306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39</xdr:col>
      <xdr:colOff>473075</xdr:colOff>
      <xdr:row>10</xdr:row>
      <xdr:rowOff>221615</xdr:rowOff>
    </xdr:from>
    <xdr:to>
      <xdr:col>45</xdr:col>
      <xdr:colOff>769620</xdr:colOff>
      <xdr:row>28</xdr:row>
      <xdr:rowOff>57785</xdr:rowOff>
    </xdr:to>
    <xdr:pic>
      <xdr:nvPicPr>
        <xdr:cNvPr id="18" name="图片 1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5347255" y="4044315"/>
          <a:ext cx="7817485" cy="55511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2384425</xdr:colOff>
      <xdr:row>3</xdr:row>
      <xdr:rowOff>264795</xdr:rowOff>
    </xdr:from>
    <xdr:to>
      <xdr:col>25</xdr:col>
      <xdr:colOff>76835</xdr:colOff>
      <xdr:row>5</xdr:row>
      <xdr:rowOff>15240</xdr:rowOff>
    </xdr:to>
    <xdr:grpSp>
      <xdr:nvGrpSpPr>
        <xdr:cNvPr id="4" name="组合 3"/>
        <xdr:cNvGrpSpPr/>
      </xdr:nvGrpSpPr>
      <xdr:grpSpPr>
        <a:xfrm>
          <a:off x="15193645" y="1179195"/>
          <a:ext cx="488950" cy="360045"/>
          <a:chOff x="30146" y="1371"/>
          <a:chExt cx="770" cy="566"/>
        </a:xfrm>
      </xdr:grpSpPr>
      <xdr:pic>
        <xdr:nvPicPr>
          <xdr:cNvPr id="2" name="图片 1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30146" y="1371"/>
            <a:ext cx="406" cy="567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" name="图片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0554" y="1371"/>
            <a:ext cx="362" cy="56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24</xdr:col>
      <xdr:colOff>2326005</xdr:colOff>
      <xdr:row>1</xdr:row>
      <xdr:rowOff>292735</xdr:rowOff>
    </xdr:from>
    <xdr:to>
      <xdr:col>24</xdr:col>
      <xdr:colOff>2738120</xdr:colOff>
      <xdr:row>3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135225" y="597535"/>
          <a:ext cx="412115" cy="354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48895</xdr:colOff>
      <xdr:row>4</xdr:row>
      <xdr:rowOff>292100</xdr:rowOff>
    </xdr:from>
    <xdr:to>
      <xdr:col>25</xdr:col>
      <xdr:colOff>215900</xdr:colOff>
      <xdr:row>6</xdr:row>
      <xdr:rowOff>42545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654655" y="1511300"/>
          <a:ext cx="167005" cy="36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60325</xdr:colOff>
      <xdr:row>8</xdr:row>
      <xdr:rowOff>33020</xdr:rowOff>
    </xdr:from>
    <xdr:to>
      <xdr:col>25</xdr:col>
      <xdr:colOff>313690</xdr:colOff>
      <xdr:row>9</xdr:row>
      <xdr:rowOff>88265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666085" y="2471420"/>
          <a:ext cx="253365" cy="36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64135</xdr:colOff>
      <xdr:row>10</xdr:row>
      <xdr:rowOff>28575</xdr:rowOff>
    </xdr:from>
    <xdr:to>
      <xdr:col>25</xdr:col>
      <xdr:colOff>291465</xdr:colOff>
      <xdr:row>11</xdr:row>
      <xdr:rowOff>83820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669895" y="3076575"/>
          <a:ext cx="227330" cy="36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2541905</xdr:colOff>
      <xdr:row>8</xdr:row>
      <xdr:rowOff>271145</xdr:rowOff>
    </xdr:from>
    <xdr:to>
      <xdr:col>24</xdr:col>
      <xdr:colOff>2790825</xdr:colOff>
      <xdr:row>10</xdr:row>
      <xdr:rowOff>23495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351125" y="2709545"/>
          <a:ext cx="24892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2533015</xdr:colOff>
      <xdr:row>6</xdr:row>
      <xdr:rowOff>283210</xdr:rowOff>
    </xdr:from>
    <xdr:to>
      <xdr:col>24</xdr:col>
      <xdr:colOff>2738120</xdr:colOff>
      <xdr:row>8</xdr:row>
      <xdr:rowOff>33655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342235" y="2112010"/>
          <a:ext cx="205105" cy="36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2792730</xdr:colOff>
      <xdr:row>6</xdr:row>
      <xdr:rowOff>286385</xdr:rowOff>
    </xdr:from>
    <xdr:to>
      <xdr:col>25</xdr:col>
      <xdr:colOff>236220</xdr:colOff>
      <xdr:row>8</xdr:row>
      <xdr:rowOff>34290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601950" y="2115185"/>
          <a:ext cx="240030" cy="357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2581275</xdr:colOff>
      <xdr:row>5</xdr:row>
      <xdr:rowOff>254635</xdr:rowOff>
    </xdr:from>
    <xdr:to>
      <xdr:col>24</xdr:col>
      <xdr:colOff>2774950</xdr:colOff>
      <xdr:row>7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390495" y="1778635"/>
          <a:ext cx="193675" cy="354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2338705</xdr:colOff>
      <xdr:row>5</xdr:row>
      <xdr:rowOff>255905</xdr:rowOff>
    </xdr:from>
    <xdr:to>
      <xdr:col>24</xdr:col>
      <xdr:colOff>2576830</xdr:colOff>
      <xdr:row>7</xdr:row>
      <xdr:rowOff>0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147925" y="1779905"/>
          <a:ext cx="238125" cy="353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w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0" Type="http://schemas.openxmlformats.org/officeDocument/2006/relationships/image" Target="../media/image4.wmf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8.bin"/><Relationship Id="rId8" Type="http://schemas.openxmlformats.org/officeDocument/2006/relationships/image" Target="../media/image3.wmf"/><Relationship Id="rId7" Type="http://schemas.openxmlformats.org/officeDocument/2006/relationships/oleObject" Target="../embeddings/oleObject7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6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5.bin"/><Relationship Id="rId20" Type="http://schemas.openxmlformats.org/officeDocument/2006/relationships/image" Target="../media/image12.wmf"/><Relationship Id="rId2" Type="http://schemas.openxmlformats.org/officeDocument/2006/relationships/vmlDrawing" Target="../drawings/vmlDrawing2.vml"/><Relationship Id="rId19" Type="http://schemas.openxmlformats.org/officeDocument/2006/relationships/oleObject" Target="../embeddings/oleObject13.bin"/><Relationship Id="rId18" Type="http://schemas.openxmlformats.org/officeDocument/2006/relationships/image" Target="../media/image11.wmf"/><Relationship Id="rId17" Type="http://schemas.openxmlformats.org/officeDocument/2006/relationships/oleObject" Target="../embeddings/oleObject12.bin"/><Relationship Id="rId16" Type="http://schemas.openxmlformats.org/officeDocument/2006/relationships/image" Target="../media/image10.wmf"/><Relationship Id="rId15" Type="http://schemas.openxmlformats.org/officeDocument/2006/relationships/oleObject" Target="../embeddings/oleObject11.bin"/><Relationship Id="rId14" Type="http://schemas.openxmlformats.org/officeDocument/2006/relationships/image" Target="../media/image9.wmf"/><Relationship Id="rId13" Type="http://schemas.openxmlformats.org/officeDocument/2006/relationships/oleObject" Target="../embeddings/oleObject10.bin"/><Relationship Id="rId12" Type="http://schemas.openxmlformats.org/officeDocument/2006/relationships/image" Target="../media/image8.wmf"/><Relationship Id="rId11" Type="http://schemas.openxmlformats.org/officeDocument/2006/relationships/oleObject" Target="../embeddings/oleObject9.bin"/><Relationship Id="rId10" Type="http://schemas.openxmlformats.org/officeDocument/2006/relationships/image" Target="../media/image7.wmf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17.bin"/><Relationship Id="rId8" Type="http://schemas.openxmlformats.org/officeDocument/2006/relationships/image" Target="../media/image3.wmf"/><Relationship Id="rId7" Type="http://schemas.openxmlformats.org/officeDocument/2006/relationships/oleObject" Target="../embeddings/oleObject16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15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4.bin"/><Relationship Id="rId22" Type="http://schemas.openxmlformats.org/officeDocument/2006/relationships/image" Target="../media/image12.wmf"/><Relationship Id="rId21" Type="http://schemas.openxmlformats.org/officeDocument/2006/relationships/oleObject" Target="../embeddings/oleObject23.bin"/><Relationship Id="rId20" Type="http://schemas.openxmlformats.org/officeDocument/2006/relationships/image" Target="../media/image14.wmf"/><Relationship Id="rId2" Type="http://schemas.openxmlformats.org/officeDocument/2006/relationships/vmlDrawing" Target="../drawings/vmlDrawing3.vml"/><Relationship Id="rId19" Type="http://schemas.openxmlformats.org/officeDocument/2006/relationships/oleObject" Target="../embeddings/oleObject22.bin"/><Relationship Id="rId18" Type="http://schemas.openxmlformats.org/officeDocument/2006/relationships/image" Target="../media/image11.wmf"/><Relationship Id="rId17" Type="http://schemas.openxmlformats.org/officeDocument/2006/relationships/oleObject" Target="../embeddings/oleObject21.bin"/><Relationship Id="rId16" Type="http://schemas.openxmlformats.org/officeDocument/2006/relationships/image" Target="../media/image10.wmf"/><Relationship Id="rId15" Type="http://schemas.openxmlformats.org/officeDocument/2006/relationships/oleObject" Target="../embeddings/oleObject20.bin"/><Relationship Id="rId14" Type="http://schemas.openxmlformats.org/officeDocument/2006/relationships/image" Target="../media/image13.wmf"/><Relationship Id="rId13" Type="http://schemas.openxmlformats.org/officeDocument/2006/relationships/oleObject" Target="../embeddings/oleObject19.bin"/><Relationship Id="rId12" Type="http://schemas.openxmlformats.org/officeDocument/2006/relationships/image" Target="../media/image8.wmf"/><Relationship Id="rId11" Type="http://schemas.openxmlformats.org/officeDocument/2006/relationships/oleObject" Target="../embeddings/oleObject18.bin"/><Relationship Id="rId10" Type="http://schemas.openxmlformats.org/officeDocument/2006/relationships/image" Target="../media/image7.wmf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27.bin"/><Relationship Id="rId8" Type="http://schemas.openxmlformats.org/officeDocument/2006/relationships/image" Target="../media/image3.wmf"/><Relationship Id="rId7" Type="http://schemas.openxmlformats.org/officeDocument/2006/relationships/oleObject" Target="../embeddings/oleObject26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25.bin"/><Relationship Id="rId40" Type="http://schemas.openxmlformats.org/officeDocument/2006/relationships/image" Target="../media/image35.wmf"/><Relationship Id="rId4" Type="http://schemas.openxmlformats.org/officeDocument/2006/relationships/image" Target="../media/image1.wmf"/><Relationship Id="rId39" Type="http://schemas.openxmlformats.org/officeDocument/2006/relationships/oleObject" Target="../embeddings/oleObject42.bin"/><Relationship Id="rId38" Type="http://schemas.openxmlformats.org/officeDocument/2006/relationships/image" Target="../media/image34.wmf"/><Relationship Id="rId37" Type="http://schemas.openxmlformats.org/officeDocument/2006/relationships/oleObject" Target="../embeddings/oleObject41.bin"/><Relationship Id="rId36" Type="http://schemas.openxmlformats.org/officeDocument/2006/relationships/image" Target="../media/image33.wmf"/><Relationship Id="rId35" Type="http://schemas.openxmlformats.org/officeDocument/2006/relationships/oleObject" Target="../embeddings/oleObject40.bin"/><Relationship Id="rId34" Type="http://schemas.openxmlformats.org/officeDocument/2006/relationships/image" Target="../media/image32.wmf"/><Relationship Id="rId33" Type="http://schemas.openxmlformats.org/officeDocument/2006/relationships/oleObject" Target="../embeddings/oleObject39.bin"/><Relationship Id="rId32" Type="http://schemas.openxmlformats.org/officeDocument/2006/relationships/image" Target="../media/image31.wmf"/><Relationship Id="rId31" Type="http://schemas.openxmlformats.org/officeDocument/2006/relationships/oleObject" Target="../embeddings/oleObject38.bin"/><Relationship Id="rId30" Type="http://schemas.openxmlformats.org/officeDocument/2006/relationships/image" Target="../media/image30.wmf"/><Relationship Id="rId3" Type="http://schemas.openxmlformats.org/officeDocument/2006/relationships/oleObject" Target="../embeddings/oleObject24.bin"/><Relationship Id="rId29" Type="http://schemas.openxmlformats.org/officeDocument/2006/relationships/oleObject" Target="../embeddings/oleObject37.bin"/><Relationship Id="rId28" Type="http://schemas.openxmlformats.org/officeDocument/2006/relationships/image" Target="../media/image29.wmf"/><Relationship Id="rId27" Type="http://schemas.openxmlformats.org/officeDocument/2006/relationships/oleObject" Target="../embeddings/oleObject36.bin"/><Relationship Id="rId26" Type="http://schemas.openxmlformats.org/officeDocument/2006/relationships/image" Target="../media/image28.wmf"/><Relationship Id="rId25" Type="http://schemas.openxmlformats.org/officeDocument/2006/relationships/oleObject" Target="../embeddings/oleObject35.bin"/><Relationship Id="rId24" Type="http://schemas.openxmlformats.org/officeDocument/2006/relationships/image" Target="../media/image27.wmf"/><Relationship Id="rId23" Type="http://schemas.openxmlformats.org/officeDocument/2006/relationships/oleObject" Target="../embeddings/oleObject34.bin"/><Relationship Id="rId22" Type="http://schemas.openxmlformats.org/officeDocument/2006/relationships/image" Target="../media/image26.wmf"/><Relationship Id="rId21" Type="http://schemas.openxmlformats.org/officeDocument/2006/relationships/oleObject" Target="../embeddings/oleObject33.bin"/><Relationship Id="rId20" Type="http://schemas.openxmlformats.org/officeDocument/2006/relationships/image" Target="../media/image25.wmf"/><Relationship Id="rId2" Type="http://schemas.openxmlformats.org/officeDocument/2006/relationships/vmlDrawing" Target="../drawings/vmlDrawing4.vml"/><Relationship Id="rId19" Type="http://schemas.openxmlformats.org/officeDocument/2006/relationships/oleObject" Target="../embeddings/oleObject32.bin"/><Relationship Id="rId18" Type="http://schemas.openxmlformats.org/officeDocument/2006/relationships/image" Target="../media/image11.wmf"/><Relationship Id="rId17" Type="http://schemas.openxmlformats.org/officeDocument/2006/relationships/oleObject" Target="../embeddings/oleObject31.bin"/><Relationship Id="rId16" Type="http://schemas.openxmlformats.org/officeDocument/2006/relationships/image" Target="../media/image24.wmf"/><Relationship Id="rId15" Type="http://schemas.openxmlformats.org/officeDocument/2006/relationships/oleObject" Target="../embeddings/oleObject30.bin"/><Relationship Id="rId14" Type="http://schemas.openxmlformats.org/officeDocument/2006/relationships/image" Target="../media/image23.wmf"/><Relationship Id="rId13" Type="http://schemas.openxmlformats.org/officeDocument/2006/relationships/oleObject" Target="../embeddings/oleObject29.bin"/><Relationship Id="rId12" Type="http://schemas.openxmlformats.org/officeDocument/2006/relationships/image" Target="../media/image22.wmf"/><Relationship Id="rId11" Type="http://schemas.openxmlformats.org/officeDocument/2006/relationships/oleObject" Target="../embeddings/oleObject28.bin"/><Relationship Id="rId10" Type="http://schemas.openxmlformats.org/officeDocument/2006/relationships/image" Target="../media/image21.wmf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6.bin"/><Relationship Id="rId8" Type="http://schemas.openxmlformats.org/officeDocument/2006/relationships/image" Target="../media/image3.wmf"/><Relationship Id="rId7" Type="http://schemas.openxmlformats.org/officeDocument/2006/relationships/oleObject" Target="../embeddings/oleObject45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44.bin"/><Relationship Id="rId4" Type="http://schemas.openxmlformats.org/officeDocument/2006/relationships/image" Target="../media/image1.wmf"/><Relationship Id="rId38" Type="http://schemas.openxmlformats.org/officeDocument/2006/relationships/image" Target="../media/image35.wmf"/><Relationship Id="rId37" Type="http://schemas.openxmlformats.org/officeDocument/2006/relationships/oleObject" Target="../embeddings/oleObject60.bin"/><Relationship Id="rId36" Type="http://schemas.openxmlformats.org/officeDocument/2006/relationships/image" Target="../media/image34.wmf"/><Relationship Id="rId35" Type="http://schemas.openxmlformats.org/officeDocument/2006/relationships/oleObject" Target="../embeddings/oleObject59.bin"/><Relationship Id="rId34" Type="http://schemas.openxmlformats.org/officeDocument/2006/relationships/image" Target="../media/image33.wmf"/><Relationship Id="rId33" Type="http://schemas.openxmlformats.org/officeDocument/2006/relationships/oleObject" Target="../embeddings/oleObject58.bin"/><Relationship Id="rId32" Type="http://schemas.openxmlformats.org/officeDocument/2006/relationships/image" Target="../media/image32.wmf"/><Relationship Id="rId31" Type="http://schemas.openxmlformats.org/officeDocument/2006/relationships/oleObject" Target="../embeddings/oleObject57.bin"/><Relationship Id="rId30" Type="http://schemas.openxmlformats.org/officeDocument/2006/relationships/image" Target="../media/image31.wmf"/><Relationship Id="rId3" Type="http://schemas.openxmlformats.org/officeDocument/2006/relationships/oleObject" Target="../embeddings/oleObject43.bin"/><Relationship Id="rId29" Type="http://schemas.openxmlformats.org/officeDocument/2006/relationships/oleObject" Target="../embeddings/oleObject56.bin"/><Relationship Id="rId28" Type="http://schemas.openxmlformats.org/officeDocument/2006/relationships/image" Target="../media/image30.wmf"/><Relationship Id="rId27" Type="http://schemas.openxmlformats.org/officeDocument/2006/relationships/oleObject" Target="../embeddings/oleObject55.bin"/><Relationship Id="rId26" Type="http://schemas.openxmlformats.org/officeDocument/2006/relationships/image" Target="../media/image29.wmf"/><Relationship Id="rId25" Type="http://schemas.openxmlformats.org/officeDocument/2006/relationships/oleObject" Target="../embeddings/oleObject54.bin"/><Relationship Id="rId24" Type="http://schemas.openxmlformats.org/officeDocument/2006/relationships/image" Target="../media/image28.wmf"/><Relationship Id="rId23" Type="http://schemas.openxmlformats.org/officeDocument/2006/relationships/oleObject" Target="../embeddings/oleObject53.bin"/><Relationship Id="rId22" Type="http://schemas.openxmlformats.org/officeDocument/2006/relationships/image" Target="../media/image27.wmf"/><Relationship Id="rId21" Type="http://schemas.openxmlformats.org/officeDocument/2006/relationships/oleObject" Target="../embeddings/oleObject52.bin"/><Relationship Id="rId20" Type="http://schemas.openxmlformats.org/officeDocument/2006/relationships/image" Target="../media/image26.wmf"/><Relationship Id="rId2" Type="http://schemas.openxmlformats.org/officeDocument/2006/relationships/vmlDrawing" Target="../drawings/vmlDrawing5.vml"/><Relationship Id="rId19" Type="http://schemas.openxmlformats.org/officeDocument/2006/relationships/oleObject" Target="../embeddings/oleObject51.bin"/><Relationship Id="rId18" Type="http://schemas.openxmlformats.org/officeDocument/2006/relationships/image" Target="../media/image25.wmf"/><Relationship Id="rId17" Type="http://schemas.openxmlformats.org/officeDocument/2006/relationships/oleObject" Target="../embeddings/oleObject50.bin"/><Relationship Id="rId16" Type="http://schemas.openxmlformats.org/officeDocument/2006/relationships/image" Target="../media/image24.wmf"/><Relationship Id="rId15" Type="http://schemas.openxmlformats.org/officeDocument/2006/relationships/oleObject" Target="../embeddings/oleObject49.bin"/><Relationship Id="rId14" Type="http://schemas.openxmlformats.org/officeDocument/2006/relationships/image" Target="../media/image23.wmf"/><Relationship Id="rId13" Type="http://schemas.openxmlformats.org/officeDocument/2006/relationships/oleObject" Target="../embeddings/oleObject48.bin"/><Relationship Id="rId12" Type="http://schemas.openxmlformats.org/officeDocument/2006/relationships/image" Target="../media/image22.wmf"/><Relationship Id="rId11" Type="http://schemas.openxmlformats.org/officeDocument/2006/relationships/oleObject" Target="../embeddings/oleObject47.bin"/><Relationship Id="rId10" Type="http://schemas.openxmlformats.org/officeDocument/2006/relationships/image" Target="../media/image21.wmf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2"/>
  <sheetViews>
    <sheetView zoomScale="55" zoomScaleNormal="55" workbookViewId="0">
      <pane ySplit="3" topLeftCell="A7" activePane="bottomLeft" state="frozen"/>
      <selection/>
      <selection pane="bottomLeft" activeCell="H10" sqref="H10"/>
    </sheetView>
  </sheetViews>
  <sheetFormatPr defaultColWidth="9" defaultRowHeight="13.8"/>
  <cols>
    <col min="1" max="12" width="17.0648148148148" style="22" customWidth="1"/>
    <col min="13" max="13" width="22.6296296296296" style="22" customWidth="1"/>
    <col min="14" max="20" width="17.0648148148148" style="22" customWidth="1"/>
    <col min="21" max="16384" width="9" style="22"/>
  </cols>
  <sheetData>
    <row r="1" ht="51" customHeight="1" spans="1:16">
      <c r="A1" s="172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4"/>
      <c r="M1" s="153" t="s">
        <v>1</v>
      </c>
      <c r="N1" s="154"/>
    </row>
    <row r="2" ht="25" customHeight="1" spans="1:16">
      <c r="A2" s="175"/>
      <c r="B2" s="176" t="s">
        <v>2</v>
      </c>
      <c r="C2" s="177"/>
      <c r="D2" s="177"/>
      <c r="E2" s="177"/>
      <c r="F2" s="178"/>
      <c r="G2" s="155" t="s">
        <v>3</v>
      </c>
      <c r="H2" s="177" t="s">
        <v>4</v>
      </c>
      <c r="I2" s="177"/>
      <c r="J2" s="177"/>
      <c r="K2" s="177"/>
      <c r="L2" s="178"/>
      <c r="M2" s="179"/>
      <c r="N2" s="154"/>
    </row>
    <row r="3" ht="25" customHeight="1" spans="1:16">
      <c r="A3" s="31" t="s">
        <v>5</v>
      </c>
      <c r="B3" s="157" t="s">
        <v>6</v>
      </c>
      <c r="C3" s="158" t="s">
        <v>7</v>
      </c>
      <c r="D3" s="159" t="s">
        <v>8</v>
      </c>
      <c r="E3" s="143" t="s">
        <v>9</v>
      </c>
      <c r="F3" s="31" t="s">
        <v>10</v>
      </c>
      <c r="G3" s="157" t="s">
        <v>11</v>
      </c>
      <c r="H3" s="158" t="s">
        <v>12</v>
      </c>
      <c r="I3" s="159" t="s">
        <v>13</v>
      </c>
      <c r="J3" s="143" t="s">
        <v>14</v>
      </c>
      <c r="K3" s="31" t="s">
        <v>15</v>
      </c>
      <c r="L3" s="157" t="s">
        <v>16</v>
      </c>
      <c r="M3" s="163" t="s">
        <v>17</v>
      </c>
      <c r="N3" s="154"/>
      <c r="P3" s="22" t="s">
        <v>18</v>
      </c>
    </row>
    <row r="4" ht="25" customHeight="1" spans="1:16">
      <c r="A4" s="54">
        <v>1</v>
      </c>
      <c r="B4" s="59">
        <v>4.31752174806373</v>
      </c>
      <c r="C4" s="161">
        <v>0.79750520509743</v>
      </c>
      <c r="D4" s="146">
        <v>0.288000638960155</v>
      </c>
      <c r="E4" s="147">
        <v>-16.807789365467</v>
      </c>
      <c r="F4" s="162">
        <v>9.86828686451663</v>
      </c>
      <c r="G4" s="59">
        <v>1.56320345330512</v>
      </c>
      <c r="H4" s="161" t="s">
        <v>19</v>
      </c>
      <c r="I4" s="146">
        <v>16.8350168350168</v>
      </c>
      <c r="J4" s="147">
        <v>17.1717171717172</v>
      </c>
      <c r="K4" s="162" t="s">
        <v>19</v>
      </c>
      <c r="L4" s="59">
        <f>(I4+J4)/2</f>
        <v>17.003367003367</v>
      </c>
      <c r="M4" s="163"/>
      <c r="N4" s="154"/>
      <c r="P4" s="22">
        <f>D4*D4</f>
        <v>0.0829443680414575</v>
      </c>
    </row>
    <row r="5" ht="25" customHeight="1" spans="1:16">
      <c r="A5" s="54">
        <v>2</v>
      </c>
      <c r="B5" s="59">
        <v>4.80822821928159</v>
      </c>
      <c r="C5" s="161">
        <v>0.779148174460763</v>
      </c>
      <c r="D5" s="146">
        <v>0.305701160961114</v>
      </c>
      <c r="E5" s="147">
        <v>-19.5766426469007</v>
      </c>
      <c r="F5" s="162">
        <v>10.2936321473971</v>
      </c>
      <c r="G5" s="59">
        <v>1.54510775179051</v>
      </c>
      <c r="H5" s="161" t="s">
        <v>19</v>
      </c>
      <c r="I5" s="146">
        <v>16.8350168350168</v>
      </c>
      <c r="J5" s="147">
        <v>16.8350168350168</v>
      </c>
      <c r="K5" s="162" t="s">
        <v>19</v>
      </c>
      <c r="L5" s="59">
        <f>(I5+J5)/2</f>
        <v>16.8350168350168</v>
      </c>
      <c r="M5" s="163"/>
      <c r="N5" s="154"/>
      <c r="P5" s="22">
        <f t="shared" ref="P5:P52" si="0">D5*D5</f>
        <v>0.0934531998129729</v>
      </c>
    </row>
    <row r="6" ht="25" customHeight="1" spans="1:16">
      <c r="A6" s="54">
        <v>3</v>
      </c>
      <c r="B6" s="59">
        <v>8.93635522960453</v>
      </c>
      <c r="C6" s="161">
        <v>0.886763852397773</v>
      </c>
      <c r="D6" s="146">
        <v>0.403494651772477</v>
      </c>
      <c r="E6" s="147">
        <v>-18.9839661928814</v>
      </c>
      <c r="F6" s="162">
        <v>10.5727604588363</v>
      </c>
      <c r="G6" s="59">
        <v>1.6483625286319</v>
      </c>
      <c r="H6" s="161" t="s">
        <v>19</v>
      </c>
      <c r="I6" s="146">
        <v>16.1616161616162</v>
      </c>
      <c r="J6" s="147">
        <v>16.8350168350168</v>
      </c>
      <c r="K6" s="162" t="s">
        <v>19</v>
      </c>
      <c r="L6" s="59">
        <f>(I6+J6)/2</f>
        <v>16.4983164983165</v>
      </c>
      <c r="M6" s="163"/>
      <c r="N6" s="154"/>
      <c r="P6" s="22">
        <f t="shared" si="0"/>
        <v>0.162807934008992</v>
      </c>
    </row>
    <row r="7" ht="25" customHeight="1" spans="1:16">
      <c r="A7" s="54">
        <v>4</v>
      </c>
      <c r="B7" s="59">
        <v>4.76368940944564</v>
      </c>
      <c r="C7" s="161">
        <v>0.733341372130511</v>
      </c>
      <c r="D7" s="146">
        <v>0.30892619704462</v>
      </c>
      <c r="E7" s="147">
        <v>-21.1321351458282</v>
      </c>
      <c r="F7" s="162">
        <v>10.1065120517512</v>
      </c>
      <c r="G7" s="59">
        <v>1.4990007014024</v>
      </c>
      <c r="H7" s="161" t="s">
        <v>19</v>
      </c>
      <c r="I7" s="146">
        <v>18.1818181818182</v>
      </c>
      <c r="J7" s="147">
        <v>16.1616161616162</v>
      </c>
      <c r="K7" s="162" t="s">
        <v>19</v>
      </c>
      <c r="L7" s="59">
        <f>(I7+J7)/2</f>
        <v>17.1717171717172</v>
      </c>
      <c r="M7" s="163"/>
      <c r="N7" s="154"/>
      <c r="P7" s="22">
        <f t="shared" si="0"/>
        <v>0.0954353952204514</v>
      </c>
    </row>
    <row r="8" ht="25" customHeight="1" spans="1:16">
      <c r="A8" s="54">
        <v>5</v>
      </c>
      <c r="B8" s="59">
        <v>6.7802800334411</v>
      </c>
      <c r="C8" s="161">
        <v>0.681334144104002</v>
      </c>
      <c r="D8" s="146">
        <v>0.375399200272031</v>
      </c>
      <c r="E8" s="147">
        <v>-14.2293116489042</v>
      </c>
      <c r="F8" s="162">
        <v>9.81549974232818</v>
      </c>
      <c r="G8" s="59">
        <v>1.44487015160013</v>
      </c>
      <c r="H8" s="161">
        <v>15.8181818181818</v>
      </c>
      <c r="I8" s="146">
        <v>15.2727272727273</v>
      </c>
      <c r="J8" s="147">
        <v>16.9090909090909</v>
      </c>
      <c r="K8" s="162">
        <v>16.0909090909091</v>
      </c>
      <c r="L8" s="59">
        <f t="shared" ref="L8:L13" si="1">(H8+I8+J8+K8)/4</f>
        <v>16.0227272727273</v>
      </c>
      <c r="M8" s="163"/>
      <c r="N8" s="154"/>
      <c r="P8" s="22">
        <f t="shared" si="0"/>
        <v>0.14092455956488</v>
      </c>
    </row>
    <row r="9" ht="25" customHeight="1" spans="1:16">
      <c r="A9" s="54">
        <v>6</v>
      </c>
      <c r="B9" s="59">
        <v>10.1333136929676</v>
      </c>
      <c r="C9" s="161">
        <v>0.672766376456891</v>
      </c>
      <c r="D9" s="146">
        <v>0.46038295904576</v>
      </c>
      <c r="E9" s="147">
        <v>-12.4653892243224</v>
      </c>
      <c r="F9" s="162">
        <v>9.37346227673995</v>
      </c>
      <c r="G9" s="59">
        <v>1.43575679958388</v>
      </c>
      <c r="H9" s="161">
        <v>16.5690235690236</v>
      </c>
      <c r="I9" s="146">
        <v>15.6734006734007</v>
      </c>
      <c r="J9" s="147">
        <v>14.7777777777778</v>
      </c>
      <c r="K9" s="162">
        <v>14.7777777777778</v>
      </c>
      <c r="L9" s="59">
        <f t="shared" si="1"/>
        <v>15.449494949495</v>
      </c>
      <c r="M9" s="163"/>
      <c r="N9" s="154"/>
      <c r="P9" s="22">
        <f t="shared" si="0"/>
        <v>0.21195246897973</v>
      </c>
    </row>
    <row r="10" ht="25" customHeight="1" spans="1:16">
      <c r="A10" s="54">
        <v>7</v>
      </c>
      <c r="B10" s="59">
        <v>5.80954011562317</v>
      </c>
      <c r="C10" s="161">
        <v>0.59124088873113</v>
      </c>
      <c r="D10" s="146">
        <v>0.360030528595507</v>
      </c>
      <c r="E10" s="147">
        <v>-15.3195421708314</v>
      </c>
      <c r="F10" s="162">
        <v>9.82587667279957</v>
      </c>
      <c r="G10" s="59">
        <v>1.3459563421992</v>
      </c>
      <c r="H10" s="161">
        <v>13.479797979798</v>
      </c>
      <c r="I10" s="146">
        <v>13.7441077441077</v>
      </c>
      <c r="J10" s="147">
        <v>13.7441077441077</v>
      </c>
      <c r="K10" s="162">
        <v>13.9203142536476</v>
      </c>
      <c r="L10" s="59">
        <f t="shared" si="1"/>
        <v>13.7220819304152</v>
      </c>
      <c r="M10" s="163"/>
      <c r="N10" s="154"/>
      <c r="P10" s="22">
        <f t="shared" si="0"/>
        <v>0.12962198152076</v>
      </c>
    </row>
    <row r="11" ht="25" customHeight="1" spans="1:16">
      <c r="A11" s="54">
        <v>8</v>
      </c>
      <c r="B11" s="59">
        <v>7.07388704903865</v>
      </c>
      <c r="C11" s="161">
        <v>0.695838407865019</v>
      </c>
      <c r="D11" s="146">
        <v>0.381427083576573</v>
      </c>
      <c r="E11" s="147">
        <v>-11.882242008582</v>
      </c>
      <c r="F11" s="162">
        <v>9.89833889075379</v>
      </c>
      <c r="G11" s="59">
        <v>1.4601683847812</v>
      </c>
      <c r="H11" s="161">
        <v>16.4444444444444</v>
      </c>
      <c r="I11" s="146">
        <v>15.1986531986532</v>
      </c>
      <c r="J11" s="147">
        <v>15.9461279461279</v>
      </c>
      <c r="K11" s="162">
        <v>16.4444444444444</v>
      </c>
      <c r="L11" s="59">
        <f t="shared" si="1"/>
        <v>16.0084175084175</v>
      </c>
      <c r="M11" s="163"/>
      <c r="N11" s="154"/>
      <c r="P11" s="22">
        <f t="shared" si="0"/>
        <v>0.14548662008573</v>
      </c>
    </row>
    <row r="12" ht="25" customHeight="1" spans="1:16">
      <c r="A12" s="54">
        <v>9</v>
      </c>
      <c r="B12" s="59">
        <v>8.91648387899673</v>
      </c>
      <c r="C12" s="161">
        <v>0.57213444102023</v>
      </c>
      <c r="D12" s="146">
        <v>0.449709287993055</v>
      </c>
      <c r="E12" s="147">
        <v>-15.1260850526811</v>
      </c>
      <c r="F12" s="162">
        <v>9.79398796943178</v>
      </c>
      <c r="G12" s="59">
        <v>1.36917403574902</v>
      </c>
      <c r="H12" s="161">
        <v>14.5387205387205</v>
      </c>
      <c r="I12" s="146">
        <v>13.6835016835017</v>
      </c>
      <c r="J12" s="147">
        <v>14.1111111111111</v>
      </c>
      <c r="K12" s="162">
        <v>13.6835016835017</v>
      </c>
      <c r="L12" s="59">
        <f t="shared" si="1"/>
        <v>14.0042087542088</v>
      </c>
      <c r="M12" s="163"/>
      <c r="N12" s="154"/>
      <c r="P12" s="22">
        <f t="shared" si="0"/>
        <v>0.20223844370722</v>
      </c>
    </row>
    <row r="13" ht="25" customHeight="1" spans="1:16">
      <c r="A13" s="54">
        <v>10</v>
      </c>
      <c r="B13" s="59">
        <v>9.70612245025774</v>
      </c>
      <c r="C13" s="161">
        <v>0.639236992997172</v>
      </c>
      <c r="D13" s="146">
        <v>0.456369880305615</v>
      </c>
      <c r="E13" s="147">
        <v>-12.4415418612981</v>
      </c>
      <c r="F13" s="162">
        <v>9.09309231243999</v>
      </c>
      <c r="G13" s="59">
        <v>1.39952188008319</v>
      </c>
      <c r="H13" s="161">
        <v>15.4612794612795</v>
      </c>
      <c r="I13" s="146">
        <v>15.0841750841751</v>
      </c>
      <c r="J13" s="147">
        <v>15.4612794612795</v>
      </c>
      <c r="K13" s="162">
        <v>14.7070707070707</v>
      </c>
      <c r="L13" s="59">
        <f t="shared" si="1"/>
        <v>15.1784511784512</v>
      </c>
      <c r="M13" s="163"/>
      <c r="N13" s="154"/>
      <c r="P13" s="22">
        <f t="shared" si="0"/>
        <v>0.208273467650161</v>
      </c>
    </row>
    <row r="14" ht="25" customHeight="1" spans="1:16">
      <c r="A14" s="54">
        <v>11</v>
      </c>
      <c r="B14" s="59">
        <v>33.1619842520257</v>
      </c>
      <c r="C14" s="161">
        <v>0.651718446827028</v>
      </c>
      <c r="D14" s="146">
        <v>0.839488626875709</v>
      </c>
      <c r="E14" s="147">
        <v>-33.3288531850998</v>
      </c>
      <c r="F14" s="162">
        <v>7.6070861687787</v>
      </c>
      <c r="G14" s="59">
        <v>1.41311904509994</v>
      </c>
      <c r="H14" s="161">
        <v>17.1178451178451</v>
      </c>
      <c r="I14" s="146" t="s">
        <v>19</v>
      </c>
      <c r="J14" s="147" t="s">
        <v>19</v>
      </c>
      <c r="K14" s="162">
        <v>15.4478114478114</v>
      </c>
      <c r="L14" s="59">
        <f>(H14+K14)/2</f>
        <v>16.2828282828282</v>
      </c>
      <c r="M14" s="163"/>
      <c r="N14" s="154"/>
      <c r="P14" s="22">
        <f t="shared" si="0"/>
        <v>0.704741154653663</v>
      </c>
    </row>
    <row r="15" ht="25" customHeight="1" spans="1:16">
      <c r="A15" s="85">
        <v>12</v>
      </c>
      <c r="B15" s="59">
        <v>0.737000045223119</v>
      </c>
      <c r="C15" s="161">
        <v>0.574051514214897</v>
      </c>
      <c r="D15" s="146">
        <v>0.129183071561122</v>
      </c>
      <c r="E15" s="147">
        <v>-7.57144284928918</v>
      </c>
      <c r="F15" s="162" t="s">
        <v>19</v>
      </c>
      <c r="G15" s="59">
        <v>1.32624627183222</v>
      </c>
      <c r="H15" s="161" t="s">
        <v>19</v>
      </c>
      <c r="I15" s="146" t="s">
        <v>19</v>
      </c>
      <c r="J15" s="147" t="s">
        <v>19</v>
      </c>
      <c r="K15" s="162" t="s">
        <v>19</v>
      </c>
      <c r="L15" s="59" t="s">
        <v>19</v>
      </c>
      <c r="M15" s="163"/>
      <c r="N15" s="154"/>
      <c r="P15" s="22">
        <f t="shared" si="0"/>
        <v>0.016688265977966</v>
      </c>
    </row>
    <row r="16" ht="25" customHeight="1" spans="1:16">
      <c r="A16" s="85">
        <v>13</v>
      </c>
      <c r="B16" s="59">
        <v>1.08025999388268</v>
      </c>
      <c r="C16" s="161">
        <v>0.580369543539818</v>
      </c>
      <c r="D16" s="146">
        <v>0.155972329643723</v>
      </c>
      <c r="E16" s="147">
        <v>-8.83349254780775</v>
      </c>
      <c r="F16" s="162" t="s">
        <v>19</v>
      </c>
      <c r="G16" s="59">
        <v>1.33352465454805</v>
      </c>
      <c r="H16" s="161" t="s">
        <v>19</v>
      </c>
      <c r="I16" s="146" t="s">
        <v>19</v>
      </c>
      <c r="J16" s="147" t="s">
        <v>19</v>
      </c>
      <c r="K16" s="162" t="s">
        <v>19</v>
      </c>
      <c r="L16" s="59" t="s">
        <v>19</v>
      </c>
      <c r="M16" s="163"/>
      <c r="N16" s="154"/>
      <c r="P16" s="22">
        <f t="shared" si="0"/>
        <v>0.0243273676144902</v>
      </c>
    </row>
    <row r="17" ht="25" customHeight="1" spans="1:16">
      <c r="A17" s="85">
        <v>14</v>
      </c>
      <c r="B17" s="59">
        <v>1.03878925602034</v>
      </c>
      <c r="C17" s="161">
        <v>0.586544564649016</v>
      </c>
      <c r="D17" s="146">
        <v>0.152545020932436</v>
      </c>
      <c r="E17" s="147">
        <v>-7.89006587958481</v>
      </c>
      <c r="F17" s="162" t="s">
        <v>19</v>
      </c>
      <c r="G17" s="59">
        <v>1.34060010780647</v>
      </c>
      <c r="H17" s="161" t="s">
        <v>19</v>
      </c>
      <c r="I17" s="146" t="s">
        <v>19</v>
      </c>
      <c r="J17" s="147" t="s">
        <v>19</v>
      </c>
      <c r="K17" s="162" t="s">
        <v>19</v>
      </c>
      <c r="L17" s="59" t="s">
        <v>19</v>
      </c>
      <c r="M17" s="163"/>
      <c r="N17" s="154"/>
      <c r="P17" s="22">
        <f t="shared" si="0"/>
        <v>0.0232699834112773</v>
      </c>
    </row>
    <row r="18" ht="25" customHeight="1" spans="1:16">
      <c r="A18" s="85">
        <v>15</v>
      </c>
      <c r="B18" s="59">
        <v>1.0060755069055</v>
      </c>
      <c r="C18" s="161">
        <v>0.591917025411693</v>
      </c>
      <c r="D18" s="146">
        <v>0.149782007149404</v>
      </c>
      <c r="E18" s="147">
        <v>-7.01835498544799</v>
      </c>
      <c r="F18" s="162" t="s">
        <v>19</v>
      </c>
      <c r="G18" s="59">
        <v>1.34672573284728</v>
      </c>
      <c r="H18" s="161" t="s">
        <v>19</v>
      </c>
      <c r="I18" s="146" t="s">
        <v>19</v>
      </c>
      <c r="J18" s="147" t="s">
        <v>19</v>
      </c>
      <c r="K18" s="162" t="s">
        <v>19</v>
      </c>
      <c r="L18" s="59" t="s">
        <v>19</v>
      </c>
      <c r="M18" s="163"/>
      <c r="N18" s="154"/>
      <c r="P18" s="22">
        <f t="shared" si="0"/>
        <v>0.0224346496657041</v>
      </c>
    </row>
    <row r="19" ht="25" customHeight="1" spans="1:16">
      <c r="A19" s="85">
        <v>16</v>
      </c>
      <c r="B19" s="59">
        <v>1.27441235277601</v>
      </c>
      <c r="C19" s="161">
        <v>0.61325145443294</v>
      </c>
      <c r="D19" s="146">
        <v>0.167091710704399</v>
      </c>
      <c r="E19" s="147">
        <v>-9.21100308592932</v>
      </c>
      <c r="F19" s="162" t="s">
        <v>19</v>
      </c>
      <c r="G19" s="59">
        <v>1.37078087352064</v>
      </c>
      <c r="H19" s="161" t="s">
        <v>19</v>
      </c>
      <c r="I19" s="146" t="s">
        <v>19</v>
      </c>
      <c r="J19" s="147" t="s">
        <v>19</v>
      </c>
      <c r="K19" s="162" t="s">
        <v>19</v>
      </c>
      <c r="L19" s="59" t="s">
        <v>19</v>
      </c>
      <c r="M19" s="163"/>
      <c r="N19" s="154"/>
      <c r="P19" s="22">
        <f t="shared" si="0"/>
        <v>0.0279196397861226</v>
      </c>
    </row>
    <row r="20" ht="25" customHeight="1" spans="1:16">
      <c r="A20" s="85">
        <v>17</v>
      </c>
      <c r="B20" s="59">
        <v>1.70034954141784</v>
      </c>
      <c r="C20" s="161">
        <v>0.390183746158184</v>
      </c>
      <c r="D20" s="146">
        <v>0.216103289001669</v>
      </c>
      <c r="E20" s="147" t="s">
        <v>19</v>
      </c>
      <c r="F20" s="162" t="s">
        <v>19</v>
      </c>
      <c r="G20" s="59">
        <v>1.09341072557482</v>
      </c>
      <c r="H20" s="161" t="s">
        <v>19</v>
      </c>
      <c r="I20" s="146" t="s">
        <v>19</v>
      </c>
      <c r="J20" s="147" t="s">
        <v>19</v>
      </c>
      <c r="K20" s="162" t="s">
        <v>19</v>
      </c>
      <c r="L20" s="59" t="s">
        <v>19</v>
      </c>
      <c r="M20" s="163" t="s">
        <v>20</v>
      </c>
      <c r="N20" s="154"/>
      <c r="P20" s="22">
        <f t="shared" si="0"/>
        <v>0.0467006315173389</v>
      </c>
    </row>
    <row r="21" ht="25" customHeight="1" spans="1:16">
      <c r="A21" s="85">
        <v>18</v>
      </c>
      <c r="B21" s="59">
        <v>3.29355993674051</v>
      </c>
      <c r="C21" s="161">
        <v>0.418071990388449</v>
      </c>
      <c r="D21" s="146">
        <v>0.295617121278977</v>
      </c>
      <c r="E21" s="147">
        <v>-20.7263391576132</v>
      </c>
      <c r="F21" s="162" t="s">
        <v>19</v>
      </c>
      <c r="G21" s="59">
        <v>1.1318119595143</v>
      </c>
      <c r="H21" s="161" t="s">
        <v>19</v>
      </c>
      <c r="I21" s="146" t="s">
        <v>19</v>
      </c>
      <c r="J21" s="147" t="s">
        <v>19</v>
      </c>
      <c r="K21" s="162" t="s">
        <v>19</v>
      </c>
      <c r="L21" s="59" t="s">
        <v>19</v>
      </c>
      <c r="M21" s="180" t="s">
        <v>21</v>
      </c>
      <c r="N21" s="154"/>
      <c r="P21" s="22">
        <f t="shared" si="0"/>
        <v>0.0873894823932694</v>
      </c>
    </row>
    <row r="22" ht="25" customHeight="1" spans="1:16">
      <c r="A22" s="85">
        <v>19</v>
      </c>
      <c r="B22" s="59">
        <v>3.11344258633125</v>
      </c>
      <c r="C22" s="161">
        <v>0.415360856842579</v>
      </c>
      <c r="D22" s="146">
        <v>0.287888028098087</v>
      </c>
      <c r="E22" s="147">
        <v>-19.2900540969776</v>
      </c>
      <c r="F22" s="162" t="s">
        <v>19</v>
      </c>
      <c r="G22" s="59">
        <v>1.12813617601754</v>
      </c>
      <c r="H22" s="161" t="s">
        <v>19</v>
      </c>
      <c r="I22" s="146" t="s">
        <v>19</v>
      </c>
      <c r="J22" s="147" t="s">
        <v>19</v>
      </c>
      <c r="K22" s="162" t="s">
        <v>19</v>
      </c>
      <c r="L22" s="59" t="s">
        <v>19</v>
      </c>
      <c r="M22" s="181"/>
      <c r="N22" s="154"/>
      <c r="P22" s="22">
        <f t="shared" si="0"/>
        <v>0.0828795167222049</v>
      </c>
    </row>
    <row r="23" ht="25" customHeight="1" spans="1:16">
      <c r="A23" s="85">
        <v>20</v>
      </c>
      <c r="B23" s="59">
        <v>1.29273048915119</v>
      </c>
      <c r="C23" s="161">
        <v>0.424381805432479</v>
      </c>
      <c r="D23" s="146">
        <v>0.184511896519853</v>
      </c>
      <c r="E23" s="147">
        <v>-17.4543543381341</v>
      </c>
      <c r="F23" s="162" t="s">
        <v>19</v>
      </c>
      <c r="G23" s="59">
        <v>1.14032099576215</v>
      </c>
      <c r="H23" s="161" t="s">
        <v>19</v>
      </c>
      <c r="I23" s="146" t="s">
        <v>19</v>
      </c>
      <c r="J23" s="147" t="s">
        <v>19</v>
      </c>
      <c r="K23" s="162" t="s">
        <v>19</v>
      </c>
      <c r="L23" s="59" t="s">
        <v>19</v>
      </c>
      <c r="M23" s="182"/>
      <c r="N23" s="154"/>
      <c r="P23" s="22">
        <f t="shared" si="0"/>
        <v>0.0340446399573529</v>
      </c>
    </row>
    <row r="24" ht="25" customHeight="1" spans="1:16">
      <c r="A24" s="85" t="s">
        <v>22</v>
      </c>
      <c r="B24" s="59">
        <v>3.24238242509081</v>
      </c>
      <c r="C24" s="161">
        <v>0.428876440961332</v>
      </c>
      <c r="D24" s="146">
        <v>0.291446360752799</v>
      </c>
      <c r="E24" s="147">
        <v>-22.089827242945</v>
      </c>
      <c r="F24" s="162" t="s">
        <v>19</v>
      </c>
      <c r="G24" s="59">
        <v>1.14634367154445</v>
      </c>
      <c r="H24" s="161" t="s">
        <v>19</v>
      </c>
      <c r="I24" s="146" t="s">
        <v>19</v>
      </c>
      <c r="J24" s="147" t="s">
        <v>19</v>
      </c>
      <c r="K24" s="162" t="s">
        <v>19</v>
      </c>
      <c r="L24" s="59" t="s">
        <v>19</v>
      </c>
      <c r="M24" s="180" t="s">
        <v>23</v>
      </c>
      <c r="N24" s="154"/>
      <c r="P24" s="22">
        <f t="shared" si="0"/>
        <v>0.0849409811960507</v>
      </c>
    </row>
    <row r="25" ht="25" customHeight="1" spans="1:16">
      <c r="A25" s="85" t="s">
        <v>24</v>
      </c>
      <c r="B25" s="59">
        <v>1.50631859753767</v>
      </c>
      <c r="C25" s="161">
        <v>0.436877102545358</v>
      </c>
      <c r="D25" s="146">
        <v>0.197732548640575</v>
      </c>
      <c r="E25" s="147">
        <v>-16.2212153530235</v>
      </c>
      <c r="F25" s="162" t="s">
        <v>19</v>
      </c>
      <c r="G25" s="59">
        <v>1.1569867470459</v>
      </c>
      <c r="H25" s="161" t="s">
        <v>19</v>
      </c>
      <c r="I25" s="146" t="s">
        <v>19</v>
      </c>
      <c r="J25" s="147" t="s">
        <v>19</v>
      </c>
      <c r="K25" s="162" t="s">
        <v>19</v>
      </c>
      <c r="L25" s="59" t="s">
        <v>19</v>
      </c>
      <c r="M25" s="182"/>
      <c r="N25" s="154"/>
      <c r="P25" s="22">
        <f t="shared" si="0"/>
        <v>0.0390981607918974</v>
      </c>
    </row>
    <row r="26" ht="25" customHeight="1" spans="1:16">
      <c r="A26" s="85">
        <v>22</v>
      </c>
      <c r="B26" s="59">
        <v>5.61605395547511</v>
      </c>
      <c r="C26" s="161">
        <v>0.395622977201357</v>
      </c>
      <c r="D26" s="146">
        <v>0.39138558386936</v>
      </c>
      <c r="E26" s="147">
        <v>-31.321014111829</v>
      </c>
      <c r="F26" s="162" t="s">
        <v>19</v>
      </c>
      <c r="G26" s="59">
        <v>1.101005519293</v>
      </c>
      <c r="H26" s="161" t="s">
        <v>19</v>
      </c>
      <c r="I26" s="146" t="s">
        <v>19</v>
      </c>
      <c r="J26" s="147" t="s">
        <v>19</v>
      </c>
      <c r="K26" s="162" t="s">
        <v>19</v>
      </c>
      <c r="L26" s="59" t="s">
        <v>19</v>
      </c>
      <c r="M26" s="163" t="s">
        <v>21</v>
      </c>
      <c r="N26" s="154"/>
      <c r="P26" s="22">
        <f t="shared" si="0"/>
        <v>0.15318267526076</v>
      </c>
    </row>
    <row r="27" ht="25" customHeight="1" spans="1:16">
      <c r="A27" s="54">
        <v>23</v>
      </c>
      <c r="B27" s="59">
        <v>9.9663147258273</v>
      </c>
      <c r="C27" s="161">
        <v>0.414877903403309</v>
      </c>
      <c r="D27" s="146">
        <v>0.515224834674623</v>
      </c>
      <c r="E27" s="147">
        <v>-29.9789765760212</v>
      </c>
      <c r="F27" s="162">
        <v>9.57244412355886</v>
      </c>
      <c r="G27" s="59">
        <v>1.12748012513518</v>
      </c>
      <c r="H27" s="161">
        <v>10.496632996633</v>
      </c>
      <c r="I27" s="146">
        <v>10.496632996633</v>
      </c>
      <c r="J27" s="147">
        <v>10.9848484848485</v>
      </c>
      <c r="K27" s="162">
        <v>10.496632996633</v>
      </c>
      <c r="L27" s="59">
        <f>(H27+I27+J27+K27)/4</f>
        <v>10.6186868686869</v>
      </c>
      <c r="M27" s="160"/>
      <c r="N27" s="154"/>
      <c r="P27" s="22">
        <f t="shared" si="0"/>
        <v>0.265456630265493</v>
      </c>
    </row>
    <row r="28" ht="25" customHeight="1" spans="1:16">
      <c r="A28" s="85">
        <v>24</v>
      </c>
      <c r="B28" s="59">
        <v>7.28025512609708</v>
      </c>
      <c r="C28" s="161">
        <v>0.438013009476011</v>
      </c>
      <c r="D28" s="146">
        <v>0.434421302012416</v>
      </c>
      <c r="E28" s="147">
        <v>-29.0669323349156</v>
      </c>
      <c r="F28" s="162" t="s">
        <v>19</v>
      </c>
      <c r="G28" s="59">
        <v>1.15848988842918</v>
      </c>
      <c r="H28" s="161" t="s">
        <v>19</v>
      </c>
      <c r="I28" s="146" t="s">
        <v>19</v>
      </c>
      <c r="J28" s="147" t="s">
        <v>19</v>
      </c>
      <c r="K28" s="162" t="s">
        <v>19</v>
      </c>
      <c r="L28" s="59" t="s">
        <v>19</v>
      </c>
      <c r="M28" s="180" t="s">
        <v>25</v>
      </c>
      <c r="N28" s="154"/>
      <c r="P28" s="22">
        <f t="shared" si="0"/>
        <v>0.188721867642163</v>
      </c>
    </row>
    <row r="29" ht="25" customHeight="1" spans="1:16">
      <c r="A29" s="85">
        <v>25</v>
      </c>
      <c r="B29" s="59">
        <v>7.23509389841052</v>
      </c>
      <c r="C29" s="161">
        <v>0.456030779017484</v>
      </c>
      <c r="D29" s="146">
        <v>0.428729248751949</v>
      </c>
      <c r="E29" s="147">
        <v>-28.956501806821</v>
      </c>
      <c r="F29" s="162" t="s">
        <v>19</v>
      </c>
      <c r="G29" s="59">
        <v>1.18207714490075</v>
      </c>
      <c r="H29" s="161" t="s">
        <v>19</v>
      </c>
      <c r="I29" s="146" t="s">
        <v>19</v>
      </c>
      <c r="J29" s="147" t="s">
        <v>19</v>
      </c>
      <c r="K29" s="162" t="s">
        <v>19</v>
      </c>
      <c r="L29" s="59" t="s">
        <v>19</v>
      </c>
      <c r="M29" s="182"/>
      <c r="N29" s="154"/>
      <c r="P29" s="22">
        <f t="shared" si="0"/>
        <v>0.183808768735411</v>
      </c>
    </row>
    <row r="30" ht="25" customHeight="1" spans="1:16">
      <c r="A30" s="85">
        <v>26</v>
      </c>
      <c r="B30" s="59">
        <v>7.22221331908127</v>
      </c>
      <c r="C30" s="161">
        <v>0.451529814859205</v>
      </c>
      <c r="D30" s="146">
        <v>0.429410948981545</v>
      </c>
      <c r="E30" s="147">
        <v>-29.5445184707007</v>
      </c>
      <c r="F30" s="162" t="s">
        <v>19</v>
      </c>
      <c r="G30" s="59">
        <v>1.17622920609573</v>
      </c>
      <c r="H30" s="161" t="s">
        <v>19</v>
      </c>
      <c r="I30" s="146" t="s">
        <v>19</v>
      </c>
      <c r="J30" s="147" t="s">
        <v>19</v>
      </c>
      <c r="K30" s="162" t="s">
        <v>19</v>
      </c>
      <c r="L30" s="59" t="s">
        <v>19</v>
      </c>
      <c r="M30" s="163" t="s">
        <v>26</v>
      </c>
      <c r="N30" s="154"/>
      <c r="P30" s="22">
        <f t="shared" si="0"/>
        <v>0.184393763105231</v>
      </c>
    </row>
    <row r="31" ht="25" customHeight="1" spans="1:16">
      <c r="A31" s="54">
        <v>27</v>
      </c>
      <c r="B31" s="59">
        <v>7.69037675861192</v>
      </c>
      <c r="C31" s="161">
        <v>0.445732181881542</v>
      </c>
      <c r="D31" s="146">
        <v>0.444544126461706</v>
      </c>
      <c r="E31" s="147">
        <v>-28.0286398967497</v>
      </c>
      <c r="F31" s="162">
        <v>10.2668883765643</v>
      </c>
      <c r="G31" s="59">
        <v>1.16865343065144</v>
      </c>
      <c r="H31" s="161">
        <v>10.6026936026936</v>
      </c>
      <c r="I31" s="146">
        <v>10.3771043771044</v>
      </c>
      <c r="J31" s="147">
        <v>10.2267115600449</v>
      </c>
      <c r="K31" s="162">
        <v>9.47474747474748</v>
      </c>
      <c r="L31" s="59">
        <f>(H31+I31+J31+K31)/4</f>
        <v>10.1703142536476</v>
      </c>
      <c r="M31" s="163" t="s">
        <v>27</v>
      </c>
      <c r="N31" s="154"/>
      <c r="P31" s="22">
        <f t="shared" si="0"/>
        <v>0.197619480371601</v>
      </c>
    </row>
    <row r="32" ht="25" customHeight="1" spans="1:16">
      <c r="A32" s="54">
        <v>28</v>
      </c>
      <c r="B32" s="59">
        <v>7.69950460135053</v>
      </c>
      <c r="C32" s="161">
        <v>0.443955199475204</v>
      </c>
      <c r="D32" s="146">
        <v>0.445252299123823</v>
      </c>
      <c r="E32" s="147">
        <v>-28.9981318410377</v>
      </c>
      <c r="F32" s="162">
        <v>10.1710669934562</v>
      </c>
      <c r="G32" s="59">
        <v>1.16632159265942</v>
      </c>
      <c r="H32" s="161">
        <v>10.5454545454545</v>
      </c>
      <c r="I32" s="146">
        <v>10.2272727272727</v>
      </c>
      <c r="J32" s="147">
        <v>10</v>
      </c>
      <c r="K32" s="162">
        <v>10.3636363636364</v>
      </c>
      <c r="L32" s="59">
        <f>(H32+I32+J32+K32)/4</f>
        <v>10.2840909090909</v>
      </c>
      <c r="M32" s="163" t="s">
        <v>28</v>
      </c>
      <c r="N32" s="154"/>
      <c r="P32" s="22">
        <f t="shared" si="0"/>
        <v>0.19824960987505</v>
      </c>
    </row>
    <row r="33" ht="25" customHeight="1" spans="1:16">
      <c r="A33" s="54">
        <v>29</v>
      </c>
      <c r="B33" s="59">
        <v>7.86247414606915</v>
      </c>
      <c r="C33" s="161">
        <v>0.469839152509598</v>
      </c>
      <c r="D33" s="146">
        <v>0.44361056425456</v>
      </c>
      <c r="E33" s="147">
        <v>-30.1941618588336</v>
      </c>
      <c r="F33" s="162">
        <v>9.97420515007628</v>
      </c>
      <c r="G33" s="59">
        <v>1.19984002384025</v>
      </c>
      <c r="H33" s="161">
        <v>10.3030303030303</v>
      </c>
      <c r="I33" s="146">
        <v>10.4461279461279</v>
      </c>
      <c r="J33" s="147">
        <v>10.4461279461279</v>
      </c>
      <c r="K33" s="162">
        <v>9.92143658810325</v>
      </c>
      <c r="L33" s="59">
        <f t="shared" ref="L33:L40" si="2">(H33+I33+J33+K33)/4</f>
        <v>10.2791806958473</v>
      </c>
      <c r="M33" s="163" t="s">
        <v>29</v>
      </c>
      <c r="N33" s="154"/>
      <c r="P33" s="22">
        <f t="shared" si="0"/>
        <v>0.196790332718249</v>
      </c>
    </row>
    <row r="34" ht="25" customHeight="1" spans="1:16">
      <c r="A34" s="54">
        <v>30</v>
      </c>
      <c r="B34" s="59">
        <v>7.56542980958466</v>
      </c>
      <c r="C34" s="161">
        <v>0.436039367418488</v>
      </c>
      <c r="D34" s="146">
        <v>0.443348194180834</v>
      </c>
      <c r="E34" s="147">
        <v>-29.1367464292118</v>
      </c>
      <c r="F34" s="162">
        <v>10.2853428196793</v>
      </c>
      <c r="G34" s="59">
        <v>1.15587692288015</v>
      </c>
      <c r="H34" s="161">
        <v>10.2760942760943</v>
      </c>
      <c r="I34" s="146">
        <v>10.2760942760943</v>
      </c>
      <c r="J34" s="147">
        <v>10.2760942760943</v>
      </c>
      <c r="K34" s="162">
        <v>9.66442199775533</v>
      </c>
      <c r="L34" s="59">
        <f t="shared" si="2"/>
        <v>10.1231762065096</v>
      </c>
      <c r="M34" s="163" t="s">
        <v>27</v>
      </c>
      <c r="N34" s="164"/>
      <c r="P34" s="22">
        <f t="shared" si="0"/>
        <v>0.196557621283406</v>
      </c>
    </row>
    <row r="35" ht="25" customHeight="1" spans="1:16">
      <c r="A35" s="85">
        <v>31</v>
      </c>
      <c r="B35" s="59">
        <v>5.63088212202495</v>
      </c>
      <c r="C35" s="161">
        <v>0.397285805421424</v>
      </c>
      <c r="D35" s="146">
        <v>0.391491215646472</v>
      </c>
      <c r="E35" s="147">
        <v>-27.5015872864381</v>
      </c>
      <c r="F35" s="162" t="s">
        <v>19</v>
      </c>
      <c r="G35" s="59">
        <v>1.10331689080258</v>
      </c>
      <c r="H35" s="161" t="s">
        <v>19</v>
      </c>
      <c r="I35" s="146" t="s">
        <v>19</v>
      </c>
      <c r="J35" s="147" t="s">
        <v>19</v>
      </c>
      <c r="K35" s="162" t="s">
        <v>19</v>
      </c>
      <c r="L35" s="59" t="s">
        <v>19</v>
      </c>
      <c r="M35" s="163" t="s">
        <v>25</v>
      </c>
      <c r="N35" s="164" t="s">
        <v>30</v>
      </c>
      <c r="P35" s="22">
        <f t="shared" si="0"/>
        <v>0.153265371928352</v>
      </c>
    </row>
    <row r="36" ht="25" customHeight="1" spans="1:16">
      <c r="A36" s="85">
        <v>32</v>
      </c>
      <c r="B36" s="59">
        <v>5.92032373975865</v>
      </c>
      <c r="C36" s="161">
        <v>0.423754166894697</v>
      </c>
      <c r="D36" s="146">
        <v>0.395006096345403</v>
      </c>
      <c r="E36" s="147">
        <v>-16.7691410433922</v>
      </c>
      <c r="F36" s="162" t="s">
        <v>19</v>
      </c>
      <c r="G36" s="59">
        <v>1.13947744614092</v>
      </c>
      <c r="H36" s="161" t="s">
        <v>19</v>
      </c>
      <c r="I36" s="146" t="s">
        <v>19</v>
      </c>
      <c r="J36" s="147" t="s">
        <v>19</v>
      </c>
      <c r="K36" s="162" t="s">
        <v>19</v>
      </c>
      <c r="L36" s="59" t="s">
        <v>19</v>
      </c>
      <c r="M36" s="163" t="s">
        <v>31</v>
      </c>
      <c r="N36" s="164"/>
      <c r="P36" s="22">
        <f t="shared" si="0"/>
        <v>0.156029816150034</v>
      </c>
    </row>
    <row r="37" ht="25" customHeight="1" spans="1:16">
      <c r="A37" s="85">
        <v>33</v>
      </c>
      <c r="B37" s="59">
        <v>6.0013560467043</v>
      </c>
      <c r="C37" s="161">
        <v>0.418915468582771</v>
      </c>
      <c r="D37" s="146">
        <v>0.398843632763255</v>
      </c>
      <c r="E37" s="147">
        <v>-27.6032969792246</v>
      </c>
      <c r="F37" s="162" t="s">
        <v>19</v>
      </c>
      <c r="G37" s="59">
        <v>1.13295312383379</v>
      </c>
      <c r="H37" s="161" t="s">
        <v>19</v>
      </c>
      <c r="I37" s="146" t="s">
        <v>19</v>
      </c>
      <c r="J37" s="147" t="s">
        <v>19</v>
      </c>
      <c r="K37" s="162" t="s">
        <v>19</v>
      </c>
      <c r="L37" s="59" t="s">
        <v>19</v>
      </c>
      <c r="M37" s="163" t="s">
        <v>32</v>
      </c>
      <c r="N37" s="164" t="s">
        <v>33</v>
      </c>
      <c r="P37" s="22">
        <f t="shared" si="0"/>
        <v>0.15907624339579</v>
      </c>
    </row>
    <row r="38" ht="25" customHeight="1" spans="1:16">
      <c r="A38" s="54">
        <v>34</v>
      </c>
      <c r="B38" s="59">
        <v>6.4045968727185</v>
      </c>
      <c r="C38" s="161">
        <v>0.411915924207684</v>
      </c>
      <c r="D38" s="146">
        <v>0.413764589074592</v>
      </c>
      <c r="E38" s="147">
        <v>-22.4763455062503</v>
      </c>
      <c r="F38" s="162">
        <v>10.1814417080287</v>
      </c>
      <c r="G38" s="59">
        <v>1.12344815011812</v>
      </c>
      <c r="H38" s="161">
        <v>11.5218855218855</v>
      </c>
      <c r="I38" s="146">
        <v>10.3501683501684</v>
      </c>
      <c r="J38" s="147">
        <v>10.5454545454545</v>
      </c>
      <c r="K38" s="162">
        <v>9.76430976430977</v>
      </c>
      <c r="L38" s="59">
        <f t="shared" si="2"/>
        <v>10.5454545454545</v>
      </c>
      <c r="M38" s="163"/>
      <c r="N38" s="164"/>
      <c r="P38" s="22">
        <f t="shared" si="0"/>
        <v>0.171201135172066</v>
      </c>
    </row>
    <row r="39" ht="25" customHeight="1" spans="1:16">
      <c r="A39" s="54">
        <v>35</v>
      </c>
      <c r="B39" s="59">
        <v>5.94258704295198</v>
      </c>
      <c r="C39" s="161">
        <v>0.413266229884075</v>
      </c>
      <c r="D39" s="146">
        <v>0.39823539947186</v>
      </c>
      <c r="E39" s="147">
        <v>-22.7517607063105</v>
      </c>
      <c r="F39" s="162">
        <v>10.0744543592977</v>
      </c>
      <c r="G39" s="59">
        <v>1.12528803677558</v>
      </c>
      <c r="H39" s="161">
        <v>11.4208754208754</v>
      </c>
      <c r="I39" s="146">
        <v>10.5589225589226</v>
      </c>
      <c r="J39" s="147">
        <v>9.91245791245792</v>
      </c>
      <c r="K39" s="162">
        <v>9.05050505050505</v>
      </c>
      <c r="L39" s="59">
        <f t="shared" si="2"/>
        <v>10.2356902356902</v>
      </c>
      <c r="M39" s="163"/>
      <c r="N39" s="164"/>
      <c r="P39" s="22">
        <f t="shared" si="0"/>
        <v>0.158591433392512</v>
      </c>
    </row>
    <row r="40" ht="25" customHeight="1" spans="1:16">
      <c r="A40" s="54">
        <v>36</v>
      </c>
      <c r="B40" s="59">
        <v>4.66174154884177</v>
      </c>
      <c r="C40" s="161">
        <v>0.418212136109112</v>
      </c>
      <c r="D40" s="146">
        <v>0.351669338204214</v>
      </c>
      <c r="E40" s="147">
        <v>-21.1230303559552</v>
      </c>
      <c r="F40" s="162">
        <v>10.1389246156869</v>
      </c>
      <c r="G40" s="59">
        <v>1.13200164611805</v>
      </c>
      <c r="H40" s="161">
        <v>10.2996632996633</v>
      </c>
      <c r="I40" s="146">
        <v>10.9713804713805</v>
      </c>
      <c r="J40" s="147">
        <v>10.0011223344557</v>
      </c>
      <c r="K40" s="162">
        <v>10.7474747474747</v>
      </c>
      <c r="L40" s="59">
        <f t="shared" si="2"/>
        <v>10.5049102132435</v>
      </c>
      <c r="M40" s="163"/>
      <c r="N40" s="164"/>
      <c r="P40" s="22">
        <f t="shared" si="0"/>
        <v>0.12367132343299</v>
      </c>
    </row>
    <row r="41" ht="25" customHeight="1" spans="1:16">
      <c r="A41" s="85">
        <v>37</v>
      </c>
      <c r="B41" s="59">
        <v>3.80799273229734</v>
      </c>
      <c r="C41" s="161">
        <v>0.413909757994026</v>
      </c>
      <c r="D41" s="146">
        <v>0.318662680570048</v>
      </c>
      <c r="E41" s="147">
        <v>-21.0076644753185</v>
      </c>
      <c r="F41" s="167" t="s">
        <v>34</v>
      </c>
      <c r="G41" s="59">
        <v>1.12616383153143</v>
      </c>
      <c r="H41" s="161" t="s">
        <v>19</v>
      </c>
      <c r="I41" s="146" t="s">
        <v>19</v>
      </c>
      <c r="J41" s="147" t="s">
        <v>19</v>
      </c>
      <c r="K41" s="162" t="s">
        <v>19</v>
      </c>
      <c r="L41" s="59" t="s">
        <v>19</v>
      </c>
      <c r="M41" s="163" t="s">
        <v>32</v>
      </c>
      <c r="N41" s="164" t="s">
        <v>33</v>
      </c>
      <c r="P41" s="22">
        <f t="shared" si="0"/>
        <v>0.101545903988088</v>
      </c>
    </row>
    <row r="42" ht="25" customHeight="1" spans="1:16">
      <c r="A42" s="85">
        <v>38</v>
      </c>
      <c r="B42" s="59">
        <v>3.702166609112</v>
      </c>
      <c r="C42" s="161">
        <v>0.367893580223332</v>
      </c>
      <c r="D42" s="146">
        <v>0.323598867697246</v>
      </c>
      <c r="E42" s="147">
        <v>-19.8305564934459</v>
      </c>
      <c r="F42" s="162" t="s">
        <v>19</v>
      </c>
      <c r="G42" s="59">
        <v>1.06171963077562</v>
      </c>
      <c r="H42" s="161" t="s">
        <v>19</v>
      </c>
      <c r="I42" s="146" t="s">
        <v>19</v>
      </c>
      <c r="J42" s="147" t="s">
        <v>19</v>
      </c>
      <c r="K42" s="162" t="s">
        <v>19</v>
      </c>
      <c r="L42" s="59" t="s">
        <v>19</v>
      </c>
      <c r="M42" s="163" t="s">
        <v>31</v>
      </c>
      <c r="N42" s="164"/>
      <c r="P42" s="22">
        <f t="shared" si="0"/>
        <v>0.10471622717494</v>
      </c>
    </row>
    <row r="43" ht="25" customHeight="1" spans="1:16">
      <c r="A43" s="54">
        <v>39</v>
      </c>
      <c r="B43" s="59">
        <v>4.56832810462159</v>
      </c>
      <c r="C43" s="161">
        <v>0.416677871184918</v>
      </c>
      <c r="D43" s="146">
        <v>0.34844810002651</v>
      </c>
      <c r="E43" s="147">
        <v>-21.4933309330614</v>
      </c>
      <c r="F43" s="162">
        <v>10.192037738067</v>
      </c>
      <c r="G43" s="59">
        <v>1.12992329148895</v>
      </c>
      <c r="H43" s="161">
        <v>10.523569023569</v>
      </c>
      <c r="I43" s="146">
        <v>10.2996632996633</v>
      </c>
      <c r="J43" s="147">
        <v>10.1503928170595</v>
      </c>
      <c r="K43" s="162">
        <v>10.7474747474747</v>
      </c>
      <c r="L43" s="59">
        <f>(H43+I43+J43+K43)/4</f>
        <v>10.4302749719416</v>
      </c>
      <c r="M43" s="163"/>
      <c r="N43" s="164"/>
      <c r="P43" s="22">
        <f t="shared" si="0"/>
        <v>0.121416078412085</v>
      </c>
    </row>
    <row r="44" ht="25" customHeight="1" spans="1:16">
      <c r="A44" s="85">
        <v>40</v>
      </c>
      <c r="B44" s="59">
        <v>4.31177838664525</v>
      </c>
      <c r="C44" s="161">
        <v>0.426572312942997</v>
      </c>
      <c r="D44" s="146">
        <v>0.33654226678617</v>
      </c>
      <c r="E44" s="147">
        <v>-21.0228869351141</v>
      </c>
      <c r="F44" s="162" t="s">
        <v>19</v>
      </c>
      <c r="G44" s="59">
        <v>1.14326017302198</v>
      </c>
      <c r="H44" s="161" t="s">
        <v>19</v>
      </c>
      <c r="I44" s="146" t="s">
        <v>19</v>
      </c>
      <c r="J44" s="147" t="s">
        <v>19</v>
      </c>
      <c r="K44" s="162" t="s">
        <v>19</v>
      </c>
      <c r="L44" s="59" t="s">
        <v>19</v>
      </c>
      <c r="M44" s="163" t="s">
        <v>35</v>
      </c>
      <c r="N44" s="164"/>
      <c r="P44" s="22">
        <f t="shared" si="0"/>
        <v>0.113260697333574</v>
      </c>
    </row>
    <row r="45" ht="25" customHeight="1" spans="1:16">
      <c r="A45" s="85">
        <v>41</v>
      </c>
      <c r="B45" s="59">
        <v>5.03549833959357</v>
      </c>
      <c r="C45" s="161">
        <v>0.41313031539302</v>
      </c>
      <c r="D45" s="146">
        <v>0.366613985528432</v>
      </c>
      <c r="E45" s="147">
        <v>-21.8725491945285</v>
      </c>
      <c r="F45" s="162" t="s">
        <v>19</v>
      </c>
      <c r="G45" s="59">
        <v>1.12510297988399</v>
      </c>
      <c r="H45" s="161" t="s">
        <v>19</v>
      </c>
      <c r="I45" s="146" t="s">
        <v>19</v>
      </c>
      <c r="J45" s="147" t="s">
        <v>19</v>
      </c>
      <c r="K45" s="162" t="s">
        <v>19</v>
      </c>
      <c r="L45" s="59" t="s">
        <v>19</v>
      </c>
      <c r="M45" s="163" t="s">
        <v>25</v>
      </c>
      <c r="N45" s="164"/>
      <c r="P45" s="22">
        <f t="shared" si="0"/>
        <v>0.134405814385041</v>
      </c>
    </row>
    <row r="46" ht="25" customHeight="1" spans="1:16">
      <c r="A46" s="85">
        <v>42</v>
      </c>
      <c r="B46" s="59">
        <v>5.09449537100696</v>
      </c>
      <c r="C46" s="161">
        <v>0.410812818982922</v>
      </c>
      <c r="D46" s="146">
        <v>0.369274360911998</v>
      </c>
      <c r="E46" s="147">
        <v>-22.4770707152993</v>
      </c>
      <c r="F46" s="162" t="s">
        <v>19</v>
      </c>
      <c r="G46" s="59">
        <v>1.12194285224198</v>
      </c>
      <c r="H46" s="161" t="s">
        <v>19</v>
      </c>
      <c r="I46" s="146" t="s">
        <v>19</v>
      </c>
      <c r="J46" s="147" t="s">
        <v>19</v>
      </c>
      <c r="K46" s="162" t="s">
        <v>19</v>
      </c>
      <c r="L46" s="59" t="s">
        <v>19</v>
      </c>
      <c r="M46" s="163" t="s">
        <v>31</v>
      </c>
      <c r="N46" s="164"/>
      <c r="P46" s="22">
        <f t="shared" si="0"/>
        <v>0.136363553626965</v>
      </c>
    </row>
    <row r="47" ht="25" customHeight="1" spans="1:16">
      <c r="A47" s="85">
        <v>43</v>
      </c>
      <c r="B47" s="59">
        <v>4.97573202053187</v>
      </c>
      <c r="C47" s="161">
        <v>0.374971376419585</v>
      </c>
      <c r="D47" s="146">
        <v>0.373369233219633</v>
      </c>
      <c r="E47" s="147">
        <v>-25.6284967317138</v>
      </c>
      <c r="F47" s="162" t="s">
        <v>19</v>
      </c>
      <c r="G47" s="59">
        <v>1.07188403177389</v>
      </c>
      <c r="H47" s="161" t="s">
        <v>19</v>
      </c>
      <c r="I47" s="146" t="s">
        <v>19</v>
      </c>
      <c r="J47" s="147" t="s">
        <v>19</v>
      </c>
      <c r="K47" s="162" t="s">
        <v>19</v>
      </c>
      <c r="L47" s="59" t="s">
        <v>19</v>
      </c>
      <c r="M47" s="163" t="s">
        <v>36</v>
      </c>
      <c r="N47" s="164" t="s">
        <v>37</v>
      </c>
      <c r="P47" s="22">
        <f t="shared" si="0"/>
        <v>0.139404584315017</v>
      </c>
    </row>
    <row r="48" ht="25" customHeight="1" spans="1:16">
      <c r="A48" s="54" t="s">
        <v>38</v>
      </c>
      <c r="B48" s="59">
        <v>1.94120755421502</v>
      </c>
      <c r="C48" s="161">
        <v>1.00014757501267</v>
      </c>
      <c r="D48" s="146">
        <v>0.18248599114776</v>
      </c>
      <c r="E48" s="147">
        <v>-14.2504330683497</v>
      </c>
      <c r="F48" s="162">
        <v>11.0154936145945</v>
      </c>
      <c r="G48" s="59">
        <v>1.75057525713118</v>
      </c>
      <c r="H48" s="161">
        <v>21.993265993266</v>
      </c>
      <c r="I48" s="146" t="s">
        <v>19</v>
      </c>
      <c r="J48" s="147" t="s">
        <v>19</v>
      </c>
      <c r="K48" s="162">
        <v>19.8249158249158</v>
      </c>
      <c r="L48" s="59">
        <f>(H48+K48)/2</f>
        <v>20.9090909090909</v>
      </c>
      <c r="M48" s="163"/>
      <c r="N48" s="164"/>
      <c r="P48" s="22">
        <f t="shared" si="0"/>
        <v>0.0333011369651803</v>
      </c>
    </row>
    <row r="49" ht="25" customHeight="1" spans="1:16">
      <c r="A49" s="54" t="s">
        <v>39</v>
      </c>
      <c r="B49" s="59">
        <v>178.247940366661</v>
      </c>
      <c r="C49" s="161">
        <v>0.979884093365531</v>
      </c>
      <c r="D49" s="146">
        <v>1.75763280241481</v>
      </c>
      <c r="E49" s="147">
        <v>-95.4574380371422</v>
      </c>
      <c r="F49" s="162">
        <v>9.04189162333139</v>
      </c>
      <c r="G49" s="59">
        <v>1.73275075410634</v>
      </c>
      <c r="H49" s="161" t="s">
        <v>19</v>
      </c>
      <c r="I49" s="146" t="s">
        <v>19</v>
      </c>
      <c r="J49" s="147" t="s">
        <v>19</v>
      </c>
      <c r="K49" s="162" t="s">
        <v>19</v>
      </c>
      <c r="L49" s="59" t="s">
        <v>19</v>
      </c>
      <c r="M49" s="163" t="s">
        <v>40</v>
      </c>
      <c r="N49" s="164" t="s">
        <v>41</v>
      </c>
      <c r="P49" s="22">
        <f t="shared" si="0"/>
        <v>3.08927306812454</v>
      </c>
    </row>
    <row r="50" ht="25" customHeight="1" spans="1:16">
      <c r="A50" s="54" t="s">
        <v>42</v>
      </c>
      <c r="B50" s="59">
        <v>8.62359644306662</v>
      </c>
      <c r="C50" s="161">
        <v>1.18360059169457</v>
      </c>
      <c r="D50" s="146">
        <v>0.368767369066553</v>
      </c>
      <c r="E50" s="147">
        <v>-9.5297995869277</v>
      </c>
      <c r="F50" s="162">
        <v>10.2311976738908</v>
      </c>
      <c r="G50" s="59">
        <v>1.90436999185702</v>
      </c>
      <c r="H50" s="161">
        <v>24.4444444444445</v>
      </c>
      <c r="I50" s="146" t="s">
        <v>19</v>
      </c>
      <c r="J50" s="147">
        <v>23.5555555555556</v>
      </c>
      <c r="K50" s="162">
        <v>22.2222222222222</v>
      </c>
      <c r="L50" s="59">
        <f>(H50+J50+K50)/3</f>
        <v>23.4074074074074</v>
      </c>
      <c r="M50" s="163"/>
      <c r="N50" s="164" t="s">
        <v>43</v>
      </c>
      <c r="P50" s="22">
        <f t="shared" si="0"/>
        <v>0.135989372488267</v>
      </c>
    </row>
    <row r="51" ht="25" customHeight="1" spans="1:16">
      <c r="A51" s="54" t="s">
        <v>44</v>
      </c>
      <c r="B51" s="59">
        <v>8.83083002573664</v>
      </c>
      <c r="C51" s="161">
        <v>1.32687210206821</v>
      </c>
      <c r="D51" s="146">
        <v>0.362662844019943</v>
      </c>
      <c r="E51" s="147">
        <v>-15.8177025636706</v>
      </c>
      <c r="F51" s="162">
        <v>11.285341625366</v>
      </c>
      <c r="G51" s="59">
        <v>2.01633771782216</v>
      </c>
      <c r="H51" s="161">
        <v>29.7979797979798</v>
      </c>
      <c r="I51" s="146" t="s">
        <v>19</v>
      </c>
      <c r="J51" s="147">
        <v>24.2424242424242</v>
      </c>
      <c r="K51" s="162" t="s">
        <v>19</v>
      </c>
      <c r="L51" s="59">
        <f>(H51+J51)/2</f>
        <v>27.020202020202</v>
      </c>
      <c r="M51" s="163"/>
      <c r="N51" s="164" t="s">
        <v>43</v>
      </c>
      <c r="P51" s="22">
        <f t="shared" si="0"/>
        <v>0.131524338432633</v>
      </c>
    </row>
    <row r="52" ht="25" customHeight="1" spans="1:16">
      <c r="A52" s="54" t="s">
        <v>45</v>
      </c>
      <c r="B52" s="59">
        <v>14.6281521149292</v>
      </c>
      <c r="C52" s="161">
        <v>1.5332695470254</v>
      </c>
      <c r="D52" s="146">
        <v>0.450193968613005</v>
      </c>
      <c r="E52" s="147">
        <v>-2.57509198377522</v>
      </c>
      <c r="F52" s="162">
        <v>8.44410816909724</v>
      </c>
      <c r="G52" s="59">
        <v>2.16749446777331</v>
      </c>
      <c r="H52" s="161" t="s">
        <v>19</v>
      </c>
      <c r="I52" s="146" t="s">
        <v>19</v>
      </c>
      <c r="J52" s="147">
        <v>26.3299663299663</v>
      </c>
      <c r="K52" s="162" t="s">
        <v>19</v>
      </c>
      <c r="L52" s="59">
        <f>J52</f>
        <v>26.3299663299663</v>
      </c>
      <c r="M52" s="163"/>
      <c r="N52" s="164" t="s">
        <v>43</v>
      </c>
      <c r="P52" s="22">
        <f t="shared" si="0"/>
        <v>0.202674609375527</v>
      </c>
    </row>
  </sheetData>
  <mergeCells count="7">
    <mergeCell ref="A1:L1"/>
    <mergeCell ref="B2:F2"/>
    <mergeCell ref="H2:L2"/>
    <mergeCell ref="M3:M19"/>
    <mergeCell ref="M21:M23"/>
    <mergeCell ref="M24:M25"/>
    <mergeCell ref="M28:M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zoomScale="55" zoomScaleNormal="55" workbookViewId="0">
      <pane xSplit="2" ySplit="3" topLeftCell="C16" activePane="bottomRight" state="frozen"/>
      <selection/>
      <selection pane="topRight"/>
      <selection pane="bottomLeft"/>
      <selection pane="bottomRight" activeCell="G25" sqref="G25:G28"/>
    </sheetView>
  </sheetViews>
  <sheetFormatPr defaultColWidth="9" defaultRowHeight="13.8"/>
  <cols>
    <col min="1" max="13" width="17.0648148148148" style="22" customWidth="1"/>
    <col min="14" max="14" width="39.2037037037037" style="22" customWidth="1"/>
    <col min="15" max="21" width="17.0648148148148" style="22" customWidth="1"/>
    <col min="22" max="22" width="9" style="22"/>
    <col min="23" max="23" width="10" style="22"/>
    <col min="24" max="16384" width="9" style="22"/>
  </cols>
  <sheetData>
    <row r="1" ht="51" customHeight="1" spans="1:18">
      <c r="A1" s="168" t="s">
        <v>46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 t="s">
        <v>1</v>
      </c>
      <c r="O1" s="154"/>
    </row>
    <row r="2" ht="25" customHeight="1" spans="1:18">
      <c r="A2" s="1"/>
      <c r="B2" s="16"/>
      <c r="C2" s="155" t="s">
        <v>2</v>
      </c>
      <c r="D2" s="155"/>
      <c r="E2" s="155"/>
      <c r="F2" s="155"/>
      <c r="G2" s="155"/>
      <c r="H2" s="155" t="s">
        <v>3</v>
      </c>
      <c r="I2" s="155" t="s">
        <v>4</v>
      </c>
      <c r="J2" s="155"/>
      <c r="K2" s="155"/>
      <c r="L2" s="155"/>
      <c r="M2" s="155"/>
      <c r="N2" s="156"/>
      <c r="O2" s="154"/>
    </row>
    <row r="3" ht="25" customHeight="1" spans="1:18">
      <c r="A3" s="93" t="s">
        <v>47</v>
      </c>
      <c r="B3" s="31" t="s">
        <v>5</v>
      </c>
      <c r="C3" s="157" t="s">
        <v>6</v>
      </c>
      <c r="D3" s="158" t="s">
        <v>48</v>
      </c>
      <c r="E3" s="159" t="s">
        <v>8</v>
      </c>
      <c r="F3" s="143" t="s">
        <v>9</v>
      </c>
      <c r="G3" s="31" t="s">
        <v>10</v>
      </c>
      <c r="H3" s="157" t="s">
        <v>11</v>
      </c>
      <c r="I3" s="158" t="s">
        <v>12</v>
      </c>
      <c r="J3" s="159" t="s">
        <v>13</v>
      </c>
      <c r="K3" s="143" t="s">
        <v>14</v>
      </c>
      <c r="L3" s="31" t="s">
        <v>15</v>
      </c>
      <c r="M3" s="157" t="s">
        <v>16</v>
      </c>
      <c r="N3" s="160"/>
      <c r="O3" s="154"/>
      <c r="R3" s="22" t="s">
        <v>18</v>
      </c>
    </row>
    <row r="4" ht="25" customHeight="1" spans="1:18">
      <c r="A4" s="110" t="s">
        <v>49</v>
      </c>
      <c r="B4" s="54">
        <v>1</v>
      </c>
      <c r="C4" s="59">
        <v>4.31752174806373</v>
      </c>
      <c r="D4" s="161">
        <v>0.79750520509743</v>
      </c>
      <c r="E4" s="146">
        <v>0.288000638960155</v>
      </c>
      <c r="F4" s="147">
        <v>-16.807789365467</v>
      </c>
      <c r="G4" s="162">
        <v>9.86828686451663</v>
      </c>
      <c r="H4" s="59">
        <v>1.56320345330512</v>
      </c>
      <c r="I4" s="161" t="s">
        <v>19</v>
      </c>
      <c r="J4" s="146">
        <v>16.8350168350168</v>
      </c>
      <c r="K4" s="147">
        <v>17.1717171717172</v>
      </c>
      <c r="L4" s="162" t="s">
        <v>19</v>
      </c>
      <c r="M4" s="59">
        <f t="shared" ref="M4:M7" si="0">(J4+K4)/2</f>
        <v>17.003367003367</v>
      </c>
      <c r="N4" s="160"/>
      <c r="R4" s="22">
        <f>E4*E4</f>
        <v>0.0829443680414575</v>
      </c>
    </row>
    <row r="5" ht="25" customHeight="1" spans="1:18">
      <c r="A5" s="111"/>
      <c r="B5" s="54">
        <v>2</v>
      </c>
      <c r="C5" s="59">
        <v>4.80822821928159</v>
      </c>
      <c r="D5" s="161">
        <v>0.779148174460763</v>
      </c>
      <c r="E5" s="146">
        <v>0.305701160961114</v>
      </c>
      <c r="F5" s="147">
        <v>-19.5766426469007</v>
      </c>
      <c r="G5" s="162">
        <v>10.2936321473971</v>
      </c>
      <c r="H5" s="59">
        <v>1.54510775179051</v>
      </c>
      <c r="I5" s="161" t="s">
        <v>19</v>
      </c>
      <c r="J5" s="146">
        <v>16.8350168350168</v>
      </c>
      <c r="K5" s="147">
        <v>16.8350168350168</v>
      </c>
      <c r="L5" s="162" t="s">
        <v>19</v>
      </c>
      <c r="M5" s="59">
        <f t="shared" si="0"/>
        <v>16.8350168350168</v>
      </c>
      <c r="N5" s="160"/>
      <c r="R5" s="22">
        <f t="shared" ref="R5:R52" si="1">E5*E5</f>
        <v>0.0934531998129729</v>
      </c>
    </row>
    <row r="6" ht="25" customHeight="1" spans="1:18">
      <c r="A6" s="111"/>
      <c r="B6" s="54">
        <v>3</v>
      </c>
      <c r="C6" s="59">
        <v>8.93635522960453</v>
      </c>
      <c r="D6" s="161">
        <v>0.886763852397773</v>
      </c>
      <c r="E6" s="146">
        <v>0.403494651772477</v>
      </c>
      <c r="F6" s="147">
        <v>-18.9839661928814</v>
      </c>
      <c r="G6" s="162">
        <v>10.5727604588363</v>
      </c>
      <c r="H6" s="59">
        <v>1.6483625286319</v>
      </c>
      <c r="I6" s="161" t="s">
        <v>19</v>
      </c>
      <c r="J6" s="146">
        <v>16.1616161616162</v>
      </c>
      <c r="K6" s="147">
        <v>16.8350168350168</v>
      </c>
      <c r="L6" s="162" t="s">
        <v>19</v>
      </c>
      <c r="M6" s="59">
        <f t="shared" si="0"/>
        <v>16.4983164983165</v>
      </c>
      <c r="N6" s="160"/>
      <c r="R6" s="22">
        <f t="shared" si="1"/>
        <v>0.162807934008992</v>
      </c>
    </row>
    <row r="7" ht="25" customHeight="1" spans="1:18">
      <c r="A7" s="111"/>
      <c r="B7" s="54">
        <v>4</v>
      </c>
      <c r="C7" s="59">
        <v>4.76368940944564</v>
      </c>
      <c r="D7" s="161">
        <v>0.733341372130511</v>
      </c>
      <c r="E7" s="146">
        <v>0.30892619704462</v>
      </c>
      <c r="F7" s="147">
        <v>-21.1321351458282</v>
      </c>
      <c r="G7" s="162">
        <v>10.1065120517512</v>
      </c>
      <c r="H7" s="59">
        <v>1.4990007014024</v>
      </c>
      <c r="I7" s="161" t="s">
        <v>19</v>
      </c>
      <c r="J7" s="146">
        <v>18.1818181818182</v>
      </c>
      <c r="K7" s="147">
        <v>16.1616161616162</v>
      </c>
      <c r="L7" s="162" t="s">
        <v>19</v>
      </c>
      <c r="M7" s="59">
        <f t="shared" si="0"/>
        <v>17.1717171717172</v>
      </c>
      <c r="N7" s="160"/>
      <c r="R7" s="22">
        <f t="shared" si="1"/>
        <v>0.0954353952204514</v>
      </c>
    </row>
    <row r="8" ht="25" customHeight="1" spans="1:18">
      <c r="A8" s="111"/>
      <c r="B8" s="54">
        <v>5</v>
      </c>
      <c r="C8" s="59">
        <v>6.7802800334411</v>
      </c>
      <c r="D8" s="161">
        <v>0.681334144104002</v>
      </c>
      <c r="E8" s="146">
        <v>0.375399200272031</v>
      </c>
      <c r="F8" s="147">
        <v>-14.2293116489042</v>
      </c>
      <c r="G8" s="162">
        <v>9.81549974232818</v>
      </c>
      <c r="H8" s="59">
        <v>1.44487015160013</v>
      </c>
      <c r="I8" s="161">
        <v>15.8181818181818</v>
      </c>
      <c r="J8" s="146">
        <v>15.2727272727273</v>
      </c>
      <c r="K8" s="147">
        <v>16.9090909090909</v>
      </c>
      <c r="L8" s="162">
        <v>16.0909090909091</v>
      </c>
      <c r="M8" s="59">
        <f t="shared" ref="M8:M13" si="2">(I8+J8+K8+L8)/4</f>
        <v>16.0227272727273</v>
      </c>
      <c r="N8" s="160"/>
      <c r="R8" s="22">
        <f t="shared" si="1"/>
        <v>0.14092455956488</v>
      </c>
    </row>
    <row r="9" ht="25" customHeight="1" spans="1:18">
      <c r="A9" s="111"/>
      <c r="B9" s="54">
        <v>6</v>
      </c>
      <c r="C9" s="59">
        <v>10.1333136929676</v>
      </c>
      <c r="D9" s="161">
        <v>0.672766376456891</v>
      </c>
      <c r="E9" s="146">
        <v>0.46038295904576</v>
      </c>
      <c r="F9" s="147">
        <v>-12.4653892243224</v>
      </c>
      <c r="G9" s="162">
        <v>9.37346227673995</v>
      </c>
      <c r="H9" s="59">
        <v>1.43575679958388</v>
      </c>
      <c r="I9" s="161">
        <v>16.5690235690236</v>
      </c>
      <c r="J9" s="146">
        <v>15.6734006734007</v>
      </c>
      <c r="K9" s="147">
        <v>14.7777777777778</v>
      </c>
      <c r="L9" s="162">
        <v>14.7777777777778</v>
      </c>
      <c r="M9" s="59">
        <f t="shared" si="2"/>
        <v>15.449494949495</v>
      </c>
      <c r="N9" s="160"/>
      <c r="R9" s="22">
        <f t="shared" si="1"/>
        <v>0.21195246897973</v>
      </c>
    </row>
    <row r="10" ht="25" customHeight="1" spans="1:18">
      <c r="A10" s="111"/>
      <c r="B10" s="54">
        <v>7</v>
      </c>
      <c r="C10" s="59">
        <v>5.80954011562317</v>
      </c>
      <c r="D10" s="161">
        <v>0.59124088873113</v>
      </c>
      <c r="E10" s="146">
        <v>0.360030528595507</v>
      </c>
      <c r="F10" s="147">
        <v>-15.3195421708314</v>
      </c>
      <c r="G10" s="162">
        <v>9.82587667279957</v>
      </c>
      <c r="H10" s="59">
        <v>1.3459563421992</v>
      </c>
      <c r="I10" s="161">
        <v>13.479797979798</v>
      </c>
      <c r="J10" s="146">
        <v>13.7441077441077</v>
      </c>
      <c r="K10" s="147">
        <v>13.7441077441077</v>
      </c>
      <c r="L10" s="162">
        <v>13.9203142536476</v>
      </c>
      <c r="M10" s="59">
        <f t="shared" si="2"/>
        <v>13.7220819304152</v>
      </c>
      <c r="N10" s="160"/>
      <c r="R10" s="22">
        <f t="shared" si="1"/>
        <v>0.12962198152076</v>
      </c>
    </row>
    <row r="11" ht="25" customHeight="1" spans="1:18">
      <c r="A11" s="111"/>
      <c r="B11" s="54">
        <v>8</v>
      </c>
      <c r="C11" s="59">
        <v>7.07388704903865</v>
      </c>
      <c r="D11" s="161">
        <v>0.695838407865019</v>
      </c>
      <c r="E11" s="146">
        <v>0.381427083576573</v>
      </c>
      <c r="F11" s="147">
        <v>-11.882242008582</v>
      </c>
      <c r="G11" s="162">
        <v>9.89833889075379</v>
      </c>
      <c r="H11" s="59">
        <v>1.4601683847812</v>
      </c>
      <c r="I11" s="161">
        <v>16.4444444444444</v>
      </c>
      <c r="J11" s="146">
        <v>15.1986531986532</v>
      </c>
      <c r="K11" s="147">
        <v>15.9461279461279</v>
      </c>
      <c r="L11" s="162">
        <v>16.4444444444444</v>
      </c>
      <c r="M11" s="59">
        <f t="shared" si="2"/>
        <v>16.0084175084175</v>
      </c>
      <c r="N11" s="160"/>
      <c r="R11" s="22">
        <f t="shared" si="1"/>
        <v>0.14548662008573</v>
      </c>
    </row>
    <row r="12" ht="25" customHeight="1" spans="1:18">
      <c r="A12" s="111"/>
      <c r="B12" s="54">
        <v>9</v>
      </c>
      <c r="C12" s="59">
        <v>8.91648387899673</v>
      </c>
      <c r="D12" s="161">
        <v>0.57213444102023</v>
      </c>
      <c r="E12" s="146">
        <v>0.449709287993055</v>
      </c>
      <c r="F12" s="147">
        <v>-15.1260850526811</v>
      </c>
      <c r="G12" s="162">
        <v>9.79398796943178</v>
      </c>
      <c r="H12" s="59">
        <v>1.36917403574902</v>
      </c>
      <c r="I12" s="161">
        <v>14.5387205387205</v>
      </c>
      <c r="J12" s="146">
        <v>13.6835016835017</v>
      </c>
      <c r="K12" s="147">
        <v>14.1111111111111</v>
      </c>
      <c r="L12" s="162">
        <v>13.6835016835017</v>
      </c>
      <c r="M12" s="59">
        <f t="shared" si="2"/>
        <v>14.0042087542088</v>
      </c>
      <c r="N12" s="160"/>
      <c r="R12" s="22">
        <f t="shared" si="1"/>
        <v>0.20223844370722</v>
      </c>
    </row>
    <row r="13" ht="25" customHeight="1" spans="1:18">
      <c r="A13" s="111"/>
      <c r="B13" s="54">
        <v>10</v>
      </c>
      <c r="C13" s="59">
        <v>9.70612245025774</v>
      </c>
      <c r="D13" s="161">
        <v>0.639236992997172</v>
      </c>
      <c r="E13" s="146">
        <v>0.456369880305615</v>
      </c>
      <c r="F13" s="147">
        <v>-12.4415418612981</v>
      </c>
      <c r="G13" s="162">
        <v>9.09309231243999</v>
      </c>
      <c r="H13" s="59">
        <v>1.39952188008319</v>
      </c>
      <c r="I13" s="161">
        <v>15.4612794612795</v>
      </c>
      <c r="J13" s="146">
        <v>15.0841750841751</v>
      </c>
      <c r="K13" s="147">
        <v>15.4612794612795</v>
      </c>
      <c r="L13" s="162">
        <v>14.7070707070707</v>
      </c>
      <c r="M13" s="59">
        <f t="shared" si="2"/>
        <v>15.1784511784512</v>
      </c>
      <c r="N13" s="160"/>
      <c r="R13" s="22">
        <f t="shared" si="1"/>
        <v>0.208273467650161</v>
      </c>
    </row>
    <row r="14" ht="25" customHeight="1" spans="1:18">
      <c r="A14" s="111"/>
      <c r="B14" s="54">
        <v>11</v>
      </c>
      <c r="C14" s="59">
        <v>33.1619842520257</v>
      </c>
      <c r="D14" s="161">
        <v>0.651718446827028</v>
      </c>
      <c r="E14" s="146">
        <v>0.839488626875709</v>
      </c>
      <c r="F14" s="147">
        <v>-33.3288531850998</v>
      </c>
      <c r="G14" s="162">
        <v>7.6070861687787</v>
      </c>
      <c r="H14" s="59">
        <v>1.41311904509994</v>
      </c>
      <c r="I14" s="161">
        <v>17.1178451178451</v>
      </c>
      <c r="J14" s="146" t="s">
        <v>19</v>
      </c>
      <c r="K14" s="147" t="s">
        <v>19</v>
      </c>
      <c r="L14" s="162">
        <v>15.4478114478114</v>
      </c>
      <c r="M14" s="59">
        <f>(I14+L14)/2</f>
        <v>16.2828282828282</v>
      </c>
      <c r="N14" s="158" t="s">
        <v>50</v>
      </c>
      <c r="R14" s="22">
        <f t="shared" si="1"/>
        <v>0.704741154653663</v>
      </c>
    </row>
    <row r="15" ht="25" customHeight="1" spans="1:18">
      <c r="A15" s="111"/>
      <c r="B15" s="54">
        <v>23</v>
      </c>
      <c r="C15" s="59">
        <v>9.9663147258273</v>
      </c>
      <c r="D15" s="161">
        <v>0.414877903403309</v>
      </c>
      <c r="E15" s="146">
        <v>0.515224834674623</v>
      </c>
      <c r="F15" s="147">
        <v>-29.9789765760212</v>
      </c>
      <c r="G15" s="162">
        <v>9.57244412355886</v>
      </c>
      <c r="H15" s="59">
        <v>1.12748012513518</v>
      </c>
      <c r="I15" s="161">
        <v>10.496632996633</v>
      </c>
      <c r="J15" s="146">
        <v>10.496632996633</v>
      </c>
      <c r="K15" s="147">
        <v>10.9848484848485</v>
      </c>
      <c r="L15" s="162">
        <v>10.496632996633</v>
      </c>
      <c r="M15" s="59">
        <f>(I15+J15+K15+L15)/4</f>
        <v>10.6186868686869</v>
      </c>
      <c r="N15" s="160"/>
      <c r="R15" s="22">
        <f t="shared" si="1"/>
        <v>0.265456630265493</v>
      </c>
    </row>
    <row r="16" ht="25" customHeight="1" spans="1:18">
      <c r="A16" s="111"/>
      <c r="B16" s="54">
        <v>34</v>
      </c>
      <c r="C16" s="59">
        <v>6.4045968727185</v>
      </c>
      <c r="D16" s="161">
        <v>0.411915924207684</v>
      </c>
      <c r="E16" s="146">
        <v>0.413764589074592</v>
      </c>
      <c r="F16" s="147">
        <v>-22.4763455062503</v>
      </c>
      <c r="G16" s="162">
        <v>10.1814417080287</v>
      </c>
      <c r="H16" s="59">
        <v>1.12344815011812</v>
      </c>
      <c r="I16" s="161">
        <v>11.5218855218855</v>
      </c>
      <c r="J16" s="146">
        <v>10.3501683501684</v>
      </c>
      <c r="K16" s="147">
        <v>10.5454545454545</v>
      </c>
      <c r="L16" s="162">
        <v>9.76430976430977</v>
      </c>
      <c r="M16" s="59">
        <f t="shared" ref="M16:M19" si="3">(I16+J16+K16+L16)/4</f>
        <v>10.5454545454545</v>
      </c>
      <c r="N16" s="163"/>
      <c r="O16" s="164"/>
      <c r="R16" s="22">
        <f t="shared" si="1"/>
        <v>0.171201135172066</v>
      </c>
    </row>
    <row r="17" ht="25" customHeight="1" spans="1:18">
      <c r="A17" s="111"/>
      <c r="B17" s="54">
        <v>35</v>
      </c>
      <c r="C17" s="59">
        <v>5.94258704295198</v>
      </c>
      <c r="D17" s="161">
        <v>0.413266229884075</v>
      </c>
      <c r="E17" s="146">
        <v>0.39823539947186</v>
      </c>
      <c r="F17" s="147">
        <v>-22.7517607063105</v>
      </c>
      <c r="G17" s="162">
        <v>10.0744543592977</v>
      </c>
      <c r="H17" s="59">
        <v>1.12528803677558</v>
      </c>
      <c r="I17" s="161">
        <v>11.4208754208754</v>
      </c>
      <c r="J17" s="146">
        <v>10.5589225589226</v>
      </c>
      <c r="K17" s="147">
        <v>9.91245791245792</v>
      </c>
      <c r="L17" s="162">
        <v>9.05050505050505</v>
      </c>
      <c r="M17" s="59">
        <f t="shared" si="3"/>
        <v>10.2356902356902</v>
      </c>
      <c r="N17" s="163"/>
      <c r="O17" s="164"/>
      <c r="R17" s="22">
        <f t="shared" si="1"/>
        <v>0.158591433392512</v>
      </c>
    </row>
    <row r="18" ht="25" customHeight="1" spans="1:18">
      <c r="A18" s="111"/>
      <c r="B18" s="54">
        <v>36</v>
      </c>
      <c r="C18" s="59">
        <v>4.66174154884177</v>
      </c>
      <c r="D18" s="161">
        <v>0.418212136109112</v>
      </c>
      <c r="E18" s="146">
        <v>0.351669338204214</v>
      </c>
      <c r="F18" s="147">
        <v>-21.1230303559552</v>
      </c>
      <c r="G18" s="162">
        <v>10.1389246156869</v>
      </c>
      <c r="H18" s="59">
        <v>1.13200164611805</v>
      </c>
      <c r="I18" s="161">
        <v>10.2996632996633</v>
      </c>
      <c r="J18" s="146">
        <v>10.9713804713805</v>
      </c>
      <c r="K18" s="147">
        <v>10.0011223344557</v>
      </c>
      <c r="L18" s="162">
        <v>10.7474747474747</v>
      </c>
      <c r="M18" s="59">
        <f t="shared" si="3"/>
        <v>10.5049102132435</v>
      </c>
      <c r="N18" s="163"/>
      <c r="O18" s="164"/>
      <c r="R18" s="22">
        <f t="shared" si="1"/>
        <v>0.12367132343299</v>
      </c>
    </row>
    <row r="19" ht="25" customHeight="1" spans="1:18">
      <c r="A19" s="111"/>
      <c r="B19" s="54">
        <v>39</v>
      </c>
      <c r="C19" s="59">
        <v>4.56832810462159</v>
      </c>
      <c r="D19" s="161">
        <v>0.416677871184918</v>
      </c>
      <c r="E19" s="146">
        <v>0.34844810002651</v>
      </c>
      <c r="F19" s="147">
        <v>-21.4933309330614</v>
      </c>
      <c r="G19" s="162">
        <v>10.192037738067</v>
      </c>
      <c r="H19" s="59">
        <v>1.12992329148895</v>
      </c>
      <c r="I19" s="161">
        <v>10.523569023569</v>
      </c>
      <c r="J19" s="146">
        <v>10.2996632996633</v>
      </c>
      <c r="K19" s="147">
        <v>10.1503928170595</v>
      </c>
      <c r="L19" s="162">
        <v>10.7474747474747</v>
      </c>
      <c r="M19" s="59">
        <f t="shared" si="3"/>
        <v>10.4302749719416</v>
      </c>
      <c r="N19" s="163"/>
      <c r="O19" s="164"/>
      <c r="R19" s="22">
        <f t="shared" si="1"/>
        <v>0.121416078412085</v>
      </c>
    </row>
    <row r="20" ht="25" customHeight="1" spans="1:18">
      <c r="A20" s="111"/>
      <c r="B20" s="54" t="s">
        <v>38</v>
      </c>
      <c r="C20" s="59">
        <v>1.94120755421502</v>
      </c>
      <c r="D20" s="161">
        <v>1.00014757501267</v>
      </c>
      <c r="E20" s="146">
        <v>0.18248599114776</v>
      </c>
      <c r="F20" s="147">
        <v>-14.2504330683497</v>
      </c>
      <c r="G20" s="162">
        <v>11.0154936145945</v>
      </c>
      <c r="H20" s="59">
        <v>1.75057525713118</v>
      </c>
      <c r="I20" s="161">
        <v>21.993265993266</v>
      </c>
      <c r="J20" s="146" t="s">
        <v>19</v>
      </c>
      <c r="K20" s="147" t="s">
        <v>19</v>
      </c>
      <c r="L20" s="162">
        <v>19.8249158249158</v>
      </c>
      <c r="M20" s="59">
        <f>(I20+L20)/2</f>
        <v>20.9090909090909</v>
      </c>
      <c r="N20" s="163"/>
      <c r="O20" s="164"/>
      <c r="R20" s="22">
        <f t="shared" si="1"/>
        <v>0.0333011369651803</v>
      </c>
    </row>
    <row r="21" ht="25" customHeight="1" spans="1:18">
      <c r="A21" s="111"/>
      <c r="B21" s="54" t="s">
        <v>39</v>
      </c>
      <c r="C21" s="59">
        <v>178.247940366661</v>
      </c>
      <c r="D21" s="161">
        <v>0.979884093365531</v>
      </c>
      <c r="E21" s="146">
        <v>1.75763280241481</v>
      </c>
      <c r="F21" s="147">
        <v>-95.4574380371422</v>
      </c>
      <c r="G21" s="162">
        <v>9.04189162333139</v>
      </c>
      <c r="H21" s="59">
        <v>1.73275075410634</v>
      </c>
      <c r="I21" s="161" t="s">
        <v>19</v>
      </c>
      <c r="J21" s="146" t="s">
        <v>19</v>
      </c>
      <c r="K21" s="147" t="s">
        <v>19</v>
      </c>
      <c r="L21" s="162" t="s">
        <v>19</v>
      </c>
      <c r="M21" s="59" t="s">
        <v>19</v>
      </c>
      <c r="N21" s="163" t="s">
        <v>51</v>
      </c>
      <c r="O21" s="164"/>
      <c r="R21" s="22">
        <f t="shared" si="1"/>
        <v>3.08927306812454</v>
      </c>
    </row>
    <row r="22" ht="25" customHeight="1" spans="1:18">
      <c r="A22" s="111"/>
      <c r="B22" s="54" t="s">
        <v>42</v>
      </c>
      <c r="C22" s="59">
        <v>8.62359644306662</v>
      </c>
      <c r="D22" s="161">
        <v>1.18360059169457</v>
      </c>
      <c r="E22" s="146">
        <v>0.368767369066553</v>
      </c>
      <c r="F22" s="147">
        <v>-9.5297995869277</v>
      </c>
      <c r="G22" s="162">
        <v>10.2311976738908</v>
      </c>
      <c r="H22" s="59">
        <v>1.90436999185702</v>
      </c>
      <c r="I22" s="161">
        <v>24.4444444444445</v>
      </c>
      <c r="J22" s="146" t="s">
        <v>19</v>
      </c>
      <c r="K22" s="147">
        <v>23.5555555555556</v>
      </c>
      <c r="L22" s="162">
        <v>22.2222222222222</v>
      </c>
      <c r="M22" s="59">
        <f>(I22+K22+L22)/3</f>
        <v>23.4074074074074</v>
      </c>
      <c r="N22" s="163" t="s">
        <v>43</v>
      </c>
      <c r="O22" s="164"/>
      <c r="R22" s="22">
        <f t="shared" si="1"/>
        <v>0.135989372488267</v>
      </c>
    </row>
    <row r="23" ht="25" customHeight="1" spans="1:18">
      <c r="A23" s="111"/>
      <c r="B23" s="54" t="s">
        <v>44</v>
      </c>
      <c r="C23" s="59">
        <v>8.83083002573664</v>
      </c>
      <c r="D23" s="161">
        <v>1.32687210206821</v>
      </c>
      <c r="E23" s="146">
        <v>0.362662844019943</v>
      </c>
      <c r="F23" s="147">
        <v>-15.8177025636706</v>
      </c>
      <c r="G23" s="162">
        <v>11.285341625366</v>
      </c>
      <c r="H23" s="59">
        <v>2.01633771782216</v>
      </c>
      <c r="I23" s="161">
        <v>29.7979797979798</v>
      </c>
      <c r="J23" s="146" t="s">
        <v>19</v>
      </c>
      <c r="K23" s="147">
        <v>24.2424242424242</v>
      </c>
      <c r="L23" s="162" t="s">
        <v>19</v>
      </c>
      <c r="M23" s="59">
        <f>(I23+K23)/2</f>
        <v>27.020202020202</v>
      </c>
      <c r="N23" s="163" t="s">
        <v>43</v>
      </c>
      <c r="O23" s="164"/>
      <c r="R23" s="22">
        <f t="shared" si="1"/>
        <v>0.131524338432633</v>
      </c>
    </row>
    <row r="24" ht="25" customHeight="1" spans="1:18">
      <c r="A24" s="115"/>
      <c r="B24" s="54" t="s">
        <v>45</v>
      </c>
      <c r="C24" s="59">
        <v>14.6281521149292</v>
      </c>
      <c r="D24" s="161">
        <v>1.5332695470254</v>
      </c>
      <c r="E24" s="146">
        <v>0.450193968613005</v>
      </c>
      <c r="F24" s="147">
        <v>-2.57509198377522</v>
      </c>
      <c r="G24" s="162">
        <v>8.44410816909724</v>
      </c>
      <c r="H24" s="59">
        <v>2.16749446777331</v>
      </c>
      <c r="I24" s="161" t="s">
        <v>19</v>
      </c>
      <c r="J24" s="146" t="s">
        <v>19</v>
      </c>
      <c r="K24" s="147">
        <v>26.3299663299663</v>
      </c>
      <c r="L24" s="162" t="s">
        <v>19</v>
      </c>
      <c r="M24" s="59">
        <f>K24</f>
        <v>26.3299663299663</v>
      </c>
      <c r="N24" s="163" t="s">
        <v>43</v>
      </c>
      <c r="O24" s="164"/>
      <c r="R24" s="22">
        <f t="shared" si="1"/>
        <v>0.202674609375527</v>
      </c>
    </row>
    <row r="25" ht="25" customHeight="1" spans="1:18">
      <c r="A25" s="150" t="s">
        <v>52</v>
      </c>
      <c r="B25" s="80">
        <v>27</v>
      </c>
      <c r="C25" s="59">
        <v>7.69037675861192</v>
      </c>
      <c r="D25" s="161">
        <v>0.445732181881542</v>
      </c>
      <c r="E25" s="146">
        <v>0.444544126461706</v>
      </c>
      <c r="F25" s="147">
        <v>-28.0286398967497</v>
      </c>
      <c r="G25" s="162">
        <v>10.2668883765643</v>
      </c>
      <c r="H25" s="59">
        <v>1.16865343065144</v>
      </c>
      <c r="I25" s="161">
        <v>10.6026936026936</v>
      </c>
      <c r="J25" s="146">
        <v>10.3771043771044</v>
      </c>
      <c r="K25" s="147">
        <v>10.2267115600449</v>
      </c>
      <c r="L25" s="162">
        <v>9.47474747474748</v>
      </c>
      <c r="M25" s="59">
        <f>(I25+J25+K25+L25)/4</f>
        <v>10.1703142536476</v>
      </c>
      <c r="N25" s="163" t="s">
        <v>27</v>
      </c>
      <c r="R25" s="22">
        <f t="shared" si="1"/>
        <v>0.197619480371601</v>
      </c>
    </row>
    <row r="26" ht="25" customHeight="1" spans="1:18">
      <c r="A26" s="169"/>
      <c r="B26" s="80">
        <v>28</v>
      </c>
      <c r="C26" s="59">
        <v>7.69950460135053</v>
      </c>
      <c r="D26" s="161">
        <v>0.443955199475204</v>
      </c>
      <c r="E26" s="146">
        <v>0.445252299123823</v>
      </c>
      <c r="F26" s="147">
        <v>-28.9981318410377</v>
      </c>
      <c r="G26" s="162">
        <v>10.1710669934562</v>
      </c>
      <c r="H26" s="59">
        <v>1.16632159265942</v>
      </c>
      <c r="I26" s="161">
        <v>10.5454545454545</v>
      </c>
      <c r="J26" s="146">
        <v>10.2272727272727</v>
      </c>
      <c r="K26" s="147">
        <v>10</v>
      </c>
      <c r="L26" s="162">
        <v>10.3636363636364</v>
      </c>
      <c r="M26" s="59">
        <f>(I26+J26+K26+L26)/4</f>
        <v>10.2840909090909</v>
      </c>
      <c r="N26" s="163" t="s">
        <v>28</v>
      </c>
      <c r="R26" s="22">
        <f t="shared" si="1"/>
        <v>0.19824960987505</v>
      </c>
    </row>
    <row r="27" ht="25" customHeight="1" spans="1:18">
      <c r="A27" s="169"/>
      <c r="B27" s="80">
        <v>29</v>
      </c>
      <c r="C27" s="59">
        <v>7.86247414606915</v>
      </c>
      <c r="D27" s="161">
        <v>0.469839152509598</v>
      </c>
      <c r="E27" s="146">
        <v>0.44361056425456</v>
      </c>
      <c r="F27" s="147">
        <v>-30.1941618588336</v>
      </c>
      <c r="G27" s="162">
        <v>9.97420515007628</v>
      </c>
      <c r="H27" s="59">
        <v>1.19984002384025</v>
      </c>
      <c r="I27" s="161">
        <v>10.3030303030303</v>
      </c>
      <c r="J27" s="146">
        <v>10.4461279461279</v>
      </c>
      <c r="K27" s="147">
        <v>10.4461279461279</v>
      </c>
      <c r="L27" s="162">
        <v>9.92143658810325</v>
      </c>
      <c r="M27" s="59">
        <f>(I27+J27+K27+L27)/4</f>
        <v>10.2791806958473</v>
      </c>
      <c r="N27" s="163" t="s">
        <v>29</v>
      </c>
      <c r="R27" s="22">
        <f t="shared" si="1"/>
        <v>0.196790332718249</v>
      </c>
    </row>
    <row r="28" ht="25" customHeight="1" spans="1:18">
      <c r="A28" s="170"/>
      <c r="B28" s="80">
        <v>30</v>
      </c>
      <c r="C28" s="59">
        <v>7.56542980958466</v>
      </c>
      <c r="D28" s="161">
        <v>0.436039367418488</v>
      </c>
      <c r="E28" s="146">
        <v>0.443348194180834</v>
      </c>
      <c r="F28" s="147">
        <v>-29.1367464292118</v>
      </c>
      <c r="G28" s="162">
        <v>10.2853428196793</v>
      </c>
      <c r="H28" s="59">
        <v>1.15587692288015</v>
      </c>
      <c r="I28" s="161">
        <v>10.2760942760943</v>
      </c>
      <c r="J28" s="146">
        <v>10.2760942760943</v>
      </c>
      <c r="K28" s="147">
        <v>10.2760942760943</v>
      </c>
      <c r="L28" s="162">
        <v>9.66442199775533</v>
      </c>
      <c r="M28" s="59">
        <f>(I28+J28+K28+L28)/4</f>
        <v>10.1231762065096</v>
      </c>
      <c r="N28" s="163" t="s">
        <v>27</v>
      </c>
      <c r="R28" s="22">
        <f t="shared" si="1"/>
        <v>0.196557621283406</v>
      </c>
    </row>
    <row r="29" ht="25" customHeight="1" spans="1:18">
      <c r="A29" s="85" t="s">
        <v>53</v>
      </c>
      <c r="B29" s="85">
        <v>12</v>
      </c>
      <c r="C29" s="59">
        <v>0.737000045223119</v>
      </c>
      <c r="D29" s="161">
        <v>0.574051514214897</v>
      </c>
      <c r="E29" s="146">
        <v>0.129183071561122</v>
      </c>
      <c r="F29" s="147">
        <v>-7.57144284928918</v>
      </c>
      <c r="G29" s="162" t="s">
        <v>19</v>
      </c>
      <c r="H29" s="59">
        <v>1.32624627183222</v>
      </c>
      <c r="I29" s="161" t="s">
        <v>19</v>
      </c>
      <c r="J29" s="146" t="s">
        <v>19</v>
      </c>
      <c r="K29" s="147" t="s">
        <v>19</v>
      </c>
      <c r="L29" s="162" t="s">
        <v>19</v>
      </c>
      <c r="M29" s="59" t="s">
        <v>19</v>
      </c>
      <c r="N29" s="163" t="s">
        <v>54</v>
      </c>
      <c r="O29" s="154"/>
      <c r="R29" s="22">
        <f t="shared" si="1"/>
        <v>0.016688265977966</v>
      </c>
    </row>
    <row r="30" ht="25" customHeight="1" spans="1:18">
      <c r="A30" s="85"/>
      <c r="B30" s="85">
        <v>13</v>
      </c>
      <c r="C30" s="59">
        <v>1.08025999388268</v>
      </c>
      <c r="D30" s="161">
        <v>0.580369543539818</v>
      </c>
      <c r="E30" s="146">
        <v>0.155972329643723</v>
      </c>
      <c r="F30" s="147">
        <v>-8.83349254780775</v>
      </c>
      <c r="G30" s="162" t="s">
        <v>19</v>
      </c>
      <c r="H30" s="59">
        <v>1.33352465454805</v>
      </c>
      <c r="I30" s="161" t="s">
        <v>19</v>
      </c>
      <c r="J30" s="146" t="s">
        <v>19</v>
      </c>
      <c r="K30" s="147" t="s">
        <v>19</v>
      </c>
      <c r="L30" s="162" t="s">
        <v>19</v>
      </c>
      <c r="M30" s="59" t="s">
        <v>19</v>
      </c>
      <c r="N30" s="163" t="s">
        <v>55</v>
      </c>
      <c r="O30" s="154"/>
      <c r="R30" s="22">
        <f t="shared" si="1"/>
        <v>0.0243273676144902</v>
      </c>
    </row>
    <row r="31" ht="25" customHeight="1" spans="1:18">
      <c r="A31" s="85"/>
      <c r="B31" s="85">
        <v>14</v>
      </c>
      <c r="C31" s="59">
        <v>1.03878925602034</v>
      </c>
      <c r="D31" s="161">
        <v>0.586544564649016</v>
      </c>
      <c r="E31" s="146">
        <v>0.152545020932436</v>
      </c>
      <c r="F31" s="147">
        <v>-7.89006587958481</v>
      </c>
      <c r="G31" s="162" t="s">
        <v>19</v>
      </c>
      <c r="H31" s="59">
        <v>1.34060010780647</v>
      </c>
      <c r="I31" s="161" t="s">
        <v>19</v>
      </c>
      <c r="J31" s="146" t="s">
        <v>19</v>
      </c>
      <c r="K31" s="147" t="s">
        <v>19</v>
      </c>
      <c r="L31" s="162" t="s">
        <v>19</v>
      </c>
      <c r="M31" s="59" t="s">
        <v>19</v>
      </c>
      <c r="N31" s="163" t="s">
        <v>54</v>
      </c>
      <c r="O31" s="154"/>
      <c r="R31" s="22">
        <f t="shared" si="1"/>
        <v>0.0232699834112773</v>
      </c>
    </row>
    <row r="32" ht="25" customHeight="1" spans="1:18">
      <c r="A32" s="85"/>
      <c r="B32" s="85">
        <v>15</v>
      </c>
      <c r="C32" s="59">
        <v>1.0060755069055</v>
      </c>
      <c r="D32" s="161">
        <v>0.591917025411693</v>
      </c>
      <c r="E32" s="146">
        <v>0.149782007149404</v>
      </c>
      <c r="F32" s="147">
        <v>-7.01835498544799</v>
      </c>
      <c r="G32" s="162" t="s">
        <v>19</v>
      </c>
      <c r="H32" s="59">
        <v>1.34672573284728</v>
      </c>
      <c r="I32" s="161" t="s">
        <v>19</v>
      </c>
      <c r="J32" s="146" t="s">
        <v>19</v>
      </c>
      <c r="K32" s="147" t="s">
        <v>19</v>
      </c>
      <c r="L32" s="162" t="s">
        <v>19</v>
      </c>
      <c r="M32" s="59" t="s">
        <v>19</v>
      </c>
      <c r="N32" s="163" t="s">
        <v>54</v>
      </c>
      <c r="O32" s="154"/>
      <c r="R32" s="22">
        <f t="shared" si="1"/>
        <v>0.0224346496657041</v>
      </c>
    </row>
    <row r="33" ht="25" customHeight="1" spans="1:18">
      <c r="A33" s="85"/>
      <c r="B33" s="85">
        <v>16</v>
      </c>
      <c r="C33" s="59">
        <v>1.27441235277601</v>
      </c>
      <c r="D33" s="161">
        <v>0.61325145443294</v>
      </c>
      <c r="E33" s="146">
        <v>0.167091710704399</v>
      </c>
      <c r="F33" s="147">
        <v>-9.21100308592932</v>
      </c>
      <c r="G33" s="162" t="s">
        <v>19</v>
      </c>
      <c r="H33" s="59">
        <v>1.37078087352064</v>
      </c>
      <c r="I33" s="161" t="s">
        <v>19</v>
      </c>
      <c r="J33" s="146" t="s">
        <v>19</v>
      </c>
      <c r="K33" s="147" t="s">
        <v>19</v>
      </c>
      <c r="L33" s="162" t="s">
        <v>19</v>
      </c>
      <c r="M33" s="59" t="s">
        <v>19</v>
      </c>
      <c r="N33" s="163" t="s">
        <v>54</v>
      </c>
      <c r="O33" s="154"/>
      <c r="R33" s="22">
        <f t="shared" si="1"/>
        <v>0.0279196397861226</v>
      </c>
    </row>
    <row r="34" ht="25" customHeight="1" spans="1:18">
      <c r="A34" s="85"/>
      <c r="B34" s="85">
        <v>18</v>
      </c>
      <c r="C34" s="59">
        <v>3.29355993674051</v>
      </c>
      <c r="D34" s="161">
        <v>0.418071990388449</v>
      </c>
      <c r="E34" s="146">
        <v>0.295617121278977</v>
      </c>
      <c r="F34" s="147">
        <v>-20.7263391576132</v>
      </c>
      <c r="G34" s="162" t="s">
        <v>19</v>
      </c>
      <c r="H34" s="59">
        <v>1.1318119595143</v>
      </c>
      <c r="I34" s="161" t="s">
        <v>19</v>
      </c>
      <c r="J34" s="146" t="s">
        <v>19</v>
      </c>
      <c r="K34" s="147" t="s">
        <v>19</v>
      </c>
      <c r="L34" s="162" t="s">
        <v>19</v>
      </c>
      <c r="M34" s="59" t="s">
        <v>19</v>
      </c>
      <c r="N34" s="163" t="s">
        <v>56</v>
      </c>
      <c r="O34" s="154"/>
      <c r="R34" s="22">
        <f>E41*E41</f>
        <v>0.0467006315173389</v>
      </c>
    </row>
    <row r="35" ht="25" customHeight="1" spans="1:18">
      <c r="A35" s="85"/>
      <c r="B35" s="85">
        <v>19</v>
      </c>
      <c r="C35" s="59">
        <v>3.11344258633125</v>
      </c>
      <c r="D35" s="161">
        <v>0.415360856842579</v>
      </c>
      <c r="E35" s="146">
        <v>0.287888028098087</v>
      </c>
      <c r="F35" s="147">
        <v>-19.2900540969776</v>
      </c>
      <c r="G35" s="162" t="s">
        <v>19</v>
      </c>
      <c r="H35" s="59">
        <v>1.12813617601754</v>
      </c>
      <c r="I35" s="161" t="s">
        <v>19</v>
      </c>
      <c r="J35" s="146" t="s">
        <v>19</v>
      </c>
      <c r="K35" s="147" t="s">
        <v>19</v>
      </c>
      <c r="L35" s="162" t="s">
        <v>19</v>
      </c>
      <c r="M35" s="59" t="s">
        <v>19</v>
      </c>
      <c r="N35" s="166"/>
      <c r="O35" s="154"/>
      <c r="R35" s="22">
        <f t="shared" ref="R35:R41" si="4">E34*E34</f>
        <v>0.0873894823932694</v>
      </c>
    </row>
    <row r="36" ht="25" customHeight="1" spans="1:18">
      <c r="A36" s="85"/>
      <c r="B36" s="85">
        <v>20</v>
      </c>
      <c r="C36" s="59">
        <v>1.29273048915119</v>
      </c>
      <c r="D36" s="161">
        <v>0.424381805432479</v>
      </c>
      <c r="E36" s="146">
        <v>0.184511896519853</v>
      </c>
      <c r="F36" s="147">
        <v>-17.4543543381341</v>
      </c>
      <c r="G36" s="162" t="s">
        <v>19</v>
      </c>
      <c r="H36" s="59">
        <v>1.14032099576215</v>
      </c>
      <c r="I36" s="161" t="s">
        <v>19</v>
      </c>
      <c r="J36" s="146" t="s">
        <v>19</v>
      </c>
      <c r="K36" s="147" t="s">
        <v>19</v>
      </c>
      <c r="L36" s="162" t="s">
        <v>19</v>
      </c>
      <c r="M36" s="59" t="s">
        <v>19</v>
      </c>
      <c r="N36" s="166"/>
      <c r="O36" s="154"/>
      <c r="R36" s="22">
        <f t="shared" si="4"/>
        <v>0.0828795167222049</v>
      </c>
    </row>
    <row r="37" ht="25" customHeight="1" spans="1:18">
      <c r="A37" s="85"/>
      <c r="B37" s="85" t="s">
        <v>22</v>
      </c>
      <c r="C37" s="59">
        <v>3.24238242509081</v>
      </c>
      <c r="D37" s="161">
        <v>0.428876440961332</v>
      </c>
      <c r="E37" s="146">
        <v>0.291446360752799</v>
      </c>
      <c r="F37" s="147">
        <v>-22.089827242945</v>
      </c>
      <c r="G37" s="162" t="s">
        <v>19</v>
      </c>
      <c r="H37" s="59">
        <v>1.14634367154445</v>
      </c>
      <c r="I37" s="161" t="s">
        <v>19</v>
      </c>
      <c r="J37" s="146" t="s">
        <v>19</v>
      </c>
      <c r="K37" s="147" t="s">
        <v>19</v>
      </c>
      <c r="L37" s="162" t="s">
        <v>19</v>
      </c>
      <c r="M37" s="59" t="s">
        <v>19</v>
      </c>
      <c r="N37" s="163" t="s">
        <v>23</v>
      </c>
      <c r="O37" s="154"/>
      <c r="R37" s="22">
        <f t="shared" si="4"/>
        <v>0.0340446399573529</v>
      </c>
    </row>
    <row r="38" ht="25" customHeight="1" spans="1:18">
      <c r="A38" s="85"/>
      <c r="B38" s="85" t="s">
        <v>24</v>
      </c>
      <c r="C38" s="59">
        <v>1.50631859753767</v>
      </c>
      <c r="D38" s="161">
        <v>0.436877102545358</v>
      </c>
      <c r="E38" s="146">
        <v>0.197732548640575</v>
      </c>
      <c r="F38" s="147">
        <v>-16.2212153530235</v>
      </c>
      <c r="G38" s="162" t="s">
        <v>19</v>
      </c>
      <c r="H38" s="59">
        <v>1.1569867470459</v>
      </c>
      <c r="I38" s="161" t="s">
        <v>19</v>
      </c>
      <c r="J38" s="146" t="s">
        <v>19</v>
      </c>
      <c r="K38" s="147" t="s">
        <v>19</v>
      </c>
      <c r="L38" s="162" t="s">
        <v>19</v>
      </c>
      <c r="M38" s="59" t="s">
        <v>19</v>
      </c>
      <c r="N38" s="163"/>
      <c r="O38" s="154"/>
      <c r="R38" s="22">
        <f t="shared" si="4"/>
        <v>0.0849409811960507</v>
      </c>
    </row>
    <row r="39" ht="25" customHeight="1" spans="1:18">
      <c r="A39" s="85"/>
      <c r="B39" s="85">
        <v>22</v>
      </c>
      <c r="C39" s="59">
        <v>5.61605395547511</v>
      </c>
      <c r="D39" s="161">
        <v>0.395622977201357</v>
      </c>
      <c r="E39" s="146">
        <v>0.39138558386936</v>
      </c>
      <c r="F39" s="147">
        <v>-31.321014111829</v>
      </c>
      <c r="G39" s="162" t="s">
        <v>19</v>
      </c>
      <c r="H39" s="59">
        <v>1.101005519293</v>
      </c>
      <c r="I39" s="161" t="s">
        <v>19</v>
      </c>
      <c r="J39" s="146" t="s">
        <v>19</v>
      </c>
      <c r="K39" s="147" t="s">
        <v>19</v>
      </c>
      <c r="L39" s="162" t="s">
        <v>19</v>
      </c>
      <c r="M39" s="59" t="s">
        <v>19</v>
      </c>
      <c r="N39" s="163" t="s">
        <v>21</v>
      </c>
      <c r="O39" s="154"/>
      <c r="R39" s="22">
        <f t="shared" si="4"/>
        <v>0.0390981607918974</v>
      </c>
    </row>
    <row r="40" ht="25" customHeight="1" spans="1:18">
      <c r="A40" s="85"/>
      <c r="B40" s="85">
        <v>40</v>
      </c>
      <c r="C40" s="59">
        <v>4.31177838664525</v>
      </c>
      <c r="D40" s="161">
        <v>0.426572312942997</v>
      </c>
      <c r="E40" s="146">
        <v>0.33654226678617</v>
      </c>
      <c r="F40" s="147">
        <v>-21.0228869351141</v>
      </c>
      <c r="G40" s="162" t="s">
        <v>19</v>
      </c>
      <c r="H40" s="59">
        <v>1.14326017302198</v>
      </c>
      <c r="I40" s="161" t="s">
        <v>19</v>
      </c>
      <c r="J40" s="146" t="s">
        <v>19</v>
      </c>
      <c r="K40" s="147" t="s">
        <v>19</v>
      </c>
      <c r="L40" s="162" t="s">
        <v>19</v>
      </c>
      <c r="M40" s="59" t="s">
        <v>19</v>
      </c>
      <c r="N40" s="163" t="s">
        <v>35</v>
      </c>
      <c r="O40" s="154"/>
      <c r="R40" s="22">
        <f t="shared" si="4"/>
        <v>0.15318267526076</v>
      </c>
    </row>
    <row r="41" ht="25" customHeight="1" spans="1:18">
      <c r="A41" s="171" t="s">
        <v>57</v>
      </c>
      <c r="B41" s="171">
        <v>17</v>
      </c>
      <c r="C41" s="59">
        <v>1.70034954141784</v>
      </c>
      <c r="D41" s="161">
        <v>0.390183746158184</v>
      </c>
      <c r="E41" s="146">
        <v>0.216103289001669</v>
      </c>
      <c r="F41" s="147" t="s">
        <v>19</v>
      </c>
      <c r="G41" s="162" t="s">
        <v>19</v>
      </c>
      <c r="H41" s="59">
        <v>1.09341072557482</v>
      </c>
      <c r="I41" s="161" t="s">
        <v>19</v>
      </c>
      <c r="J41" s="146" t="s">
        <v>19</v>
      </c>
      <c r="K41" s="147" t="s">
        <v>19</v>
      </c>
      <c r="L41" s="162" t="s">
        <v>19</v>
      </c>
      <c r="M41" s="59" t="s">
        <v>19</v>
      </c>
      <c r="N41" s="163" t="s">
        <v>20</v>
      </c>
      <c r="O41" s="154"/>
      <c r="R41" s="22">
        <f t="shared" si="4"/>
        <v>0.113260697333574</v>
      </c>
    </row>
    <row r="42" ht="25" customHeight="1" spans="1:18">
      <c r="A42" s="171"/>
      <c r="B42" s="171">
        <v>24</v>
      </c>
      <c r="C42" s="59">
        <v>7.28025512609708</v>
      </c>
      <c r="D42" s="161">
        <v>0.438013009476011</v>
      </c>
      <c r="E42" s="146">
        <v>0.434421302012416</v>
      </c>
      <c r="F42" s="147">
        <v>-29.0669323349156</v>
      </c>
      <c r="G42" s="162" t="s">
        <v>19</v>
      </c>
      <c r="H42" s="59">
        <v>1.15848988842918</v>
      </c>
      <c r="I42" s="161" t="s">
        <v>19</v>
      </c>
      <c r="J42" s="146" t="s">
        <v>19</v>
      </c>
      <c r="K42" s="147" t="s">
        <v>19</v>
      </c>
      <c r="L42" s="162" t="s">
        <v>19</v>
      </c>
      <c r="M42" s="59" t="s">
        <v>19</v>
      </c>
      <c r="N42" s="165" t="s">
        <v>58</v>
      </c>
      <c r="O42" s="154"/>
      <c r="R42" s="22">
        <f t="shared" si="1"/>
        <v>0.188721867642163</v>
      </c>
    </row>
    <row r="43" ht="25" customHeight="1" spans="1:18">
      <c r="A43" s="171"/>
      <c r="B43" s="171">
        <v>25</v>
      </c>
      <c r="C43" s="59">
        <v>7.23509389841052</v>
      </c>
      <c r="D43" s="161">
        <v>0.456030779017484</v>
      </c>
      <c r="E43" s="146">
        <v>0.428729248751949</v>
      </c>
      <c r="F43" s="147">
        <v>-28.956501806821</v>
      </c>
      <c r="G43" s="162" t="s">
        <v>19</v>
      </c>
      <c r="H43" s="59">
        <v>1.18207714490075</v>
      </c>
      <c r="I43" s="161" t="s">
        <v>19</v>
      </c>
      <c r="J43" s="146" t="s">
        <v>19</v>
      </c>
      <c r="K43" s="147" t="s">
        <v>19</v>
      </c>
      <c r="L43" s="162" t="s">
        <v>19</v>
      </c>
      <c r="M43" s="59" t="s">
        <v>19</v>
      </c>
      <c r="N43" s="165"/>
      <c r="O43" s="154"/>
      <c r="R43" s="22">
        <f t="shared" si="1"/>
        <v>0.183808768735411</v>
      </c>
    </row>
    <row r="44" ht="25" customHeight="1" spans="1:18">
      <c r="A44" s="171"/>
      <c r="B44" s="171">
        <v>26</v>
      </c>
      <c r="C44" s="59">
        <v>7.22221331908127</v>
      </c>
      <c r="D44" s="161">
        <v>0.451529814859205</v>
      </c>
      <c r="E44" s="146">
        <v>0.429410948981545</v>
      </c>
      <c r="F44" s="147">
        <v>-29.5445184707007</v>
      </c>
      <c r="G44" s="162" t="s">
        <v>19</v>
      </c>
      <c r="H44" s="59">
        <v>1.17622920609573</v>
      </c>
      <c r="I44" s="161" t="s">
        <v>19</v>
      </c>
      <c r="J44" s="146" t="s">
        <v>19</v>
      </c>
      <c r="K44" s="147" t="s">
        <v>19</v>
      </c>
      <c r="L44" s="162" t="s">
        <v>19</v>
      </c>
      <c r="M44" s="59" t="s">
        <v>19</v>
      </c>
      <c r="N44" s="165" t="s">
        <v>59</v>
      </c>
      <c r="O44" s="164"/>
      <c r="R44" s="22">
        <f t="shared" si="1"/>
        <v>0.184393763105231</v>
      </c>
    </row>
    <row r="45" ht="25" customHeight="1" spans="1:18">
      <c r="A45" s="171"/>
      <c r="B45" s="171">
        <v>31</v>
      </c>
      <c r="C45" s="59">
        <v>5.63088212202495</v>
      </c>
      <c r="D45" s="161">
        <v>0.397285805421424</v>
      </c>
      <c r="E45" s="146">
        <v>0.391491215646472</v>
      </c>
      <c r="F45" s="147">
        <v>-27.5015872864381</v>
      </c>
      <c r="G45" s="162" t="s">
        <v>19</v>
      </c>
      <c r="H45" s="59">
        <v>1.10331689080258</v>
      </c>
      <c r="I45" s="161" t="s">
        <v>19</v>
      </c>
      <c r="J45" s="146" t="s">
        <v>19</v>
      </c>
      <c r="K45" s="147" t="s">
        <v>19</v>
      </c>
      <c r="L45" s="162" t="s">
        <v>19</v>
      </c>
      <c r="M45" s="59" t="s">
        <v>19</v>
      </c>
      <c r="N45" s="163" t="s">
        <v>25</v>
      </c>
      <c r="O45" s="164"/>
      <c r="R45" s="22">
        <f t="shared" si="1"/>
        <v>0.153265371928352</v>
      </c>
    </row>
    <row r="46" ht="25" customHeight="1" spans="1:18">
      <c r="A46" s="171"/>
      <c r="B46" s="171">
        <v>32</v>
      </c>
      <c r="C46" s="59">
        <v>5.92032373975865</v>
      </c>
      <c r="D46" s="161">
        <v>0.423754166894697</v>
      </c>
      <c r="E46" s="146">
        <v>0.395006096345403</v>
      </c>
      <c r="F46" s="147">
        <v>-16.7691410433922</v>
      </c>
      <c r="G46" s="162" t="s">
        <v>19</v>
      </c>
      <c r="H46" s="59">
        <v>1.13947744614092</v>
      </c>
      <c r="I46" s="161" t="s">
        <v>19</v>
      </c>
      <c r="J46" s="146" t="s">
        <v>19</v>
      </c>
      <c r="K46" s="147" t="s">
        <v>19</v>
      </c>
      <c r="L46" s="162" t="s">
        <v>19</v>
      </c>
      <c r="M46" s="59" t="s">
        <v>19</v>
      </c>
      <c r="N46" s="163" t="s">
        <v>31</v>
      </c>
      <c r="O46" s="164"/>
      <c r="R46" s="22">
        <f t="shared" si="1"/>
        <v>0.156029816150034</v>
      </c>
    </row>
    <row r="47" ht="25" customHeight="1" spans="1:18">
      <c r="A47" s="171"/>
      <c r="B47" s="171">
        <v>33</v>
      </c>
      <c r="C47" s="59">
        <v>6.0013560467043</v>
      </c>
      <c r="D47" s="161">
        <v>0.418915468582771</v>
      </c>
      <c r="E47" s="146">
        <v>0.398843632763255</v>
      </c>
      <c r="F47" s="147">
        <v>-27.6032969792246</v>
      </c>
      <c r="G47" s="162" t="s">
        <v>19</v>
      </c>
      <c r="H47" s="59">
        <v>1.13295312383379</v>
      </c>
      <c r="I47" s="161" t="s">
        <v>19</v>
      </c>
      <c r="J47" s="146" t="s">
        <v>19</v>
      </c>
      <c r="K47" s="147" t="s">
        <v>19</v>
      </c>
      <c r="L47" s="162" t="s">
        <v>19</v>
      </c>
      <c r="M47" s="59" t="s">
        <v>19</v>
      </c>
      <c r="N47" s="163" t="s">
        <v>60</v>
      </c>
      <c r="O47" s="164"/>
      <c r="R47" s="22">
        <f t="shared" si="1"/>
        <v>0.15907624339579</v>
      </c>
    </row>
    <row r="48" ht="25" customHeight="1" spans="1:18">
      <c r="A48" s="171"/>
      <c r="B48" s="171">
        <v>37</v>
      </c>
      <c r="C48" s="59">
        <v>3.80799273229734</v>
      </c>
      <c r="D48" s="161">
        <v>0.413909757994026</v>
      </c>
      <c r="E48" s="146">
        <v>0.318662680570048</v>
      </c>
      <c r="F48" s="147">
        <v>-21.0076644753185</v>
      </c>
      <c r="G48" s="167" t="s">
        <v>34</v>
      </c>
      <c r="H48" s="59">
        <v>1.12616383153143</v>
      </c>
      <c r="I48" s="161" t="s">
        <v>19</v>
      </c>
      <c r="J48" s="146" t="s">
        <v>19</v>
      </c>
      <c r="K48" s="147" t="s">
        <v>19</v>
      </c>
      <c r="L48" s="162" t="s">
        <v>19</v>
      </c>
      <c r="M48" s="59" t="s">
        <v>19</v>
      </c>
      <c r="N48" s="163" t="s">
        <v>60</v>
      </c>
      <c r="O48" s="164"/>
      <c r="R48" s="22">
        <f t="shared" si="1"/>
        <v>0.101545903988088</v>
      </c>
    </row>
    <row r="49" ht="25" customHeight="1" spans="1:18">
      <c r="A49" s="171"/>
      <c r="B49" s="171">
        <v>38</v>
      </c>
      <c r="C49" s="59">
        <v>3.702166609112</v>
      </c>
      <c r="D49" s="161">
        <v>0.367893580223332</v>
      </c>
      <c r="E49" s="146">
        <v>0.323598867697246</v>
      </c>
      <c r="F49" s="147">
        <v>-19.8305564934459</v>
      </c>
      <c r="G49" s="162" t="s">
        <v>19</v>
      </c>
      <c r="H49" s="59">
        <v>1.06171963077562</v>
      </c>
      <c r="I49" s="161" t="s">
        <v>19</v>
      </c>
      <c r="J49" s="146" t="s">
        <v>19</v>
      </c>
      <c r="K49" s="147" t="s">
        <v>19</v>
      </c>
      <c r="L49" s="162" t="s">
        <v>19</v>
      </c>
      <c r="M49" s="59" t="s">
        <v>19</v>
      </c>
      <c r="N49" s="163" t="s">
        <v>31</v>
      </c>
      <c r="O49" s="164"/>
      <c r="R49" s="22">
        <f t="shared" si="1"/>
        <v>0.10471622717494</v>
      </c>
    </row>
    <row r="50" ht="25" customHeight="1" spans="1:18">
      <c r="A50" s="171"/>
      <c r="B50" s="171">
        <v>41</v>
      </c>
      <c r="C50" s="59">
        <v>5.03549833959357</v>
      </c>
      <c r="D50" s="161">
        <v>0.41313031539302</v>
      </c>
      <c r="E50" s="146">
        <v>0.366613985528432</v>
      </c>
      <c r="F50" s="147">
        <v>-21.8725491945285</v>
      </c>
      <c r="G50" s="162" t="s">
        <v>19</v>
      </c>
      <c r="H50" s="59">
        <v>1.12510297988399</v>
      </c>
      <c r="I50" s="161" t="s">
        <v>19</v>
      </c>
      <c r="J50" s="146" t="s">
        <v>19</v>
      </c>
      <c r="K50" s="147" t="s">
        <v>19</v>
      </c>
      <c r="L50" s="162" t="s">
        <v>19</v>
      </c>
      <c r="M50" s="59" t="s">
        <v>19</v>
      </c>
      <c r="N50" s="163" t="s">
        <v>25</v>
      </c>
      <c r="O50" s="164"/>
      <c r="R50" s="22">
        <f t="shared" si="1"/>
        <v>0.134405814385041</v>
      </c>
    </row>
    <row r="51" ht="25" customHeight="1" spans="1:18">
      <c r="A51" s="171"/>
      <c r="B51" s="171">
        <v>42</v>
      </c>
      <c r="C51" s="59">
        <v>5.09449537100696</v>
      </c>
      <c r="D51" s="161">
        <v>0.410812818982922</v>
      </c>
      <c r="E51" s="146">
        <v>0.369274360911998</v>
      </c>
      <c r="F51" s="147">
        <v>-22.4770707152993</v>
      </c>
      <c r="G51" s="162" t="s">
        <v>19</v>
      </c>
      <c r="H51" s="59">
        <v>1.12194285224198</v>
      </c>
      <c r="I51" s="161" t="s">
        <v>19</v>
      </c>
      <c r="J51" s="146" t="s">
        <v>19</v>
      </c>
      <c r="K51" s="147" t="s">
        <v>19</v>
      </c>
      <c r="L51" s="162" t="s">
        <v>19</v>
      </c>
      <c r="M51" s="59" t="s">
        <v>19</v>
      </c>
      <c r="N51" s="163" t="s">
        <v>31</v>
      </c>
      <c r="O51" s="164"/>
      <c r="R51" s="22">
        <f t="shared" si="1"/>
        <v>0.136363553626965</v>
      </c>
    </row>
    <row r="52" ht="25" customHeight="1" spans="1:18">
      <c r="A52" s="171"/>
      <c r="B52" s="171">
        <v>43</v>
      </c>
      <c r="C52" s="59">
        <v>4.97573202053187</v>
      </c>
      <c r="D52" s="161">
        <v>0.374971376419585</v>
      </c>
      <c r="E52" s="146">
        <v>0.373369233219633</v>
      </c>
      <c r="F52" s="147">
        <v>-25.6284967317138</v>
      </c>
      <c r="G52" s="162" t="s">
        <v>19</v>
      </c>
      <c r="H52" s="59">
        <v>1.07188403177389</v>
      </c>
      <c r="I52" s="161" t="s">
        <v>19</v>
      </c>
      <c r="J52" s="146" t="s">
        <v>19</v>
      </c>
      <c r="K52" s="147" t="s">
        <v>19</v>
      </c>
      <c r="L52" s="162" t="s">
        <v>19</v>
      </c>
      <c r="M52" s="59" t="s">
        <v>19</v>
      </c>
      <c r="N52" s="163" t="s">
        <v>61</v>
      </c>
      <c r="O52" s="164"/>
      <c r="R52" s="22">
        <f t="shared" si="1"/>
        <v>0.139404584315017</v>
      </c>
    </row>
  </sheetData>
  <mergeCells count="10">
    <mergeCell ref="A1:M1"/>
    <mergeCell ref="A2:B2"/>
    <mergeCell ref="C2:G2"/>
    <mergeCell ref="I2:M2"/>
    <mergeCell ref="A4:A24"/>
    <mergeCell ref="A25:A28"/>
    <mergeCell ref="A29:A40"/>
    <mergeCell ref="A41:A52"/>
    <mergeCell ref="N37:N38"/>
    <mergeCell ref="N42:N4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zoomScale="55" zoomScaleNormal="55" workbookViewId="0">
      <pane xSplit="2" ySplit="3" topLeftCell="C19" activePane="bottomRight" state="frozen"/>
      <selection/>
      <selection pane="topRight"/>
      <selection pane="bottomLeft"/>
      <selection pane="bottomRight" activeCell="B4" sqref="B4:B52"/>
    </sheetView>
  </sheetViews>
  <sheetFormatPr defaultColWidth="9" defaultRowHeight="13.8"/>
  <cols>
    <col min="1" max="13" width="17.0648148148148" style="22" customWidth="1"/>
    <col min="14" max="14" width="39.2037037037037" style="22" customWidth="1"/>
    <col min="15" max="21" width="17.0648148148148" style="22" customWidth="1"/>
    <col min="22" max="22" width="9" style="22"/>
    <col min="23" max="23" width="10" style="22"/>
    <col min="24" max="16384" width="9" style="22"/>
  </cols>
  <sheetData>
    <row r="1" ht="51" customHeight="1" spans="1:18">
      <c r="A1" s="151" t="s">
        <v>46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3" t="s">
        <v>1</v>
      </c>
      <c r="O1" s="154"/>
    </row>
    <row r="2" ht="25" customHeight="1" spans="1:18">
      <c r="A2" s="1"/>
      <c r="B2" s="16"/>
      <c r="C2" s="155" t="s">
        <v>2</v>
      </c>
      <c r="D2" s="155"/>
      <c r="E2" s="155"/>
      <c r="F2" s="155"/>
      <c r="G2" s="155"/>
      <c r="H2" s="155" t="s">
        <v>3</v>
      </c>
      <c r="I2" s="155" t="s">
        <v>4</v>
      </c>
      <c r="J2" s="155"/>
      <c r="K2" s="155"/>
      <c r="L2" s="155"/>
      <c r="M2" s="155"/>
      <c r="N2" s="156"/>
      <c r="O2" s="154"/>
    </row>
    <row r="3" ht="25" customHeight="1" spans="1:18">
      <c r="A3" s="93" t="s">
        <v>47</v>
      </c>
      <c r="B3" s="31" t="s">
        <v>5</v>
      </c>
      <c r="C3" s="157" t="s">
        <v>6</v>
      </c>
      <c r="D3" s="158" t="s">
        <v>48</v>
      </c>
      <c r="E3" s="159" t="s">
        <v>8</v>
      </c>
      <c r="F3" s="143" t="s">
        <v>9</v>
      </c>
      <c r="G3" s="31" t="s">
        <v>10</v>
      </c>
      <c r="H3" s="157" t="s">
        <v>11</v>
      </c>
      <c r="I3" s="158" t="s">
        <v>12</v>
      </c>
      <c r="J3" s="159" t="s">
        <v>13</v>
      </c>
      <c r="K3" s="143" t="s">
        <v>14</v>
      </c>
      <c r="L3" s="31" t="s">
        <v>15</v>
      </c>
      <c r="M3" s="157" t="s">
        <v>16</v>
      </c>
      <c r="N3" s="160"/>
      <c r="O3" s="154"/>
      <c r="R3" s="22" t="s">
        <v>18</v>
      </c>
    </row>
    <row r="4" ht="25" customHeight="1" spans="1:18">
      <c r="A4" s="110" t="s">
        <v>62</v>
      </c>
      <c r="B4" s="54">
        <v>1</v>
      </c>
      <c r="C4" s="59">
        <v>4.31752174806373</v>
      </c>
      <c r="D4" s="161">
        <v>0.79750520509743</v>
      </c>
      <c r="E4" s="146">
        <v>0.288000638960155</v>
      </c>
      <c r="F4" s="147">
        <v>-16.807789365467</v>
      </c>
      <c r="G4" s="162">
        <v>9.86828686451663</v>
      </c>
      <c r="H4" s="59">
        <v>1.56320345330512</v>
      </c>
      <c r="I4" s="161" t="s">
        <v>19</v>
      </c>
      <c r="J4" s="146">
        <v>16.8350168350168</v>
      </c>
      <c r="K4" s="147">
        <v>17.1717171717172</v>
      </c>
      <c r="L4" s="162" t="s">
        <v>19</v>
      </c>
      <c r="M4" s="59">
        <f t="shared" ref="M4:M7" si="0">(J4+K4)/2</f>
        <v>17.003367003367</v>
      </c>
      <c r="N4" s="160"/>
      <c r="R4" s="22">
        <f t="shared" ref="R4:R13" si="1">E4*E4</f>
        <v>0.0829443680414575</v>
      </c>
    </row>
    <row r="5" ht="25" customHeight="1" spans="1:18">
      <c r="A5" s="111"/>
      <c r="B5" s="54">
        <v>2</v>
      </c>
      <c r="C5" s="59">
        <v>4.80822821928159</v>
      </c>
      <c r="D5" s="161">
        <v>0.779148174460763</v>
      </c>
      <c r="E5" s="146">
        <v>0.305701160961114</v>
      </c>
      <c r="F5" s="147">
        <v>-19.5766426469007</v>
      </c>
      <c r="G5" s="162">
        <v>10.2936321473971</v>
      </c>
      <c r="H5" s="59">
        <v>1.54510775179051</v>
      </c>
      <c r="I5" s="161" t="s">
        <v>19</v>
      </c>
      <c r="J5" s="146">
        <v>16.8350168350168</v>
      </c>
      <c r="K5" s="147">
        <v>16.8350168350168</v>
      </c>
      <c r="L5" s="162" t="s">
        <v>19</v>
      </c>
      <c r="M5" s="59">
        <f t="shared" si="0"/>
        <v>16.8350168350168</v>
      </c>
      <c r="N5" s="160"/>
      <c r="R5" s="22">
        <f t="shared" si="1"/>
        <v>0.0934531998129729</v>
      </c>
    </row>
    <row r="6" ht="25" customHeight="1" spans="1:18">
      <c r="A6" s="111"/>
      <c r="B6" s="54">
        <v>3</v>
      </c>
      <c r="C6" s="59">
        <v>8.93635522960453</v>
      </c>
      <c r="D6" s="161">
        <v>0.886763852397773</v>
      </c>
      <c r="E6" s="146">
        <v>0.403494651772477</v>
      </c>
      <c r="F6" s="147">
        <v>-18.9839661928814</v>
      </c>
      <c r="G6" s="162">
        <v>10.5727604588363</v>
      </c>
      <c r="H6" s="59">
        <v>1.6483625286319</v>
      </c>
      <c r="I6" s="161" t="s">
        <v>19</v>
      </c>
      <c r="J6" s="146">
        <v>16.1616161616162</v>
      </c>
      <c r="K6" s="147">
        <v>16.8350168350168</v>
      </c>
      <c r="L6" s="162" t="s">
        <v>19</v>
      </c>
      <c r="M6" s="59">
        <f t="shared" si="0"/>
        <v>16.4983164983165</v>
      </c>
      <c r="N6" s="160"/>
      <c r="R6" s="22">
        <f t="shared" si="1"/>
        <v>0.162807934008992</v>
      </c>
    </row>
    <row r="7" ht="25" customHeight="1" spans="1:18">
      <c r="A7" s="111"/>
      <c r="B7" s="54">
        <v>4</v>
      </c>
      <c r="C7" s="59">
        <v>4.76368940944564</v>
      </c>
      <c r="D7" s="161">
        <v>0.733341372130511</v>
      </c>
      <c r="E7" s="146">
        <v>0.30892619704462</v>
      </c>
      <c r="F7" s="147">
        <v>-21.1321351458282</v>
      </c>
      <c r="G7" s="162">
        <v>10.1065120517512</v>
      </c>
      <c r="H7" s="59">
        <v>1.4990007014024</v>
      </c>
      <c r="I7" s="161" t="s">
        <v>19</v>
      </c>
      <c r="J7" s="146">
        <v>18.1818181818182</v>
      </c>
      <c r="K7" s="147">
        <v>16.1616161616162</v>
      </c>
      <c r="L7" s="162" t="s">
        <v>19</v>
      </c>
      <c r="M7" s="59">
        <f t="shared" si="0"/>
        <v>17.1717171717172</v>
      </c>
      <c r="N7" s="160"/>
      <c r="R7" s="22">
        <f t="shared" si="1"/>
        <v>0.0954353952204514</v>
      </c>
    </row>
    <row r="8" ht="25" customHeight="1" spans="1:18">
      <c r="A8" s="111"/>
      <c r="B8" s="54">
        <v>5</v>
      </c>
      <c r="C8" s="59">
        <v>6.7802800334411</v>
      </c>
      <c r="D8" s="161">
        <v>0.681334144104002</v>
      </c>
      <c r="E8" s="146">
        <v>0.375399200272031</v>
      </c>
      <c r="F8" s="147">
        <v>-14.2293116489042</v>
      </c>
      <c r="G8" s="162">
        <v>9.81549974232818</v>
      </c>
      <c r="H8" s="59">
        <v>1.44487015160013</v>
      </c>
      <c r="I8" s="161">
        <v>15.8181818181818</v>
      </c>
      <c r="J8" s="146">
        <v>15.2727272727273</v>
      </c>
      <c r="K8" s="147">
        <v>16.9090909090909</v>
      </c>
      <c r="L8" s="162">
        <v>16.0909090909091</v>
      </c>
      <c r="M8" s="59">
        <f t="shared" ref="M8:M13" si="2">(I8+J8+K8+L8)/4</f>
        <v>16.0227272727273</v>
      </c>
      <c r="N8" s="160"/>
      <c r="R8" s="22">
        <f t="shared" si="1"/>
        <v>0.14092455956488</v>
      </c>
    </row>
    <row r="9" ht="25" customHeight="1" spans="1:18">
      <c r="A9" s="111"/>
      <c r="B9" s="54">
        <v>6</v>
      </c>
      <c r="C9" s="59">
        <v>10.1333136929676</v>
      </c>
      <c r="D9" s="161">
        <v>0.672766376456891</v>
      </c>
      <c r="E9" s="146">
        <v>0.46038295904576</v>
      </c>
      <c r="F9" s="147">
        <v>-12.4653892243224</v>
      </c>
      <c r="G9" s="162">
        <v>9.37346227673995</v>
      </c>
      <c r="H9" s="59">
        <v>1.43575679958388</v>
      </c>
      <c r="I9" s="161">
        <v>16.5690235690236</v>
      </c>
      <c r="J9" s="146">
        <v>15.6734006734007</v>
      </c>
      <c r="K9" s="147">
        <v>14.7777777777778</v>
      </c>
      <c r="L9" s="162">
        <v>14.7777777777778</v>
      </c>
      <c r="M9" s="59">
        <f t="shared" si="2"/>
        <v>15.449494949495</v>
      </c>
      <c r="N9" s="160"/>
      <c r="R9" s="22">
        <f t="shared" si="1"/>
        <v>0.21195246897973</v>
      </c>
    </row>
    <row r="10" ht="25" customHeight="1" spans="1:18">
      <c r="A10" s="111"/>
      <c r="B10" s="54">
        <v>7</v>
      </c>
      <c r="C10" s="59">
        <v>5.80954011562317</v>
      </c>
      <c r="D10" s="161">
        <v>0.59124088873113</v>
      </c>
      <c r="E10" s="146">
        <v>0.360030528595507</v>
      </c>
      <c r="F10" s="147">
        <v>-15.3195421708314</v>
      </c>
      <c r="G10" s="162">
        <v>9.82587667279957</v>
      </c>
      <c r="H10" s="59">
        <v>1.3459563421992</v>
      </c>
      <c r="I10" s="161">
        <v>13.479797979798</v>
      </c>
      <c r="J10" s="146">
        <v>13.7441077441077</v>
      </c>
      <c r="K10" s="147">
        <v>13.7441077441077</v>
      </c>
      <c r="L10" s="162">
        <v>13.9203142536476</v>
      </c>
      <c r="M10" s="59">
        <f t="shared" si="2"/>
        <v>13.7220819304152</v>
      </c>
      <c r="N10" s="160"/>
      <c r="R10" s="22">
        <f t="shared" si="1"/>
        <v>0.12962198152076</v>
      </c>
    </row>
    <row r="11" ht="25" customHeight="1" spans="1:18">
      <c r="A11" s="111"/>
      <c r="B11" s="54">
        <v>8</v>
      </c>
      <c r="C11" s="59">
        <v>7.07388704903865</v>
      </c>
      <c r="D11" s="161">
        <v>0.695838407865019</v>
      </c>
      <c r="E11" s="146">
        <v>0.381427083576573</v>
      </c>
      <c r="F11" s="147">
        <v>-11.882242008582</v>
      </c>
      <c r="G11" s="162">
        <v>9.89833889075379</v>
      </c>
      <c r="H11" s="59">
        <v>1.4601683847812</v>
      </c>
      <c r="I11" s="161">
        <v>16.4444444444444</v>
      </c>
      <c r="J11" s="146">
        <v>15.1986531986532</v>
      </c>
      <c r="K11" s="147">
        <v>15.9461279461279</v>
      </c>
      <c r="L11" s="162">
        <v>16.4444444444444</v>
      </c>
      <c r="M11" s="59">
        <f t="shared" si="2"/>
        <v>16.0084175084175</v>
      </c>
      <c r="N11" s="160"/>
      <c r="R11" s="22">
        <f t="shared" si="1"/>
        <v>0.14548662008573</v>
      </c>
    </row>
    <row r="12" ht="25" customHeight="1" spans="1:18">
      <c r="A12" s="111"/>
      <c r="B12" s="54">
        <v>9</v>
      </c>
      <c r="C12" s="59">
        <v>8.91648387899673</v>
      </c>
      <c r="D12" s="161">
        <v>0.57213444102023</v>
      </c>
      <c r="E12" s="146">
        <v>0.449709287993055</v>
      </c>
      <c r="F12" s="147">
        <v>-15.1260850526811</v>
      </c>
      <c r="G12" s="162">
        <v>9.79398796943178</v>
      </c>
      <c r="H12" s="59">
        <v>1.36917403574902</v>
      </c>
      <c r="I12" s="161">
        <v>14.5387205387205</v>
      </c>
      <c r="J12" s="146">
        <v>13.6835016835017</v>
      </c>
      <c r="K12" s="147">
        <v>14.1111111111111</v>
      </c>
      <c r="L12" s="162">
        <v>13.6835016835017</v>
      </c>
      <c r="M12" s="59">
        <f t="shared" si="2"/>
        <v>14.0042087542088</v>
      </c>
      <c r="N12" s="160"/>
      <c r="R12" s="22">
        <f t="shared" si="1"/>
        <v>0.20223844370722</v>
      </c>
    </row>
    <row r="13" ht="25" customHeight="1" spans="1:18">
      <c r="A13" s="111"/>
      <c r="B13" s="54">
        <v>10</v>
      </c>
      <c r="C13" s="59">
        <v>9.70612245025774</v>
      </c>
      <c r="D13" s="161">
        <v>0.639236992997172</v>
      </c>
      <c r="E13" s="146">
        <v>0.456369880305615</v>
      </c>
      <c r="F13" s="147">
        <v>-12.4415418612981</v>
      </c>
      <c r="G13" s="162">
        <v>9.09309231243999</v>
      </c>
      <c r="H13" s="59">
        <v>1.39952188008319</v>
      </c>
      <c r="I13" s="161">
        <v>15.4612794612795</v>
      </c>
      <c r="J13" s="146">
        <v>15.0841750841751</v>
      </c>
      <c r="K13" s="147">
        <v>15.4612794612795</v>
      </c>
      <c r="L13" s="162">
        <v>14.7070707070707</v>
      </c>
      <c r="M13" s="59">
        <f t="shared" si="2"/>
        <v>15.1784511784512</v>
      </c>
      <c r="N13" s="160"/>
      <c r="R13" s="22">
        <f t="shared" si="1"/>
        <v>0.208273467650161</v>
      </c>
    </row>
    <row r="14" ht="25" customHeight="1" spans="1:18">
      <c r="A14" s="111"/>
      <c r="B14" s="54">
        <v>11</v>
      </c>
      <c r="C14" s="59">
        <v>33.1619842520257</v>
      </c>
      <c r="D14" s="161">
        <v>0.651718446827028</v>
      </c>
      <c r="E14" s="146">
        <v>0.839488626875709</v>
      </c>
      <c r="F14" s="147">
        <v>-33.3288531850998</v>
      </c>
      <c r="G14" s="162">
        <v>7.6070861687787</v>
      </c>
      <c r="H14" s="59">
        <v>1.41311904509994</v>
      </c>
      <c r="I14" s="161">
        <v>17.1178451178451</v>
      </c>
      <c r="J14" s="146" t="s">
        <v>19</v>
      </c>
      <c r="K14" s="147" t="s">
        <v>19</v>
      </c>
      <c r="L14" s="162">
        <v>15.4478114478114</v>
      </c>
      <c r="M14" s="59">
        <f>(I14+L14)/2</f>
        <v>16.2828282828282</v>
      </c>
      <c r="N14" s="163" t="s">
        <v>50</v>
      </c>
    </row>
    <row r="15" ht="25" customHeight="1" spans="1:18">
      <c r="A15" s="111"/>
      <c r="B15" s="54">
        <v>23</v>
      </c>
      <c r="C15" s="59">
        <v>9.9663147258273</v>
      </c>
      <c r="D15" s="161">
        <v>0.414877903403309</v>
      </c>
      <c r="E15" s="146">
        <v>0.515224834674623</v>
      </c>
      <c r="F15" s="147">
        <v>-29.9789765760212</v>
      </c>
      <c r="G15" s="162">
        <v>9.57244412355886</v>
      </c>
      <c r="H15" s="59">
        <v>1.12748012513518</v>
      </c>
      <c r="I15" s="161">
        <v>10.496632996633</v>
      </c>
      <c r="J15" s="146">
        <v>10.496632996633</v>
      </c>
      <c r="K15" s="147">
        <v>10.9848484848485</v>
      </c>
      <c r="L15" s="162">
        <v>10.496632996633</v>
      </c>
      <c r="M15" s="59">
        <f t="shared" ref="M15:M19" si="3">(I15+J15+K15+L15)/4</f>
        <v>10.6186868686869</v>
      </c>
      <c r="N15" s="160"/>
    </row>
    <row r="16" ht="25" customHeight="1" spans="1:18">
      <c r="A16" s="111"/>
      <c r="B16" s="54">
        <v>34</v>
      </c>
      <c r="C16" s="59">
        <v>6.4045968727185</v>
      </c>
      <c r="D16" s="161">
        <v>0.411915924207684</v>
      </c>
      <c r="E16" s="146">
        <v>0.413764589074592</v>
      </c>
      <c r="F16" s="147">
        <v>-22.4763455062503</v>
      </c>
      <c r="G16" s="162">
        <v>10.1814417080287</v>
      </c>
      <c r="H16" s="59">
        <v>1.12344815011812</v>
      </c>
      <c r="I16" s="161">
        <v>11.5218855218855</v>
      </c>
      <c r="J16" s="146">
        <v>10.3501683501684</v>
      </c>
      <c r="K16" s="147">
        <v>10.5454545454545</v>
      </c>
      <c r="L16" s="162">
        <v>9.76430976430977</v>
      </c>
      <c r="M16" s="59">
        <f t="shared" si="3"/>
        <v>10.5454545454545</v>
      </c>
      <c r="N16" s="163"/>
      <c r="O16" s="164"/>
    </row>
    <row r="17" ht="25" customHeight="1" spans="1:15">
      <c r="A17" s="111"/>
      <c r="B17" s="54">
        <v>35</v>
      </c>
      <c r="C17" s="59">
        <v>5.94258704295198</v>
      </c>
      <c r="D17" s="161">
        <v>0.413266229884075</v>
      </c>
      <c r="E17" s="146">
        <v>0.39823539947186</v>
      </c>
      <c r="F17" s="147">
        <v>-22.7517607063105</v>
      </c>
      <c r="G17" s="162">
        <v>10.0744543592977</v>
      </c>
      <c r="H17" s="59">
        <v>1.12528803677558</v>
      </c>
      <c r="I17" s="161">
        <v>11.4208754208754</v>
      </c>
      <c r="J17" s="146">
        <v>10.5589225589226</v>
      </c>
      <c r="K17" s="147">
        <v>9.91245791245792</v>
      </c>
      <c r="L17" s="162">
        <v>9.05050505050505</v>
      </c>
      <c r="M17" s="59">
        <f t="shared" si="3"/>
        <v>10.2356902356902</v>
      </c>
      <c r="N17" s="163"/>
      <c r="O17" s="164"/>
    </row>
    <row r="18" ht="25" customHeight="1" spans="1:15">
      <c r="A18" s="111"/>
      <c r="B18" s="54">
        <v>36</v>
      </c>
      <c r="C18" s="59">
        <v>4.66174154884177</v>
      </c>
      <c r="D18" s="161">
        <v>0.418212136109112</v>
      </c>
      <c r="E18" s="146">
        <v>0.351669338204214</v>
      </c>
      <c r="F18" s="147">
        <v>-21.1230303559552</v>
      </c>
      <c r="G18" s="162">
        <v>10.1389246156869</v>
      </c>
      <c r="H18" s="59">
        <v>1.13200164611805</v>
      </c>
      <c r="I18" s="161">
        <v>10.2996632996633</v>
      </c>
      <c r="J18" s="146">
        <v>10.9713804713805</v>
      </c>
      <c r="K18" s="147">
        <v>10.0011223344557</v>
      </c>
      <c r="L18" s="162">
        <v>10.7474747474747</v>
      </c>
      <c r="M18" s="59">
        <f t="shared" si="3"/>
        <v>10.5049102132435</v>
      </c>
      <c r="N18" s="163"/>
      <c r="O18" s="164"/>
    </row>
    <row r="19" ht="25" customHeight="1" spans="1:15">
      <c r="A19" s="111"/>
      <c r="B19" s="54">
        <v>39</v>
      </c>
      <c r="C19" s="59">
        <v>4.56832810462159</v>
      </c>
      <c r="D19" s="161">
        <v>0.416677871184918</v>
      </c>
      <c r="E19" s="146">
        <v>0.34844810002651</v>
      </c>
      <c r="F19" s="147">
        <v>-21.4933309330614</v>
      </c>
      <c r="G19" s="162">
        <v>10.192037738067</v>
      </c>
      <c r="H19" s="59">
        <v>1.12992329148895</v>
      </c>
      <c r="I19" s="161">
        <v>10.523569023569</v>
      </c>
      <c r="J19" s="146">
        <v>10.2996632996633</v>
      </c>
      <c r="K19" s="147">
        <v>10.1503928170595</v>
      </c>
      <c r="L19" s="162">
        <v>10.7474747474747</v>
      </c>
      <c r="M19" s="59">
        <f t="shared" si="3"/>
        <v>10.4302749719416</v>
      </c>
      <c r="N19" s="163"/>
      <c r="O19" s="164"/>
    </row>
    <row r="20" ht="25" customHeight="1" spans="1:15">
      <c r="A20" s="111"/>
      <c r="B20" s="54" t="s">
        <v>38</v>
      </c>
      <c r="C20" s="59">
        <v>1.94120755421502</v>
      </c>
      <c r="D20" s="161">
        <v>1.00014757501267</v>
      </c>
      <c r="E20" s="146">
        <v>0.18248599114776</v>
      </c>
      <c r="F20" s="147">
        <v>-14.2504330683497</v>
      </c>
      <c r="G20" s="162">
        <v>11.0154936145945</v>
      </c>
      <c r="H20" s="59">
        <v>1.75057525713118</v>
      </c>
      <c r="I20" s="161">
        <v>21.993265993266</v>
      </c>
      <c r="J20" s="146" t="s">
        <v>19</v>
      </c>
      <c r="K20" s="147" t="s">
        <v>19</v>
      </c>
      <c r="L20" s="162">
        <v>19.8249158249158</v>
      </c>
      <c r="M20" s="59">
        <f>(I20+L20)/2</f>
        <v>20.9090909090909</v>
      </c>
      <c r="N20" s="163"/>
      <c r="O20" s="164"/>
    </row>
    <row r="21" ht="25" customHeight="1" spans="1:15">
      <c r="A21" s="111"/>
      <c r="B21" s="54" t="s">
        <v>39</v>
      </c>
      <c r="C21" s="59">
        <v>178.247940366661</v>
      </c>
      <c r="D21" s="161">
        <v>0.979884093365531</v>
      </c>
      <c r="E21" s="146">
        <v>1.75763280241481</v>
      </c>
      <c r="F21" s="147">
        <v>-95.4574380371422</v>
      </c>
      <c r="G21" s="162">
        <v>9.04189162333139</v>
      </c>
      <c r="H21" s="59">
        <v>1.73275075410634</v>
      </c>
      <c r="I21" s="161" t="s">
        <v>19</v>
      </c>
      <c r="J21" s="146" t="s">
        <v>19</v>
      </c>
      <c r="K21" s="147" t="s">
        <v>19</v>
      </c>
      <c r="L21" s="162" t="s">
        <v>19</v>
      </c>
      <c r="M21" s="59" t="s">
        <v>19</v>
      </c>
      <c r="N21" s="163" t="s">
        <v>51</v>
      </c>
      <c r="O21" s="164"/>
    </row>
    <row r="22" ht="25" customHeight="1" spans="1:15">
      <c r="A22" s="111"/>
      <c r="B22" s="54" t="s">
        <v>42</v>
      </c>
      <c r="C22" s="59">
        <v>8.62359644306662</v>
      </c>
      <c r="D22" s="161">
        <v>1.18360059169457</v>
      </c>
      <c r="E22" s="146">
        <v>0.368767369066553</v>
      </c>
      <c r="F22" s="147">
        <v>-9.5297995869277</v>
      </c>
      <c r="G22" s="162">
        <v>10.2311976738908</v>
      </c>
      <c r="H22" s="59">
        <v>1.90436999185702</v>
      </c>
      <c r="I22" s="161">
        <v>24.4444444444445</v>
      </c>
      <c r="J22" s="146" t="s">
        <v>19</v>
      </c>
      <c r="K22" s="147">
        <v>23.5555555555556</v>
      </c>
      <c r="L22" s="162">
        <v>22.2222222222222</v>
      </c>
      <c r="M22" s="59">
        <f>(I22+K22+L22)/3</f>
        <v>23.4074074074074</v>
      </c>
      <c r="N22" s="163" t="s">
        <v>43</v>
      </c>
      <c r="O22" s="164"/>
    </row>
    <row r="23" ht="25" customHeight="1" spans="1:15">
      <c r="A23" s="111"/>
      <c r="B23" s="54" t="s">
        <v>44</v>
      </c>
      <c r="C23" s="59">
        <v>8.83083002573664</v>
      </c>
      <c r="D23" s="161">
        <v>1.32687210206821</v>
      </c>
      <c r="E23" s="146">
        <v>0.362662844019943</v>
      </c>
      <c r="F23" s="147">
        <v>-15.8177025636706</v>
      </c>
      <c r="G23" s="162">
        <v>11.285341625366</v>
      </c>
      <c r="H23" s="59">
        <v>2.01633771782216</v>
      </c>
      <c r="I23" s="161">
        <v>29.7979797979798</v>
      </c>
      <c r="J23" s="146" t="s">
        <v>19</v>
      </c>
      <c r="K23" s="147">
        <v>24.2424242424242</v>
      </c>
      <c r="L23" s="162" t="s">
        <v>19</v>
      </c>
      <c r="M23" s="59">
        <f>(I23+K23)/2</f>
        <v>27.020202020202</v>
      </c>
      <c r="N23" s="163" t="s">
        <v>43</v>
      </c>
      <c r="O23" s="164"/>
    </row>
    <row r="24" ht="25" customHeight="1" spans="1:15">
      <c r="A24" s="115"/>
      <c r="B24" s="54" t="s">
        <v>45</v>
      </c>
      <c r="C24" s="59">
        <v>14.6281521149292</v>
      </c>
      <c r="D24" s="161">
        <v>1.5332695470254</v>
      </c>
      <c r="E24" s="146">
        <v>0.450193968613005</v>
      </c>
      <c r="F24" s="147">
        <v>-2.57509198377522</v>
      </c>
      <c r="G24" s="162">
        <v>8.44410816909724</v>
      </c>
      <c r="H24" s="59">
        <v>2.16749446777331</v>
      </c>
      <c r="I24" s="161" t="s">
        <v>19</v>
      </c>
      <c r="J24" s="146" t="s">
        <v>19</v>
      </c>
      <c r="K24" s="147">
        <v>26.3299663299663</v>
      </c>
      <c r="L24" s="162" t="s">
        <v>19</v>
      </c>
      <c r="M24" s="59">
        <f>K24</f>
        <v>26.3299663299663</v>
      </c>
      <c r="N24" s="163" t="s">
        <v>43</v>
      </c>
      <c r="O24" s="164"/>
    </row>
    <row r="25" ht="25" customHeight="1" spans="1:15">
      <c r="A25" s="150" t="s">
        <v>63</v>
      </c>
      <c r="B25" s="80">
        <v>24</v>
      </c>
      <c r="C25" s="59">
        <v>7.28025512609708</v>
      </c>
      <c r="D25" s="161">
        <v>0.438013009476011</v>
      </c>
      <c r="E25" s="146">
        <v>0.434421302012416</v>
      </c>
      <c r="F25" s="147">
        <v>-29.0669323349156</v>
      </c>
      <c r="G25" s="162" t="s">
        <v>19</v>
      </c>
      <c r="H25" s="59">
        <v>1.15848988842918</v>
      </c>
      <c r="I25" s="161" t="s">
        <v>19</v>
      </c>
      <c r="J25" s="146" t="s">
        <v>19</v>
      </c>
      <c r="K25" s="147" t="s">
        <v>19</v>
      </c>
      <c r="L25" s="162" t="s">
        <v>19</v>
      </c>
      <c r="M25" s="59" t="s">
        <v>19</v>
      </c>
      <c r="N25" s="165" t="s">
        <v>58</v>
      </c>
    </row>
    <row r="26" ht="25" customHeight="1" spans="1:15">
      <c r="A26" s="129"/>
      <c r="B26" s="80">
        <v>25</v>
      </c>
      <c r="C26" s="59">
        <v>7.23509389841052</v>
      </c>
      <c r="D26" s="161">
        <v>0.456030779017484</v>
      </c>
      <c r="E26" s="146">
        <v>0.428729248751949</v>
      </c>
      <c r="F26" s="147">
        <v>-28.956501806821</v>
      </c>
      <c r="G26" s="162" t="s">
        <v>19</v>
      </c>
      <c r="H26" s="59">
        <v>1.18207714490075</v>
      </c>
      <c r="I26" s="161" t="s">
        <v>19</v>
      </c>
      <c r="J26" s="146" t="s">
        <v>19</v>
      </c>
      <c r="K26" s="147" t="s">
        <v>19</v>
      </c>
      <c r="L26" s="162" t="s">
        <v>19</v>
      </c>
      <c r="M26" s="59" t="s">
        <v>19</v>
      </c>
      <c r="N26" s="165"/>
    </row>
    <row r="27" ht="25" customHeight="1" spans="1:15">
      <c r="A27" s="129"/>
      <c r="B27" s="80">
        <v>27</v>
      </c>
      <c r="C27" s="59">
        <v>7.69037675861192</v>
      </c>
      <c r="D27" s="161">
        <v>0.445732181881542</v>
      </c>
      <c r="E27" s="146">
        <v>0.444544126461706</v>
      </c>
      <c r="F27" s="147">
        <v>-28.0286398967497</v>
      </c>
      <c r="G27" s="162">
        <v>10.2668883765643</v>
      </c>
      <c r="H27" s="59">
        <v>1.16865343065144</v>
      </c>
      <c r="I27" s="161">
        <v>10.6026936026936</v>
      </c>
      <c r="J27" s="146">
        <v>10.3771043771044</v>
      </c>
      <c r="K27" s="147">
        <v>10.2267115600449</v>
      </c>
      <c r="L27" s="162">
        <v>9.47474747474748</v>
      </c>
      <c r="M27" s="59">
        <f t="shared" ref="M27:M30" si="4">(I27+J27+K27+L27)/4</f>
        <v>10.1703142536476</v>
      </c>
      <c r="N27" s="163" t="s">
        <v>27</v>
      </c>
    </row>
    <row r="28" ht="25" customHeight="1" spans="1:15">
      <c r="A28" s="129"/>
      <c r="B28" s="80">
        <v>28</v>
      </c>
      <c r="C28" s="59">
        <v>7.69950460135053</v>
      </c>
      <c r="D28" s="161">
        <v>0.443955199475204</v>
      </c>
      <c r="E28" s="146">
        <v>0.445252299123823</v>
      </c>
      <c r="F28" s="147">
        <v>-28.9981318410377</v>
      </c>
      <c r="G28" s="162">
        <v>10.1710669934562</v>
      </c>
      <c r="H28" s="59">
        <v>1.16632159265942</v>
      </c>
      <c r="I28" s="161">
        <v>10.5454545454545</v>
      </c>
      <c r="J28" s="146">
        <v>10.2272727272727</v>
      </c>
      <c r="K28" s="147">
        <v>10</v>
      </c>
      <c r="L28" s="162">
        <v>10.3636363636364</v>
      </c>
      <c r="M28" s="59">
        <f t="shared" si="4"/>
        <v>10.2840909090909</v>
      </c>
      <c r="N28" s="163" t="s">
        <v>28</v>
      </c>
    </row>
    <row r="29" ht="25" customHeight="1" spans="1:15">
      <c r="A29" s="129"/>
      <c r="B29" s="80">
        <v>29</v>
      </c>
      <c r="C29" s="59">
        <v>7.86247414606915</v>
      </c>
      <c r="D29" s="161">
        <v>0.469839152509598</v>
      </c>
      <c r="E29" s="146">
        <v>0.44361056425456</v>
      </c>
      <c r="F29" s="147">
        <v>-30.1941618588336</v>
      </c>
      <c r="G29" s="162">
        <v>9.97420515007628</v>
      </c>
      <c r="H29" s="59">
        <v>1.19984002384025</v>
      </c>
      <c r="I29" s="161">
        <v>10.3030303030303</v>
      </c>
      <c r="J29" s="146">
        <v>10.4461279461279</v>
      </c>
      <c r="K29" s="147">
        <v>10.4461279461279</v>
      </c>
      <c r="L29" s="162">
        <v>9.92143658810325</v>
      </c>
      <c r="M29" s="59">
        <f t="shared" si="4"/>
        <v>10.2791806958473</v>
      </c>
      <c r="N29" s="163" t="s">
        <v>29</v>
      </c>
      <c r="O29" s="154"/>
    </row>
    <row r="30" ht="25" customHeight="1" spans="1:15">
      <c r="A30" s="129"/>
      <c r="B30" s="80">
        <v>30</v>
      </c>
      <c r="C30" s="59">
        <v>7.56542980958466</v>
      </c>
      <c r="D30" s="161">
        <v>0.436039367418488</v>
      </c>
      <c r="E30" s="146">
        <v>0.443348194180834</v>
      </c>
      <c r="F30" s="147">
        <v>-29.1367464292118</v>
      </c>
      <c r="G30" s="162">
        <v>10.2853428196793</v>
      </c>
      <c r="H30" s="59">
        <v>1.15587692288015</v>
      </c>
      <c r="I30" s="161">
        <v>10.2760942760943</v>
      </c>
      <c r="J30" s="146">
        <v>10.2760942760943</v>
      </c>
      <c r="K30" s="147">
        <v>10.2760942760943</v>
      </c>
      <c r="L30" s="162">
        <v>9.66442199775533</v>
      </c>
      <c r="M30" s="59">
        <f t="shared" si="4"/>
        <v>10.1231762065096</v>
      </c>
      <c r="N30" s="163" t="s">
        <v>27</v>
      </c>
      <c r="O30" s="154"/>
    </row>
    <row r="31" ht="25" customHeight="1" spans="1:15">
      <c r="A31" s="129"/>
      <c r="B31" s="80">
        <v>31</v>
      </c>
      <c r="C31" s="59">
        <v>5.63088212202495</v>
      </c>
      <c r="D31" s="161">
        <v>0.397285805421424</v>
      </c>
      <c r="E31" s="146">
        <v>0.391491215646472</v>
      </c>
      <c r="F31" s="147">
        <v>-27.5015872864381</v>
      </c>
      <c r="G31" s="162" t="s">
        <v>19</v>
      </c>
      <c r="H31" s="59">
        <v>1.10331689080258</v>
      </c>
      <c r="I31" s="161" t="s">
        <v>19</v>
      </c>
      <c r="J31" s="146" t="s">
        <v>19</v>
      </c>
      <c r="K31" s="147" t="s">
        <v>19</v>
      </c>
      <c r="L31" s="162" t="s">
        <v>19</v>
      </c>
      <c r="M31" s="59" t="s">
        <v>19</v>
      </c>
      <c r="N31" s="163" t="s">
        <v>25</v>
      </c>
      <c r="O31" s="154"/>
    </row>
    <row r="32" ht="25" customHeight="1" spans="1:15">
      <c r="A32" s="130"/>
      <c r="B32" s="80">
        <v>41</v>
      </c>
      <c r="C32" s="59">
        <v>5.03549833959357</v>
      </c>
      <c r="D32" s="161">
        <v>0.41313031539302</v>
      </c>
      <c r="E32" s="146">
        <v>0.366613985528432</v>
      </c>
      <c r="F32" s="147">
        <v>-21.8725491945285</v>
      </c>
      <c r="G32" s="162" t="s">
        <v>19</v>
      </c>
      <c r="H32" s="59">
        <v>1.12510297988399</v>
      </c>
      <c r="I32" s="161" t="s">
        <v>19</v>
      </c>
      <c r="J32" s="146" t="s">
        <v>19</v>
      </c>
      <c r="K32" s="147" t="s">
        <v>19</v>
      </c>
      <c r="L32" s="162" t="s">
        <v>19</v>
      </c>
      <c r="M32" s="59" t="s">
        <v>19</v>
      </c>
      <c r="N32" s="163" t="s">
        <v>25</v>
      </c>
      <c r="O32" s="154"/>
    </row>
    <row r="33" ht="25" customHeight="1" spans="1:15">
      <c r="A33" s="131" t="s">
        <v>64</v>
      </c>
      <c r="B33" s="85">
        <v>12</v>
      </c>
      <c r="C33" s="59">
        <v>0.737000045223119</v>
      </c>
      <c r="D33" s="161">
        <v>0.574051514214897</v>
      </c>
      <c r="E33" s="146">
        <v>0.129183071561122</v>
      </c>
      <c r="F33" s="147">
        <v>-7.57144284928918</v>
      </c>
      <c r="G33" s="162" t="s">
        <v>19</v>
      </c>
      <c r="H33" s="59">
        <v>1.32624627183222</v>
      </c>
      <c r="I33" s="161" t="s">
        <v>19</v>
      </c>
      <c r="J33" s="146" t="s">
        <v>19</v>
      </c>
      <c r="K33" s="147" t="s">
        <v>19</v>
      </c>
      <c r="L33" s="162" t="s">
        <v>19</v>
      </c>
      <c r="M33" s="59" t="s">
        <v>19</v>
      </c>
      <c r="N33" s="163" t="s">
        <v>54</v>
      </c>
      <c r="O33" s="154"/>
    </row>
    <row r="34" ht="25" customHeight="1" spans="1:15">
      <c r="A34" s="132"/>
      <c r="B34" s="85">
        <v>13</v>
      </c>
      <c r="C34" s="59">
        <v>1.08025999388268</v>
      </c>
      <c r="D34" s="161">
        <v>0.580369543539818</v>
      </c>
      <c r="E34" s="146">
        <v>0.155972329643723</v>
      </c>
      <c r="F34" s="147">
        <v>-8.83349254780775</v>
      </c>
      <c r="G34" s="162" t="s">
        <v>19</v>
      </c>
      <c r="H34" s="59">
        <v>1.33352465454805</v>
      </c>
      <c r="I34" s="161" t="s">
        <v>19</v>
      </c>
      <c r="J34" s="146" t="s">
        <v>19</v>
      </c>
      <c r="K34" s="147" t="s">
        <v>19</v>
      </c>
      <c r="L34" s="162" t="s">
        <v>19</v>
      </c>
      <c r="M34" s="59" t="s">
        <v>19</v>
      </c>
      <c r="N34" s="163" t="s">
        <v>55</v>
      </c>
      <c r="O34" s="154"/>
    </row>
    <row r="35" ht="25" customHeight="1" spans="1:15">
      <c r="A35" s="132"/>
      <c r="B35" s="85">
        <v>14</v>
      </c>
      <c r="C35" s="59">
        <v>1.03878925602034</v>
      </c>
      <c r="D35" s="161">
        <v>0.586544564649016</v>
      </c>
      <c r="E35" s="146">
        <v>0.152545020932436</v>
      </c>
      <c r="F35" s="147">
        <v>-7.89006587958481</v>
      </c>
      <c r="G35" s="162" t="s">
        <v>19</v>
      </c>
      <c r="H35" s="59">
        <v>1.34060010780647</v>
      </c>
      <c r="I35" s="161" t="s">
        <v>19</v>
      </c>
      <c r="J35" s="146" t="s">
        <v>19</v>
      </c>
      <c r="K35" s="147" t="s">
        <v>19</v>
      </c>
      <c r="L35" s="162" t="s">
        <v>19</v>
      </c>
      <c r="M35" s="59" t="s">
        <v>19</v>
      </c>
      <c r="N35" s="163" t="s">
        <v>54</v>
      </c>
      <c r="O35" s="154"/>
    </row>
    <row r="36" ht="25" customHeight="1" spans="1:15">
      <c r="A36" s="132"/>
      <c r="B36" s="85">
        <v>15</v>
      </c>
      <c r="C36" s="59">
        <v>1.0060755069055</v>
      </c>
      <c r="D36" s="161">
        <v>0.591917025411693</v>
      </c>
      <c r="E36" s="146">
        <v>0.149782007149404</v>
      </c>
      <c r="F36" s="147">
        <v>-7.01835498544799</v>
      </c>
      <c r="G36" s="162" t="s">
        <v>19</v>
      </c>
      <c r="H36" s="59">
        <v>1.34672573284728</v>
      </c>
      <c r="I36" s="161" t="s">
        <v>19</v>
      </c>
      <c r="J36" s="146" t="s">
        <v>19</v>
      </c>
      <c r="K36" s="147" t="s">
        <v>19</v>
      </c>
      <c r="L36" s="162" t="s">
        <v>19</v>
      </c>
      <c r="M36" s="59" t="s">
        <v>19</v>
      </c>
      <c r="N36" s="163" t="s">
        <v>54</v>
      </c>
      <c r="O36" s="154"/>
    </row>
    <row r="37" ht="25" customHeight="1" spans="1:15">
      <c r="A37" s="132"/>
      <c r="B37" s="85">
        <v>16</v>
      </c>
      <c r="C37" s="59">
        <v>1.27441235277601</v>
      </c>
      <c r="D37" s="161">
        <v>0.61325145443294</v>
      </c>
      <c r="E37" s="146">
        <v>0.167091710704399</v>
      </c>
      <c r="F37" s="147">
        <v>-9.21100308592932</v>
      </c>
      <c r="G37" s="162" t="s">
        <v>19</v>
      </c>
      <c r="H37" s="59">
        <v>1.37078087352064</v>
      </c>
      <c r="I37" s="161" t="s">
        <v>19</v>
      </c>
      <c r="J37" s="146" t="s">
        <v>19</v>
      </c>
      <c r="K37" s="147" t="s">
        <v>19</v>
      </c>
      <c r="L37" s="162" t="s">
        <v>19</v>
      </c>
      <c r="M37" s="59" t="s">
        <v>19</v>
      </c>
      <c r="N37" s="163" t="s">
        <v>54</v>
      </c>
      <c r="O37" s="154"/>
    </row>
    <row r="38" ht="25" customHeight="1" spans="1:15">
      <c r="A38" s="132"/>
      <c r="B38" s="85">
        <v>17</v>
      </c>
      <c r="C38" s="59">
        <v>1.70034954141784</v>
      </c>
      <c r="D38" s="161">
        <v>0.390183746158184</v>
      </c>
      <c r="E38" s="146">
        <v>0.216103289001669</v>
      </c>
      <c r="F38" s="147" t="s">
        <v>19</v>
      </c>
      <c r="G38" s="162" t="s">
        <v>19</v>
      </c>
      <c r="H38" s="59">
        <v>1.09341072557482</v>
      </c>
      <c r="I38" s="161" t="s">
        <v>19</v>
      </c>
      <c r="J38" s="146" t="s">
        <v>19</v>
      </c>
      <c r="K38" s="147" t="s">
        <v>19</v>
      </c>
      <c r="L38" s="162" t="s">
        <v>19</v>
      </c>
      <c r="M38" s="59" t="s">
        <v>19</v>
      </c>
      <c r="N38" s="163" t="s">
        <v>20</v>
      </c>
      <c r="O38" s="154"/>
    </row>
    <row r="39" ht="25" customHeight="1" spans="1:15">
      <c r="A39" s="132"/>
      <c r="B39" s="85">
        <v>18</v>
      </c>
      <c r="C39" s="59">
        <v>3.29355993674051</v>
      </c>
      <c r="D39" s="161">
        <v>0.418071990388449</v>
      </c>
      <c r="E39" s="146">
        <v>0.295617121278977</v>
      </c>
      <c r="F39" s="147">
        <v>-20.7263391576132</v>
      </c>
      <c r="G39" s="162" t="s">
        <v>19</v>
      </c>
      <c r="H39" s="59">
        <v>1.1318119595143</v>
      </c>
      <c r="I39" s="161" t="s">
        <v>19</v>
      </c>
      <c r="J39" s="146" t="s">
        <v>19</v>
      </c>
      <c r="K39" s="147" t="s">
        <v>19</v>
      </c>
      <c r="L39" s="162" t="s">
        <v>19</v>
      </c>
      <c r="M39" s="59" t="s">
        <v>19</v>
      </c>
      <c r="N39" s="163" t="s">
        <v>56</v>
      </c>
      <c r="O39" s="154"/>
    </row>
    <row r="40" ht="25" customHeight="1" spans="1:15">
      <c r="A40" s="132"/>
      <c r="B40" s="85">
        <v>19</v>
      </c>
      <c r="C40" s="59">
        <v>3.11344258633125</v>
      </c>
      <c r="D40" s="161">
        <v>0.415360856842579</v>
      </c>
      <c r="E40" s="146">
        <v>0.287888028098087</v>
      </c>
      <c r="F40" s="147">
        <v>-19.2900540969776</v>
      </c>
      <c r="G40" s="162" t="s">
        <v>19</v>
      </c>
      <c r="H40" s="59">
        <v>1.12813617601754</v>
      </c>
      <c r="I40" s="161" t="s">
        <v>19</v>
      </c>
      <c r="J40" s="146" t="s">
        <v>19</v>
      </c>
      <c r="K40" s="147" t="s">
        <v>19</v>
      </c>
      <c r="L40" s="162" t="s">
        <v>19</v>
      </c>
      <c r="M40" s="59" t="s">
        <v>19</v>
      </c>
      <c r="N40" s="166"/>
      <c r="O40" s="154"/>
    </row>
    <row r="41" ht="25" customHeight="1" spans="1:15">
      <c r="A41" s="132"/>
      <c r="B41" s="85">
        <v>20</v>
      </c>
      <c r="C41" s="59">
        <v>1.29273048915119</v>
      </c>
      <c r="D41" s="161">
        <v>0.424381805432479</v>
      </c>
      <c r="E41" s="146">
        <v>0.184511896519853</v>
      </c>
      <c r="F41" s="147">
        <v>-17.4543543381341</v>
      </c>
      <c r="G41" s="162" t="s">
        <v>19</v>
      </c>
      <c r="H41" s="59">
        <v>1.14032099576215</v>
      </c>
      <c r="I41" s="161" t="s">
        <v>19</v>
      </c>
      <c r="J41" s="146" t="s">
        <v>19</v>
      </c>
      <c r="K41" s="147" t="s">
        <v>19</v>
      </c>
      <c r="L41" s="162" t="s">
        <v>19</v>
      </c>
      <c r="M41" s="59" t="s">
        <v>19</v>
      </c>
      <c r="N41" s="166"/>
      <c r="O41" s="154"/>
    </row>
    <row r="42" ht="25" customHeight="1" spans="1:15">
      <c r="A42" s="132"/>
      <c r="B42" s="85" t="s">
        <v>22</v>
      </c>
      <c r="C42" s="59">
        <v>3.24238242509081</v>
      </c>
      <c r="D42" s="161">
        <v>0.428876440961332</v>
      </c>
      <c r="E42" s="146">
        <v>0.291446360752799</v>
      </c>
      <c r="F42" s="147">
        <v>-22.089827242945</v>
      </c>
      <c r="G42" s="162" t="s">
        <v>19</v>
      </c>
      <c r="H42" s="59">
        <v>1.14634367154445</v>
      </c>
      <c r="I42" s="161" t="s">
        <v>19</v>
      </c>
      <c r="J42" s="146" t="s">
        <v>19</v>
      </c>
      <c r="K42" s="147" t="s">
        <v>19</v>
      </c>
      <c r="L42" s="162" t="s">
        <v>19</v>
      </c>
      <c r="M42" s="59" t="s">
        <v>19</v>
      </c>
      <c r="N42" s="163" t="s">
        <v>23</v>
      </c>
      <c r="O42" s="154"/>
    </row>
    <row r="43" ht="25" customHeight="1" spans="1:15">
      <c r="A43" s="132"/>
      <c r="B43" s="85" t="s">
        <v>24</v>
      </c>
      <c r="C43" s="59">
        <v>1.50631859753767</v>
      </c>
      <c r="D43" s="161">
        <v>0.436877102545358</v>
      </c>
      <c r="E43" s="146">
        <v>0.197732548640575</v>
      </c>
      <c r="F43" s="147">
        <v>-16.2212153530235</v>
      </c>
      <c r="G43" s="162" t="s">
        <v>19</v>
      </c>
      <c r="H43" s="59">
        <v>1.1569867470459</v>
      </c>
      <c r="I43" s="161" t="s">
        <v>19</v>
      </c>
      <c r="J43" s="146" t="s">
        <v>19</v>
      </c>
      <c r="K43" s="147" t="s">
        <v>19</v>
      </c>
      <c r="L43" s="162" t="s">
        <v>19</v>
      </c>
      <c r="M43" s="59" t="s">
        <v>19</v>
      </c>
      <c r="N43" s="163"/>
      <c r="O43" s="154"/>
    </row>
    <row r="44" ht="25" customHeight="1" spans="1:15">
      <c r="A44" s="132"/>
      <c r="B44" s="85">
        <v>22</v>
      </c>
      <c r="C44" s="59">
        <v>5.61605395547511</v>
      </c>
      <c r="D44" s="161">
        <v>0.395622977201357</v>
      </c>
      <c r="E44" s="146">
        <v>0.39138558386936</v>
      </c>
      <c r="F44" s="147">
        <v>-31.321014111829</v>
      </c>
      <c r="G44" s="162" t="s">
        <v>19</v>
      </c>
      <c r="H44" s="59">
        <v>1.101005519293</v>
      </c>
      <c r="I44" s="161" t="s">
        <v>19</v>
      </c>
      <c r="J44" s="146" t="s">
        <v>19</v>
      </c>
      <c r="K44" s="147" t="s">
        <v>19</v>
      </c>
      <c r="L44" s="162" t="s">
        <v>19</v>
      </c>
      <c r="M44" s="59" t="s">
        <v>19</v>
      </c>
      <c r="N44" s="163" t="s">
        <v>21</v>
      </c>
      <c r="O44" s="164"/>
    </row>
    <row r="45" ht="25" customHeight="1" spans="1:15">
      <c r="A45" s="132"/>
      <c r="B45" s="85">
        <v>26</v>
      </c>
      <c r="C45" s="59">
        <v>7.22221331908127</v>
      </c>
      <c r="D45" s="161">
        <v>0.451529814859205</v>
      </c>
      <c r="E45" s="146">
        <v>0.429410948981545</v>
      </c>
      <c r="F45" s="147">
        <v>-29.5445184707007</v>
      </c>
      <c r="G45" s="162" t="s">
        <v>19</v>
      </c>
      <c r="H45" s="59">
        <v>1.17622920609573</v>
      </c>
      <c r="I45" s="161" t="s">
        <v>19</v>
      </c>
      <c r="J45" s="146" t="s">
        <v>19</v>
      </c>
      <c r="K45" s="147" t="s">
        <v>19</v>
      </c>
      <c r="L45" s="162" t="s">
        <v>19</v>
      </c>
      <c r="M45" s="59" t="s">
        <v>19</v>
      </c>
      <c r="N45" s="165" t="s">
        <v>59</v>
      </c>
      <c r="O45" s="164"/>
    </row>
    <row r="46" ht="25" customHeight="1" spans="1:15">
      <c r="A46" s="132"/>
      <c r="B46" s="85">
        <v>32</v>
      </c>
      <c r="C46" s="59">
        <v>5.92032373975865</v>
      </c>
      <c r="D46" s="161">
        <v>0.423754166894697</v>
      </c>
      <c r="E46" s="146">
        <v>0.395006096345403</v>
      </c>
      <c r="F46" s="147">
        <v>-16.7691410433922</v>
      </c>
      <c r="G46" s="162" t="s">
        <v>19</v>
      </c>
      <c r="H46" s="59">
        <v>1.13947744614092</v>
      </c>
      <c r="I46" s="161" t="s">
        <v>19</v>
      </c>
      <c r="J46" s="146" t="s">
        <v>19</v>
      </c>
      <c r="K46" s="147" t="s">
        <v>19</v>
      </c>
      <c r="L46" s="162" t="s">
        <v>19</v>
      </c>
      <c r="M46" s="59" t="s">
        <v>19</v>
      </c>
      <c r="N46" s="163" t="s">
        <v>31</v>
      </c>
      <c r="O46" s="164"/>
    </row>
    <row r="47" ht="25" customHeight="1" spans="1:15">
      <c r="A47" s="132"/>
      <c r="B47" s="85">
        <v>33</v>
      </c>
      <c r="C47" s="59">
        <v>6.0013560467043</v>
      </c>
      <c r="D47" s="161">
        <v>0.418915468582771</v>
      </c>
      <c r="E47" s="146">
        <v>0.398843632763255</v>
      </c>
      <c r="F47" s="147">
        <v>-27.6032969792246</v>
      </c>
      <c r="G47" s="162" t="s">
        <v>19</v>
      </c>
      <c r="H47" s="59">
        <v>1.13295312383379</v>
      </c>
      <c r="I47" s="161" t="s">
        <v>19</v>
      </c>
      <c r="J47" s="146" t="s">
        <v>19</v>
      </c>
      <c r="K47" s="147" t="s">
        <v>19</v>
      </c>
      <c r="L47" s="162" t="s">
        <v>19</v>
      </c>
      <c r="M47" s="59" t="s">
        <v>19</v>
      </c>
      <c r="N47" s="163" t="s">
        <v>60</v>
      </c>
      <c r="O47" s="164"/>
    </row>
    <row r="48" ht="25" customHeight="1" spans="1:15">
      <c r="A48" s="132"/>
      <c r="B48" s="85">
        <v>37</v>
      </c>
      <c r="C48" s="59">
        <v>3.80799273229734</v>
      </c>
      <c r="D48" s="161">
        <v>0.413909757994026</v>
      </c>
      <c r="E48" s="146">
        <v>0.318662680570048</v>
      </c>
      <c r="F48" s="147">
        <v>-21.0076644753185</v>
      </c>
      <c r="G48" s="167" t="s">
        <v>34</v>
      </c>
      <c r="H48" s="59">
        <v>1.12616383153143</v>
      </c>
      <c r="I48" s="161" t="s">
        <v>19</v>
      </c>
      <c r="J48" s="146" t="s">
        <v>19</v>
      </c>
      <c r="K48" s="147" t="s">
        <v>19</v>
      </c>
      <c r="L48" s="162" t="s">
        <v>19</v>
      </c>
      <c r="M48" s="59" t="s">
        <v>19</v>
      </c>
      <c r="N48" s="163" t="s">
        <v>60</v>
      </c>
      <c r="O48" s="164"/>
    </row>
    <row r="49" ht="25" customHeight="1" spans="1:15">
      <c r="A49" s="132"/>
      <c r="B49" s="85">
        <v>38</v>
      </c>
      <c r="C49" s="59">
        <v>3.702166609112</v>
      </c>
      <c r="D49" s="161">
        <v>0.367893580223332</v>
      </c>
      <c r="E49" s="146">
        <v>0.323598867697246</v>
      </c>
      <c r="F49" s="147">
        <v>-19.8305564934459</v>
      </c>
      <c r="G49" s="162" t="s">
        <v>19</v>
      </c>
      <c r="H49" s="59">
        <v>1.06171963077562</v>
      </c>
      <c r="I49" s="161" t="s">
        <v>19</v>
      </c>
      <c r="J49" s="146" t="s">
        <v>19</v>
      </c>
      <c r="K49" s="147" t="s">
        <v>19</v>
      </c>
      <c r="L49" s="162" t="s">
        <v>19</v>
      </c>
      <c r="M49" s="59" t="s">
        <v>19</v>
      </c>
      <c r="N49" s="163" t="s">
        <v>31</v>
      </c>
      <c r="O49" s="164"/>
    </row>
    <row r="50" ht="25" customHeight="1" spans="1:15">
      <c r="A50" s="132"/>
      <c r="B50" s="85">
        <v>40</v>
      </c>
      <c r="C50" s="59">
        <v>4.31177838664525</v>
      </c>
      <c r="D50" s="161">
        <v>0.426572312942997</v>
      </c>
      <c r="E50" s="146">
        <v>0.33654226678617</v>
      </c>
      <c r="F50" s="147">
        <v>-21.0228869351141</v>
      </c>
      <c r="G50" s="162" t="s">
        <v>19</v>
      </c>
      <c r="H50" s="59">
        <v>1.14326017302198</v>
      </c>
      <c r="I50" s="161" t="s">
        <v>19</v>
      </c>
      <c r="J50" s="146" t="s">
        <v>19</v>
      </c>
      <c r="K50" s="147" t="s">
        <v>19</v>
      </c>
      <c r="L50" s="162" t="s">
        <v>19</v>
      </c>
      <c r="M50" s="59" t="s">
        <v>19</v>
      </c>
      <c r="N50" s="163" t="s">
        <v>35</v>
      </c>
      <c r="O50" s="164"/>
    </row>
    <row r="51" ht="25" customHeight="1" spans="1:15">
      <c r="A51" s="132"/>
      <c r="B51" s="85">
        <v>42</v>
      </c>
      <c r="C51" s="59">
        <v>5.09449537100696</v>
      </c>
      <c r="D51" s="161">
        <v>0.410812818982922</v>
      </c>
      <c r="E51" s="146">
        <v>0.369274360911998</v>
      </c>
      <c r="F51" s="147">
        <v>-22.4770707152993</v>
      </c>
      <c r="G51" s="162" t="s">
        <v>19</v>
      </c>
      <c r="H51" s="59">
        <v>1.12194285224198</v>
      </c>
      <c r="I51" s="161" t="s">
        <v>19</v>
      </c>
      <c r="J51" s="146" t="s">
        <v>19</v>
      </c>
      <c r="K51" s="147" t="s">
        <v>19</v>
      </c>
      <c r="L51" s="162" t="s">
        <v>19</v>
      </c>
      <c r="M51" s="59" t="s">
        <v>19</v>
      </c>
      <c r="N51" s="163" t="s">
        <v>31</v>
      </c>
      <c r="O51" s="164"/>
    </row>
    <row r="52" ht="25" customHeight="1" spans="1:15">
      <c r="A52" s="133"/>
      <c r="B52" s="85">
        <v>43</v>
      </c>
      <c r="C52" s="59">
        <v>4.97573202053187</v>
      </c>
      <c r="D52" s="161">
        <v>0.374971376419585</v>
      </c>
      <c r="E52" s="146">
        <v>0.373369233219633</v>
      </c>
      <c r="F52" s="147">
        <v>-25.6284967317138</v>
      </c>
      <c r="G52" s="162" t="s">
        <v>19</v>
      </c>
      <c r="H52" s="59">
        <v>1.07188403177389</v>
      </c>
      <c r="I52" s="161" t="s">
        <v>19</v>
      </c>
      <c r="J52" s="146" t="s">
        <v>19</v>
      </c>
      <c r="K52" s="147" t="s">
        <v>19</v>
      </c>
      <c r="L52" s="162" t="s">
        <v>19</v>
      </c>
      <c r="M52" s="59" t="s">
        <v>19</v>
      </c>
      <c r="N52" s="163" t="s">
        <v>61</v>
      </c>
      <c r="O52" s="164"/>
    </row>
  </sheetData>
  <sheetProtection password="CC2D" sheet="1" objects="1"/>
  <mergeCells count="9">
    <mergeCell ref="A1:M1"/>
    <mergeCell ref="A2:B2"/>
    <mergeCell ref="C2:G2"/>
    <mergeCell ref="I2:M2"/>
    <mergeCell ref="A4:A24"/>
    <mergeCell ref="A25:A32"/>
    <mergeCell ref="A33:A52"/>
    <mergeCell ref="N25:N26"/>
    <mergeCell ref="N42:N43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Equation.DSMT4" r:id="rId3">
          <objectPr defaultSize="0" r:id="rId4">
            <anchor moveWithCells="1">
              <from>
                <xdr:col>2</xdr:col>
                <xdr:colOff>5715</xdr:colOff>
                <xdr:row>52</xdr:row>
                <xdr:rowOff>14605</xdr:rowOff>
              </from>
              <to>
                <xdr:col>3</xdr:col>
                <xdr:colOff>1169035</xdr:colOff>
                <xdr:row>59</xdr:row>
                <xdr:rowOff>112395</xdr:rowOff>
              </to>
            </anchor>
          </objectPr>
        </oleObject>
      </mc:Choice>
      <mc:Fallback>
        <oleObject shapeId="1025" progId="Equation.DSMT4" r:id="rId3"/>
      </mc:Fallback>
    </mc:AlternateContent>
    <mc:AlternateContent xmlns:mc="http://schemas.openxmlformats.org/markup-compatibility/2006">
      <mc:Choice Requires="x14">
        <oleObject shapeId="1026" progId="Equation.DSMT4" r:id="rId5">
          <objectPr defaultSize="0" r:id="rId6">
            <anchor moveWithCells="1">
              <from>
                <xdr:col>4</xdr:col>
                <xdr:colOff>7620</xdr:colOff>
                <xdr:row>52</xdr:row>
                <xdr:rowOff>3175</xdr:rowOff>
              </from>
              <to>
                <xdr:col>5</xdr:col>
                <xdr:colOff>1096010</xdr:colOff>
                <xdr:row>59</xdr:row>
                <xdr:rowOff>100965</xdr:rowOff>
              </to>
            </anchor>
          </objectPr>
        </oleObject>
      </mc:Choice>
      <mc:Fallback>
        <oleObject shapeId="1026" progId="Equation.DSMT4" r:id="rId5"/>
      </mc:Fallback>
    </mc:AlternateContent>
    <mc:AlternateContent xmlns:mc="http://schemas.openxmlformats.org/markup-compatibility/2006">
      <mc:Choice Requires="x14">
        <oleObject shapeId="1027" progId="Equation.DSMT4" r:id="rId7">
          <objectPr defaultSize="0" r:id="rId8">
            <anchor moveWithCells="1">
              <from>
                <xdr:col>5</xdr:col>
                <xdr:colOff>1089660</xdr:colOff>
                <xdr:row>52</xdr:row>
                <xdr:rowOff>3810</xdr:rowOff>
              </from>
              <to>
                <xdr:col>7</xdr:col>
                <xdr:colOff>710565</xdr:colOff>
                <xdr:row>59</xdr:row>
                <xdr:rowOff>104775</xdr:rowOff>
              </to>
            </anchor>
          </objectPr>
        </oleObject>
      </mc:Choice>
      <mc:Fallback>
        <oleObject shapeId="1027" progId="Equation.DSMT4" r:id="rId7"/>
      </mc:Fallback>
    </mc:AlternateContent>
    <mc:AlternateContent xmlns:mc="http://schemas.openxmlformats.org/markup-compatibility/2006">
      <mc:Choice Requires="x14">
        <oleObject shapeId="1028" progId="Equation.DSMT4" r:id="rId9">
          <objectPr defaultSize="0" r:id="rId10">
            <anchor moveWithCells="1">
              <from>
                <xdr:col>7</xdr:col>
                <xdr:colOff>723900</xdr:colOff>
                <xdr:row>52</xdr:row>
                <xdr:rowOff>6350</xdr:rowOff>
              </from>
              <to>
                <xdr:col>9</xdr:col>
                <xdr:colOff>709930</xdr:colOff>
                <xdr:row>59</xdr:row>
                <xdr:rowOff>119380</xdr:rowOff>
              </to>
            </anchor>
          </objectPr>
        </oleObject>
      </mc:Choice>
      <mc:Fallback>
        <oleObject shapeId="1028" progId="Equation.DSMT4" r:id="rId9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zoomScale="55" zoomScaleNormal="55" topLeftCell="A15" workbookViewId="0">
      <selection activeCell="B3" sqref="B3:B12"/>
    </sheetView>
  </sheetViews>
  <sheetFormatPr defaultColWidth="9" defaultRowHeight="13.8"/>
  <cols>
    <col min="1" max="9" width="17.0648148148148" style="22" customWidth="1"/>
    <col min="10" max="10" width="32.7777777777778" style="22" customWidth="1"/>
    <col min="11" max="12" width="20.7777777777778" style="22" customWidth="1"/>
    <col min="13" max="16" width="17.0648148148148" style="22" customWidth="1"/>
    <col min="17" max="17" width="36.7777777777778" style="22" customWidth="1"/>
    <col min="18" max="24" width="17.0648148148148" style="22" customWidth="1"/>
    <col min="25" max="25" width="9" style="22"/>
    <col min="26" max="26" width="10" style="22"/>
    <col min="27" max="27" width="10.6666666666667" style="22"/>
    <col min="28" max="16384" width="9" style="22"/>
  </cols>
  <sheetData>
    <row r="1" ht="51" customHeight="1" spans="1:23">
      <c r="A1" s="103" t="s">
        <v>46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40"/>
    </row>
    <row r="2" ht="25" customHeight="1" spans="1:23">
      <c r="A2" s="141" t="s">
        <v>65</v>
      </c>
      <c r="B2" s="141" t="s">
        <v>5</v>
      </c>
      <c r="C2" s="142" t="s">
        <v>66</v>
      </c>
      <c r="D2" s="143" t="s">
        <v>9</v>
      </c>
      <c r="E2" s="144" t="s">
        <v>11</v>
      </c>
      <c r="F2" s="144" t="s">
        <v>67</v>
      </c>
      <c r="G2" s="144" t="s">
        <v>68</v>
      </c>
      <c r="H2" s="144" t="s">
        <v>69</v>
      </c>
      <c r="I2" s="144" t="s">
        <v>70</v>
      </c>
      <c r="J2" s="144" t="s">
        <v>71</v>
      </c>
      <c r="K2" s="36" t="s">
        <v>72</v>
      </c>
      <c r="L2" s="145" t="s">
        <v>73</v>
      </c>
      <c r="M2" s="144" t="s">
        <v>6</v>
      </c>
      <c r="N2" s="144" t="s">
        <v>48</v>
      </c>
      <c r="O2" s="144" t="s">
        <v>74</v>
      </c>
      <c r="P2" s="144" t="s">
        <v>75</v>
      </c>
      <c r="Q2" s="144" t="s">
        <v>76</v>
      </c>
      <c r="R2" s="144" t="s">
        <v>77</v>
      </c>
      <c r="S2" s="144" t="s">
        <v>78</v>
      </c>
      <c r="T2" s="144" t="s">
        <v>79</v>
      </c>
      <c r="U2" s="146" t="s">
        <v>78</v>
      </c>
      <c r="V2" s="146" t="s">
        <v>79</v>
      </c>
      <c r="W2" s="144" t="s">
        <v>80</v>
      </c>
    </row>
    <row r="3" ht="25" customHeight="1" spans="1:23">
      <c r="A3" s="110" t="s">
        <v>62</v>
      </c>
      <c r="B3" s="54">
        <v>1</v>
      </c>
      <c r="C3" s="146">
        <v>0.288000638960155</v>
      </c>
      <c r="D3" s="147">
        <v>-16.807789365467</v>
      </c>
      <c r="E3" s="59">
        <v>1.56320345330512</v>
      </c>
      <c r="F3" s="148">
        <f t="shared" ref="F3:F23" si="0">E3/1000</f>
        <v>0.00156320345330512</v>
      </c>
      <c r="G3" s="59">
        <v>0.0302</v>
      </c>
      <c r="H3" s="61">
        <v>1000</v>
      </c>
      <c r="I3" s="59">
        <v>9.801</v>
      </c>
      <c r="J3" s="64">
        <v>0.00101</v>
      </c>
      <c r="K3" s="64">
        <v>1.85e-5</v>
      </c>
      <c r="L3" s="147">
        <f>N3*(1+D3/9.801)-7.5*F3+18*O3</f>
        <v>-2.10614295021115</v>
      </c>
      <c r="M3" s="59">
        <f t="shared" ref="M3:M23" si="1">H3*2*F3*C3^2/G3</f>
        <v>8.58668361288856</v>
      </c>
      <c r="N3" s="59">
        <f t="shared" ref="N3:N23" si="2">H3*I3*(F3*2)^2/G3</f>
        <v>3.17215535920555</v>
      </c>
      <c r="O3" s="64">
        <f t="shared" ref="O3:O23" si="3">J3*C3/G3</f>
        <v>0.00963180944866743</v>
      </c>
      <c r="P3" s="64">
        <f t="shared" ref="P3:P23" si="4">J3/SQRT(H3*G3*F3*2)</f>
        <v>0.00328696554412751</v>
      </c>
      <c r="Q3" s="59">
        <f t="shared" ref="Q3:Q23" si="5">SQRT(H3*8*(F3^3)/G3)</f>
        <v>0.0318100814185568</v>
      </c>
      <c r="R3" s="62">
        <v>4e-6</v>
      </c>
      <c r="S3" s="59">
        <f>K3*(2*F3)^2/(H3*(C3*R3)^2)</f>
        <v>0.136256066087779</v>
      </c>
      <c r="T3" s="59">
        <f t="shared" ref="T3:T23" si="6">Q3/S3</f>
        <v>0.2334580935139</v>
      </c>
      <c r="U3" s="146">
        <f t="shared" ref="U3:U23" si="7">J3*(2*F3)^3/(H3*(C3)^2*(R3)^3)</f>
        <v>5814.21385331373</v>
      </c>
      <c r="V3" s="149">
        <f t="shared" ref="V3:V23" si="8">Q3/U3</f>
        <v>5.47108899347193e-6</v>
      </c>
      <c r="W3" s="64">
        <f t="shared" ref="W3:W23" si="9">0.5*H3*(4/3)*PI()*F3^3*C3^2</f>
        <v>6.63578083128233e-7</v>
      </c>
    </row>
    <row r="4" ht="25" customHeight="1" spans="1:23">
      <c r="A4" s="111"/>
      <c r="B4" s="54">
        <v>2</v>
      </c>
      <c r="C4" s="146">
        <v>0.305701160961114</v>
      </c>
      <c r="D4" s="147">
        <v>-19.5766426469007</v>
      </c>
      <c r="E4" s="59">
        <v>1.54510775179051</v>
      </c>
      <c r="F4" s="148">
        <f t="shared" si="0"/>
        <v>0.00154510775179051</v>
      </c>
      <c r="G4" s="59">
        <v>0.0302</v>
      </c>
      <c r="H4" s="61">
        <v>1000</v>
      </c>
      <c r="I4" s="59">
        <v>9.801</v>
      </c>
      <c r="J4" s="64">
        <v>0.00101</v>
      </c>
      <c r="K4" s="64">
        <v>1.85e-5</v>
      </c>
      <c r="L4" s="147">
        <f t="shared" ref="L4:L24" si="10">N4*(1+D4/9.801)-7.5*F4+18*O4</f>
        <v>-2.91868056721328</v>
      </c>
      <c r="M4" s="59">
        <f t="shared" si="1"/>
        <v>9.56260022918224</v>
      </c>
      <c r="N4" s="59">
        <f t="shared" si="2"/>
        <v>3.099138465095</v>
      </c>
      <c r="O4" s="64">
        <f t="shared" si="3"/>
        <v>0.0102237805486995</v>
      </c>
      <c r="P4" s="64">
        <f t="shared" si="4"/>
        <v>0.00330615734748005</v>
      </c>
      <c r="Q4" s="59">
        <f t="shared" si="5"/>
        <v>0.0312593309935441</v>
      </c>
      <c r="R4" s="62">
        <v>4e-6</v>
      </c>
      <c r="S4" s="59">
        <f t="shared" ref="S4:S51" si="11">K4*(2*F4)^2/(H4*(C4*R4)^2)</f>
        <v>0.118150374824744</v>
      </c>
      <c r="T4" s="59">
        <f t="shared" si="6"/>
        <v>0.264572423404598</v>
      </c>
      <c r="U4" s="146">
        <f t="shared" si="7"/>
        <v>4983.25974645549</v>
      </c>
      <c r="V4" s="149">
        <f t="shared" si="8"/>
        <v>6.272868079128e-6</v>
      </c>
      <c r="W4" s="64">
        <f t="shared" si="9"/>
        <v>7.21986544647644e-7</v>
      </c>
    </row>
    <row r="5" ht="25" customHeight="1" spans="1:23">
      <c r="A5" s="111"/>
      <c r="B5" s="54">
        <v>3</v>
      </c>
      <c r="C5" s="146">
        <v>0.403494651772477</v>
      </c>
      <c r="D5" s="147">
        <v>-18.9839661928814</v>
      </c>
      <c r="E5" s="59">
        <v>1.6483625286319</v>
      </c>
      <c r="F5" s="148">
        <f t="shared" si="0"/>
        <v>0.0016483625286319</v>
      </c>
      <c r="G5" s="59">
        <v>0.0302</v>
      </c>
      <c r="H5" s="61">
        <v>1000</v>
      </c>
      <c r="I5" s="59">
        <v>9.801</v>
      </c>
      <c r="J5" s="64">
        <v>0.00101</v>
      </c>
      <c r="K5" s="64">
        <v>1.85e-5</v>
      </c>
      <c r="L5" s="147">
        <f t="shared" si="10"/>
        <v>-3.07423626920392</v>
      </c>
      <c r="M5" s="59">
        <f t="shared" si="1"/>
        <v>17.7726157473111</v>
      </c>
      <c r="N5" s="59">
        <f t="shared" si="2"/>
        <v>3.52719040421772</v>
      </c>
      <c r="O5" s="64">
        <f t="shared" si="3"/>
        <v>0.0134943575592782</v>
      </c>
      <c r="P5" s="64">
        <f t="shared" si="4"/>
        <v>0.00320093266048912</v>
      </c>
      <c r="Q5" s="59">
        <f t="shared" si="5"/>
        <v>0.0344445584691453</v>
      </c>
      <c r="R5" s="62">
        <v>4e-6</v>
      </c>
      <c r="S5" s="59">
        <f t="shared" si="11"/>
        <v>0.0771865515695353</v>
      </c>
      <c r="T5" s="59">
        <f t="shared" si="6"/>
        <v>0.446250775151098</v>
      </c>
      <c r="U5" s="146">
        <f t="shared" si="7"/>
        <v>3473.07387877706</v>
      </c>
      <c r="V5" s="149">
        <f t="shared" si="8"/>
        <v>9.91760027899953e-6</v>
      </c>
      <c r="W5" s="64">
        <f t="shared" si="9"/>
        <v>1.52718756435507e-6</v>
      </c>
    </row>
    <row r="6" ht="25" customHeight="1" spans="1:23">
      <c r="A6" s="111"/>
      <c r="B6" s="54">
        <v>4</v>
      </c>
      <c r="C6" s="146">
        <v>0.30892619704462</v>
      </c>
      <c r="D6" s="147">
        <v>-21.1321351458282</v>
      </c>
      <c r="E6" s="59">
        <v>1.4990007014024</v>
      </c>
      <c r="F6" s="148">
        <f t="shared" si="0"/>
        <v>0.0014990007014024</v>
      </c>
      <c r="G6" s="59">
        <v>0.0302</v>
      </c>
      <c r="H6" s="61">
        <v>1000</v>
      </c>
      <c r="I6" s="59">
        <v>9.801</v>
      </c>
      <c r="J6" s="64">
        <v>0.00101</v>
      </c>
      <c r="K6" s="64">
        <v>1.85e-5</v>
      </c>
      <c r="L6" s="147">
        <f t="shared" si="10"/>
        <v>-3.19760360001677</v>
      </c>
      <c r="M6" s="59">
        <f t="shared" si="1"/>
        <v>9.47402148172661</v>
      </c>
      <c r="N6" s="59">
        <f t="shared" si="2"/>
        <v>2.91693740537625</v>
      </c>
      <c r="O6" s="64">
        <f t="shared" si="3"/>
        <v>0.0103316377157307</v>
      </c>
      <c r="P6" s="64">
        <f t="shared" si="4"/>
        <v>0.00335661851997399</v>
      </c>
      <c r="Q6" s="59">
        <f t="shared" si="5"/>
        <v>0.0298706226903521</v>
      </c>
      <c r="R6" s="62">
        <v>4e-6</v>
      </c>
      <c r="S6" s="59">
        <f t="shared" si="11"/>
        <v>0.108894496915601</v>
      </c>
      <c r="T6" s="59">
        <f t="shared" si="6"/>
        <v>0.274307917630616</v>
      </c>
      <c r="U6" s="146">
        <f t="shared" si="7"/>
        <v>4455.81774399732</v>
      </c>
      <c r="V6" s="149">
        <f t="shared" si="8"/>
        <v>6.70373529765495e-6</v>
      </c>
      <c r="W6" s="64">
        <f t="shared" si="9"/>
        <v>6.73245715367951e-7</v>
      </c>
    </row>
    <row r="7" ht="25" customHeight="1" spans="1:23">
      <c r="A7" s="111"/>
      <c r="B7" s="54">
        <v>5</v>
      </c>
      <c r="C7" s="146">
        <v>0.375399200272031</v>
      </c>
      <c r="D7" s="147">
        <v>-14.2293116489042</v>
      </c>
      <c r="E7" s="59">
        <v>1.44487015160013</v>
      </c>
      <c r="F7" s="148">
        <f t="shared" si="0"/>
        <v>0.00144487015160013</v>
      </c>
      <c r="G7" s="59">
        <v>0.0302</v>
      </c>
      <c r="H7" s="61">
        <v>1000</v>
      </c>
      <c r="I7" s="59">
        <v>9.801</v>
      </c>
      <c r="J7" s="64">
        <v>0.00101</v>
      </c>
      <c r="K7" s="64">
        <v>1.85e-5</v>
      </c>
      <c r="L7" s="147">
        <f t="shared" si="10"/>
        <v>-1.00932319681192</v>
      </c>
      <c r="M7" s="59">
        <f t="shared" si="1"/>
        <v>13.4846152147477</v>
      </c>
      <c r="N7" s="59">
        <f t="shared" si="2"/>
        <v>2.71007354286196</v>
      </c>
      <c r="O7" s="64">
        <f t="shared" si="3"/>
        <v>0.0125547414660514</v>
      </c>
      <c r="P7" s="64">
        <f t="shared" si="4"/>
        <v>0.00341891650457948</v>
      </c>
      <c r="Q7" s="59">
        <f t="shared" si="5"/>
        <v>0.0282673275370276</v>
      </c>
      <c r="R7" s="62">
        <v>4e-6</v>
      </c>
      <c r="S7" s="59">
        <f t="shared" si="11"/>
        <v>0.0685145310839896</v>
      </c>
      <c r="T7" s="59">
        <f t="shared" si="6"/>
        <v>0.412574195426889</v>
      </c>
      <c r="U7" s="146">
        <f t="shared" si="7"/>
        <v>2702.28505198047</v>
      </c>
      <c r="V7" s="149">
        <f t="shared" si="8"/>
        <v>1.04605276620654e-5</v>
      </c>
      <c r="W7" s="64">
        <f t="shared" si="9"/>
        <v>8.90290538774941e-7</v>
      </c>
    </row>
    <row r="8" ht="25" customHeight="1" spans="1:23">
      <c r="A8" s="111"/>
      <c r="B8" s="54">
        <v>6</v>
      </c>
      <c r="C8" s="146">
        <v>0.46038295904576</v>
      </c>
      <c r="D8" s="147">
        <v>-12.4653892243224</v>
      </c>
      <c r="E8" s="59">
        <v>1.43575679958388</v>
      </c>
      <c r="F8" s="148">
        <f t="shared" si="0"/>
        <v>0.00143575679958388</v>
      </c>
      <c r="G8" s="59">
        <v>0.0302</v>
      </c>
      <c r="H8" s="61">
        <v>1000</v>
      </c>
      <c r="I8" s="59">
        <v>9.801</v>
      </c>
      <c r="J8" s="64">
        <v>0.00101</v>
      </c>
      <c r="K8" s="64">
        <v>1.85e-5</v>
      </c>
      <c r="L8" s="147">
        <f t="shared" si="10"/>
        <v>-0.461089364136352</v>
      </c>
      <c r="M8" s="59">
        <f t="shared" si="1"/>
        <v>20.1531257302145</v>
      </c>
      <c r="N8" s="59">
        <f t="shared" si="2"/>
        <v>2.67599440471401</v>
      </c>
      <c r="O8" s="64">
        <f t="shared" si="3"/>
        <v>0.0153969135310006</v>
      </c>
      <c r="P8" s="64">
        <f t="shared" si="4"/>
        <v>0.00342974999080417</v>
      </c>
      <c r="Q8" s="59">
        <f t="shared" si="5"/>
        <v>0.0280003103245464</v>
      </c>
      <c r="R8" s="62">
        <v>4e-6</v>
      </c>
      <c r="S8" s="59">
        <f t="shared" si="11"/>
        <v>0.0449816125677534</v>
      </c>
      <c r="T8" s="59">
        <f t="shared" si="6"/>
        <v>0.622483471048777</v>
      </c>
      <c r="U8" s="146">
        <f t="shared" si="7"/>
        <v>1762.93196382172</v>
      </c>
      <c r="V8" s="149">
        <f t="shared" si="8"/>
        <v>1.58828082417014e-5</v>
      </c>
      <c r="W8" s="64">
        <f t="shared" si="9"/>
        <v>1.3138317074706e-6</v>
      </c>
    </row>
    <row r="9" ht="25" customHeight="1" spans="1:23">
      <c r="A9" s="111"/>
      <c r="B9" s="54">
        <v>7</v>
      </c>
      <c r="C9" s="146">
        <v>0.360030528595507</v>
      </c>
      <c r="D9" s="147">
        <v>-15.3195421708314</v>
      </c>
      <c r="E9" s="59">
        <v>1.3459563421992</v>
      </c>
      <c r="F9" s="148">
        <f t="shared" si="0"/>
        <v>0.0013459563421992</v>
      </c>
      <c r="G9" s="59">
        <v>0.0302</v>
      </c>
      <c r="H9" s="61">
        <v>1000</v>
      </c>
      <c r="I9" s="59">
        <v>9.801</v>
      </c>
      <c r="J9" s="64">
        <v>0.00101</v>
      </c>
      <c r="K9" s="64">
        <v>1.85e-5</v>
      </c>
      <c r="L9" s="147">
        <f t="shared" si="10"/>
        <v>-1.1175176962779</v>
      </c>
      <c r="M9" s="59">
        <f t="shared" si="1"/>
        <v>11.5540084845228</v>
      </c>
      <c r="N9" s="59">
        <f t="shared" si="2"/>
        <v>2.3517187621876</v>
      </c>
      <c r="O9" s="64">
        <f t="shared" si="3"/>
        <v>0.0120407560887901</v>
      </c>
      <c r="P9" s="64">
        <f t="shared" si="4"/>
        <v>0.00354231695507838</v>
      </c>
      <c r="Q9" s="59">
        <f t="shared" si="5"/>
        <v>0.025414875224408</v>
      </c>
      <c r="R9" s="62">
        <v>4e-6</v>
      </c>
      <c r="S9" s="59">
        <f t="shared" si="11"/>
        <v>0.0646390592788808</v>
      </c>
      <c r="T9" s="59">
        <f t="shared" si="6"/>
        <v>0.393181390755661</v>
      </c>
      <c r="U9" s="146">
        <f t="shared" si="7"/>
        <v>2374.90176508383</v>
      </c>
      <c r="V9" s="149">
        <f t="shared" si="8"/>
        <v>1.07014427283105e-5</v>
      </c>
      <c r="W9" s="64">
        <f t="shared" si="9"/>
        <v>6.61957625598416e-7</v>
      </c>
    </row>
    <row r="10" ht="25" customHeight="1" spans="1:23">
      <c r="A10" s="111"/>
      <c r="B10" s="54">
        <v>8</v>
      </c>
      <c r="C10" s="146">
        <v>0.381427083576573</v>
      </c>
      <c r="D10" s="147">
        <v>-11.882242008582</v>
      </c>
      <c r="E10" s="59">
        <v>1.4601683847812</v>
      </c>
      <c r="F10" s="148">
        <f t="shared" si="0"/>
        <v>0.0014601683847812</v>
      </c>
      <c r="G10" s="59">
        <v>0.0302</v>
      </c>
      <c r="H10" s="61">
        <v>1000</v>
      </c>
      <c r="I10" s="59">
        <v>9.801</v>
      </c>
      <c r="J10" s="64">
        <v>0.00101</v>
      </c>
      <c r="K10" s="64">
        <v>1.85e-5</v>
      </c>
      <c r="L10" s="147">
        <f t="shared" si="10"/>
        <v>-0.369072155883279</v>
      </c>
      <c r="M10" s="59">
        <f t="shared" si="1"/>
        <v>14.068540599858</v>
      </c>
      <c r="N10" s="59">
        <f t="shared" si="2"/>
        <v>2.76776567794363</v>
      </c>
      <c r="O10" s="64">
        <f t="shared" si="3"/>
        <v>0.0127563362388192</v>
      </c>
      <c r="P10" s="64">
        <f t="shared" si="4"/>
        <v>0.0034009592946705</v>
      </c>
      <c r="Q10" s="59">
        <f t="shared" si="5"/>
        <v>0.0287174539593096</v>
      </c>
      <c r="R10" s="62">
        <v>4e-6</v>
      </c>
      <c r="S10" s="59">
        <f t="shared" si="11"/>
        <v>0.0677789075159905</v>
      </c>
      <c r="T10" s="59">
        <f t="shared" si="6"/>
        <v>0.423693078153179</v>
      </c>
      <c r="U10" s="146">
        <f t="shared" si="7"/>
        <v>2701.57578618802</v>
      </c>
      <c r="V10" s="149">
        <f t="shared" si="8"/>
        <v>1.06298901945041e-5</v>
      </c>
      <c r="W10" s="64">
        <f t="shared" si="9"/>
        <v>9.48616099626904e-7</v>
      </c>
    </row>
    <row r="11" ht="25" customHeight="1" spans="1:23">
      <c r="A11" s="111"/>
      <c r="B11" s="54">
        <v>9</v>
      </c>
      <c r="C11" s="146">
        <v>0.449709287993055</v>
      </c>
      <c r="D11" s="147">
        <v>-15.1260850526811</v>
      </c>
      <c r="E11" s="59">
        <v>1.36917403574902</v>
      </c>
      <c r="F11" s="148">
        <f t="shared" si="0"/>
        <v>0.00136917403574902</v>
      </c>
      <c r="G11" s="59">
        <v>0.0302</v>
      </c>
      <c r="H11" s="61">
        <v>1000</v>
      </c>
      <c r="I11" s="59">
        <v>9.801</v>
      </c>
      <c r="J11" s="64">
        <v>0.00101</v>
      </c>
      <c r="K11" s="64">
        <v>1.85e-5</v>
      </c>
      <c r="L11" s="147">
        <f t="shared" si="10"/>
        <v>-1.06174902121802</v>
      </c>
      <c r="M11" s="59">
        <f t="shared" si="1"/>
        <v>18.3377235863719</v>
      </c>
      <c r="N11" s="59">
        <f t="shared" si="2"/>
        <v>2.43355265313893</v>
      </c>
      <c r="O11" s="64">
        <f t="shared" si="3"/>
        <v>0.0150399463865227</v>
      </c>
      <c r="P11" s="64">
        <f t="shared" si="4"/>
        <v>0.00351215421493562</v>
      </c>
      <c r="Q11" s="59">
        <f t="shared" si="5"/>
        <v>0.0260753114383446</v>
      </c>
      <c r="R11" s="62">
        <v>4e-6</v>
      </c>
      <c r="S11" s="59">
        <f t="shared" si="11"/>
        <v>0.0428711696171605</v>
      </c>
      <c r="T11" s="59">
        <f t="shared" si="6"/>
        <v>0.608224866995631</v>
      </c>
      <c r="U11" s="146">
        <f t="shared" si="7"/>
        <v>1602.29927689807</v>
      </c>
      <c r="V11" s="149">
        <f t="shared" si="8"/>
        <v>1.62736835835216e-5</v>
      </c>
      <c r="W11" s="64">
        <f t="shared" si="9"/>
        <v>1.08717208518789e-6</v>
      </c>
    </row>
    <row r="12" ht="25" customHeight="1" spans="1:23">
      <c r="A12" s="111"/>
      <c r="B12" s="54">
        <v>10</v>
      </c>
      <c r="C12" s="146">
        <v>0.456369880305615</v>
      </c>
      <c r="D12" s="147">
        <v>-12.4415418612981</v>
      </c>
      <c r="E12" s="59">
        <v>1.39952188008319</v>
      </c>
      <c r="F12" s="148">
        <f t="shared" si="0"/>
        <v>0.00139952188008319</v>
      </c>
      <c r="G12" s="59">
        <v>0.0302</v>
      </c>
      <c r="H12" s="61">
        <v>1000</v>
      </c>
      <c r="I12" s="59">
        <v>9.801</v>
      </c>
      <c r="J12" s="64">
        <v>0.00101</v>
      </c>
      <c r="K12" s="64">
        <v>1.85e-5</v>
      </c>
      <c r="L12" s="147">
        <f t="shared" si="10"/>
        <v>-0.420791322437765</v>
      </c>
      <c r="M12" s="59">
        <f t="shared" si="1"/>
        <v>19.3035281468344</v>
      </c>
      <c r="N12" s="59">
        <f t="shared" si="2"/>
        <v>2.54262798559502</v>
      </c>
      <c r="O12" s="64">
        <f t="shared" si="3"/>
        <v>0.0152627012949891</v>
      </c>
      <c r="P12" s="64">
        <f t="shared" si="4"/>
        <v>0.00347386596879442</v>
      </c>
      <c r="Q12" s="59">
        <f t="shared" si="5"/>
        <v>0.0269470396211316</v>
      </c>
      <c r="R12" s="62">
        <v>4e-6</v>
      </c>
      <c r="S12" s="59">
        <f t="shared" si="11"/>
        <v>0.0434947835965465</v>
      </c>
      <c r="T12" s="59">
        <f t="shared" si="6"/>
        <v>0.61954646955115</v>
      </c>
      <c r="U12" s="146">
        <f t="shared" si="7"/>
        <v>1661.63838718861</v>
      </c>
      <c r="V12" s="149">
        <f t="shared" si="8"/>
        <v>1.62171503913823e-5</v>
      </c>
      <c r="W12" s="64">
        <f t="shared" si="9"/>
        <v>1.19572590811916e-6</v>
      </c>
    </row>
    <row r="13" ht="25" customHeight="1" spans="1:23">
      <c r="A13" s="111"/>
      <c r="B13" s="54">
        <v>11</v>
      </c>
      <c r="C13" s="146">
        <v>0.839488626875709</v>
      </c>
      <c r="D13" s="147">
        <v>-33.3288531850998</v>
      </c>
      <c r="E13" s="59">
        <v>1.41311904509994</v>
      </c>
      <c r="F13" s="148">
        <f t="shared" si="0"/>
        <v>0.00141311904509994</v>
      </c>
      <c r="G13" s="59">
        <v>0.0302</v>
      </c>
      <c r="H13" s="61">
        <v>1000</v>
      </c>
      <c r="I13" s="59">
        <v>9.801</v>
      </c>
      <c r="J13" s="64">
        <v>0.00101</v>
      </c>
      <c r="K13" s="64">
        <v>1.85e-5</v>
      </c>
      <c r="L13" s="147">
        <f t="shared" si="10"/>
        <v>-5.72813774445985</v>
      </c>
      <c r="M13" s="59">
        <f t="shared" si="1"/>
        <v>65.9525263249546</v>
      </c>
      <c r="N13" s="59">
        <f t="shared" si="2"/>
        <v>2.59227419530496</v>
      </c>
      <c r="O13" s="64">
        <f t="shared" si="3"/>
        <v>0.0280756130180287</v>
      </c>
      <c r="P13" s="64">
        <f t="shared" si="4"/>
        <v>0.00345711263750019</v>
      </c>
      <c r="Q13" s="59">
        <f t="shared" si="5"/>
        <v>0.0273407010589668</v>
      </c>
      <c r="R13" s="62">
        <v>4e-6</v>
      </c>
      <c r="S13" s="59">
        <f t="shared" si="11"/>
        <v>0.0131050777704341</v>
      </c>
      <c r="T13" s="59">
        <f t="shared" si="6"/>
        <v>2.08626774582362</v>
      </c>
      <c r="U13" s="146">
        <f t="shared" si="7"/>
        <v>505.519603642309</v>
      </c>
      <c r="V13" s="149">
        <f t="shared" si="8"/>
        <v>5.40843537262945e-5</v>
      </c>
      <c r="W13" s="64">
        <f t="shared" si="9"/>
        <v>4.1650910152266e-6</v>
      </c>
    </row>
    <row r="14" ht="25" customHeight="1" spans="1:23">
      <c r="A14" s="111"/>
      <c r="B14" s="54">
        <v>23</v>
      </c>
      <c r="C14" s="146">
        <v>0.515224834674623</v>
      </c>
      <c r="D14" s="147">
        <v>-29.9789765760212</v>
      </c>
      <c r="E14" s="59">
        <v>1.12748012513518</v>
      </c>
      <c r="F14" s="148">
        <f t="shared" si="0"/>
        <v>0.00112748012513518</v>
      </c>
      <c r="G14" s="59">
        <v>0.0302</v>
      </c>
      <c r="H14" s="61">
        <v>1000</v>
      </c>
      <c r="I14" s="59">
        <v>9.801</v>
      </c>
      <c r="J14" s="64">
        <v>0.00101</v>
      </c>
      <c r="K14" s="64">
        <v>1.85e-5</v>
      </c>
      <c r="L14" s="147">
        <f t="shared" si="10"/>
        <v>-3.09571141697419</v>
      </c>
      <c r="M14" s="59">
        <f t="shared" si="1"/>
        <v>19.8209983251457</v>
      </c>
      <c r="N14" s="59">
        <f t="shared" si="2"/>
        <v>1.65021764909484</v>
      </c>
      <c r="O14" s="64">
        <f t="shared" si="3"/>
        <v>0.0172310292391182</v>
      </c>
      <c r="P14" s="64">
        <f t="shared" si="4"/>
        <v>0.00387033410532832</v>
      </c>
      <c r="Q14" s="59">
        <f t="shared" si="5"/>
        <v>0.0194851998517928</v>
      </c>
      <c r="R14" s="62">
        <v>4e-6</v>
      </c>
      <c r="S14" s="59">
        <f t="shared" si="11"/>
        <v>0.0221480731891251</v>
      </c>
      <c r="T14" s="59">
        <f t="shared" si="6"/>
        <v>0.879769526017289</v>
      </c>
      <c r="U14" s="146">
        <f t="shared" si="7"/>
        <v>681.654796056368</v>
      </c>
      <c r="V14" s="149">
        <f t="shared" si="8"/>
        <v>2.85851430438428e-5</v>
      </c>
      <c r="W14" s="64">
        <f t="shared" si="9"/>
        <v>7.96854217899883e-7</v>
      </c>
    </row>
    <row r="15" ht="25" customHeight="1" spans="1:23">
      <c r="A15" s="111"/>
      <c r="B15" s="54">
        <v>34</v>
      </c>
      <c r="C15" s="146">
        <v>0.413764589074592</v>
      </c>
      <c r="D15" s="147">
        <v>-22.4763455062503</v>
      </c>
      <c r="E15" s="59">
        <v>1.12344815011812</v>
      </c>
      <c r="F15" s="148">
        <f t="shared" si="0"/>
        <v>0.00112344815011812</v>
      </c>
      <c r="G15" s="59">
        <v>0.0302</v>
      </c>
      <c r="H15" s="61">
        <v>1000</v>
      </c>
      <c r="I15" s="59">
        <v>9.801</v>
      </c>
      <c r="J15" s="64">
        <v>0.00101</v>
      </c>
      <c r="K15" s="64">
        <v>1.85e-5</v>
      </c>
      <c r="L15" s="147">
        <f t="shared" si="10"/>
        <v>-1.87828633782038</v>
      </c>
      <c r="M15" s="59">
        <f t="shared" si="1"/>
        <v>12.7374568614026</v>
      </c>
      <c r="N15" s="59">
        <f t="shared" si="2"/>
        <v>1.6384360856402</v>
      </c>
      <c r="O15" s="64">
        <f t="shared" si="3"/>
        <v>0.0138378223498456</v>
      </c>
      <c r="P15" s="64">
        <f t="shared" si="4"/>
        <v>0.00387727306112227</v>
      </c>
      <c r="Q15" s="59">
        <f t="shared" si="5"/>
        <v>0.019380771989941</v>
      </c>
      <c r="R15" s="62">
        <v>4e-6</v>
      </c>
      <c r="S15" s="59">
        <f t="shared" si="11"/>
        <v>0.0340966070078965</v>
      </c>
      <c r="T15" s="59">
        <f t="shared" si="6"/>
        <v>0.568407642011199</v>
      </c>
      <c r="U15" s="146">
        <f t="shared" si="7"/>
        <v>1045.643993757</v>
      </c>
      <c r="V15" s="149">
        <f t="shared" si="8"/>
        <v>1.85347710173381e-5</v>
      </c>
      <c r="W15" s="64">
        <f t="shared" si="9"/>
        <v>5.08422022621902e-7</v>
      </c>
    </row>
    <row r="16" ht="25" customHeight="1" spans="1:23">
      <c r="A16" s="111"/>
      <c r="B16" s="54">
        <v>35</v>
      </c>
      <c r="C16" s="146">
        <v>0.39823539947186</v>
      </c>
      <c r="D16" s="147">
        <v>-22.7517607063105</v>
      </c>
      <c r="E16" s="59">
        <v>1.12528803677558</v>
      </c>
      <c r="F16" s="148">
        <f t="shared" si="0"/>
        <v>0.00112528803677558</v>
      </c>
      <c r="G16" s="59">
        <v>0.0302</v>
      </c>
      <c r="H16" s="61">
        <v>1000</v>
      </c>
      <c r="I16" s="59">
        <v>9.801</v>
      </c>
      <c r="J16" s="64">
        <v>0.00101</v>
      </c>
      <c r="K16" s="64">
        <v>1.85e-5</v>
      </c>
      <c r="L16" s="147">
        <f t="shared" si="10"/>
        <v>-1.9407867950223</v>
      </c>
      <c r="M16" s="59">
        <f t="shared" si="1"/>
        <v>11.8186121014361</v>
      </c>
      <c r="N16" s="59">
        <f t="shared" si="2"/>
        <v>1.64380705922199</v>
      </c>
      <c r="O16" s="64">
        <f t="shared" si="3"/>
        <v>0.0133184686578337</v>
      </c>
      <c r="P16" s="64">
        <f t="shared" si="4"/>
        <v>0.00387410202352677</v>
      </c>
      <c r="Q16" s="59">
        <f t="shared" si="5"/>
        <v>0.0194284017172898</v>
      </c>
      <c r="R16" s="62">
        <v>4e-6</v>
      </c>
      <c r="S16" s="59">
        <f t="shared" si="11"/>
        <v>0.0369283085859692</v>
      </c>
      <c r="T16" s="59">
        <f t="shared" si="6"/>
        <v>0.526111334670541</v>
      </c>
      <c r="U16" s="146">
        <f t="shared" si="7"/>
        <v>1134.33874888783</v>
      </c>
      <c r="V16" s="149">
        <f t="shared" si="8"/>
        <v>1.71275130434701e-5</v>
      </c>
      <c r="W16" s="64">
        <f t="shared" si="9"/>
        <v>4.73292304856492e-7</v>
      </c>
    </row>
    <row r="17" ht="25" customHeight="1" spans="1:23">
      <c r="A17" s="111"/>
      <c r="B17" s="54">
        <v>36</v>
      </c>
      <c r="C17" s="146">
        <v>0.351669338204214</v>
      </c>
      <c r="D17" s="147">
        <v>-21.1230303559552</v>
      </c>
      <c r="E17" s="59">
        <v>1.13200164611805</v>
      </c>
      <c r="F17" s="148">
        <f t="shared" si="0"/>
        <v>0.00113200164611805</v>
      </c>
      <c r="G17" s="59">
        <v>0.0302</v>
      </c>
      <c r="H17" s="61">
        <v>1000</v>
      </c>
      <c r="I17" s="59">
        <v>9.801</v>
      </c>
      <c r="J17" s="64">
        <v>0.00101</v>
      </c>
      <c r="K17" s="64">
        <v>1.85e-5</v>
      </c>
      <c r="L17" s="147">
        <f t="shared" si="10"/>
        <v>-1.71842729444023</v>
      </c>
      <c r="M17" s="59">
        <f t="shared" si="1"/>
        <v>9.27126766249949</v>
      </c>
      <c r="N17" s="59">
        <f t="shared" si="2"/>
        <v>1.66347988748394</v>
      </c>
      <c r="O17" s="64">
        <f t="shared" si="3"/>
        <v>0.0117611268737171</v>
      </c>
      <c r="P17" s="64">
        <f t="shared" si="4"/>
        <v>0.00386259679034906</v>
      </c>
      <c r="Q17" s="59">
        <f t="shared" si="5"/>
        <v>0.0196025292065582</v>
      </c>
      <c r="R17" s="62">
        <v>4e-6</v>
      </c>
      <c r="S17" s="59">
        <f t="shared" si="11"/>
        <v>0.0479222108407848</v>
      </c>
      <c r="T17" s="59">
        <f t="shared" si="6"/>
        <v>0.409048932898464</v>
      </c>
      <c r="U17" s="146">
        <f t="shared" si="7"/>
        <v>1480.82437224212</v>
      </c>
      <c r="V17" s="149">
        <f t="shared" si="8"/>
        <v>1.32375787257458e-5</v>
      </c>
      <c r="W17" s="64">
        <f t="shared" si="9"/>
        <v>3.75723878758349e-7</v>
      </c>
    </row>
    <row r="18" ht="25" customHeight="1" spans="1:23">
      <c r="A18" s="111"/>
      <c r="B18" s="54">
        <v>39</v>
      </c>
      <c r="C18" s="146">
        <v>0.34844810002651</v>
      </c>
      <c r="D18" s="147">
        <v>-21.4933309330614</v>
      </c>
      <c r="E18" s="59">
        <v>1.12992329148895</v>
      </c>
      <c r="F18" s="148">
        <f t="shared" si="0"/>
        <v>0.00112992329148895</v>
      </c>
      <c r="G18" s="59">
        <v>0.0302</v>
      </c>
      <c r="H18" s="61">
        <v>1000</v>
      </c>
      <c r="I18" s="59">
        <v>9.801</v>
      </c>
      <c r="J18" s="64">
        <v>0.00101</v>
      </c>
      <c r="K18" s="64">
        <v>1.85e-5</v>
      </c>
      <c r="L18" s="147">
        <f t="shared" si="10"/>
        <v>-1.77591996451071</v>
      </c>
      <c r="M18" s="59">
        <f t="shared" si="1"/>
        <v>9.08548708338167</v>
      </c>
      <c r="N18" s="59">
        <f t="shared" si="2"/>
        <v>1.65737719790822</v>
      </c>
      <c r="O18" s="64">
        <f t="shared" si="3"/>
        <v>0.0116533967227409</v>
      </c>
      <c r="P18" s="64">
        <f t="shared" si="4"/>
        <v>0.00386614754366697</v>
      </c>
      <c r="Q18" s="59">
        <f t="shared" si="5"/>
        <v>0.0195485686381971</v>
      </c>
      <c r="R18" s="62">
        <v>4e-6</v>
      </c>
      <c r="S18" s="59">
        <f t="shared" si="11"/>
        <v>0.0486332684165735</v>
      </c>
      <c r="T18" s="59">
        <f t="shared" si="6"/>
        <v>0.401958767622848</v>
      </c>
      <c r="U18" s="146">
        <f t="shared" si="7"/>
        <v>1500.03733384788</v>
      </c>
      <c r="V18" s="149">
        <f t="shared" si="8"/>
        <v>1.30320547342987e-5</v>
      </c>
      <c r="W18" s="64">
        <f t="shared" si="9"/>
        <v>3.66844234776734e-7</v>
      </c>
    </row>
    <row r="19" ht="25" customHeight="1" spans="1:23">
      <c r="A19" s="111"/>
      <c r="B19" s="54" t="s">
        <v>38</v>
      </c>
      <c r="C19" s="146">
        <v>0.18248599114776</v>
      </c>
      <c r="D19" s="147">
        <v>-14.2504330683497</v>
      </c>
      <c r="E19" s="59">
        <v>1.75057525713118</v>
      </c>
      <c r="F19" s="148">
        <f t="shared" si="0"/>
        <v>0.00175057525713118</v>
      </c>
      <c r="G19" s="59">
        <v>0.0302</v>
      </c>
      <c r="H19" s="61">
        <v>1000</v>
      </c>
      <c r="I19" s="59">
        <v>9.801</v>
      </c>
      <c r="J19" s="64">
        <v>0.00101</v>
      </c>
      <c r="K19" s="64">
        <v>1.85e-5</v>
      </c>
      <c r="L19" s="147">
        <f t="shared" si="10"/>
        <v>-1.70928161943804</v>
      </c>
      <c r="M19" s="59">
        <f t="shared" si="1"/>
        <v>3.86067194738948</v>
      </c>
      <c r="N19" s="59">
        <f t="shared" si="2"/>
        <v>3.97818530812634</v>
      </c>
      <c r="O19" s="64">
        <f t="shared" si="3"/>
        <v>0.00610300831321979</v>
      </c>
      <c r="P19" s="64">
        <f t="shared" si="4"/>
        <v>0.003106079101532</v>
      </c>
      <c r="Q19" s="59">
        <f t="shared" si="5"/>
        <v>0.0376975130924511</v>
      </c>
      <c r="R19" s="62">
        <v>4e-6</v>
      </c>
      <c r="S19" s="59">
        <f t="shared" si="11"/>
        <v>0.425612375341395</v>
      </c>
      <c r="T19" s="59">
        <f t="shared" si="6"/>
        <v>0.0885724083145209</v>
      </c>
      <c r="U19" s="146">
        <f t="shared" si="7"/>
        <v>20338.3015766348</v>
      </c>
      <c r="V19" s="149">
        <f t="shared" si="8"/>
        <v>1.85352316418393e-6</v>
      </c>
      <c r="W19" s="64">
        <f t="shared" si="9"/>
        <v>3.7416230508182e-7</v>
      </c>
    </row>
    <row r="20" ht="25" customHeight="1" spans="1:23">
      <c r="A20" s="111"/>
      <c r="B20" s="54" t="s">
        <v>39</v>
      </c>
      <c r="C20" s="146">
        <v>1.75763280241481</v>
      </c>
      <c r="D20" s="147">
        <v>-95.4574380371422</v>
      </c>
      <c r="E20" s="59">
        <v>1.73275075410634</v>
      </c>
      <c r="F20" s="148">
        <f t="shared" si="0"/>
        <v>0.00173275075410634</v>
      </c>
      <c r="G20" s="59">
        <v>0.0302</v>
      </c>
      <c r="H20" s="61">
        <v>1000</v>
      </c>
      <c r="I20" s="59">
        <v>9.801</v>
      </c>
      <c r="J20" s="64">
        <v>0.00101</v>
      </c>
      <c r="K20" s="64">
        <v>1.85e-5</v>
      </c>
      <c r="L20" s="147">
        <f t="shared" si="10"/>
        <v>-33.0181088690528</v>
      </c>
      <c r="M20" s="59">
        <f t="shared" si="1"/>
        <v>354.499353538623</v>
      </c>
      <c r="N20" s="59">
        <f t="shared" si="2"/>
        <v>3.8975853176908</v>
      </c>
      <c r="O20" s="64">
        <f t="shared" si="3"/>
        <v>0.0587817592860582</v>
      </c>
      <c r="P20" s="64">
        <f t="shared" si="4"/>
        <v>0.00312201407172482</v>
      </c>
      <c r="Q20" s="59">
        <f t="shared" si="5"/>
        <v>0.0371232223695984</v>
      </c>
      <c r="R20" s="62">
        <v>4e-6</v>
      </c>
      <c r="S20" s="59">
        <f t="shared" si="11"/>
        <v>0.00449497863481669</v>
      </c>
      <c r="T20" s="59">
        <f t="shared" si="6"/>
        <v>8.25882064979209</v>
      </c>
      <c r="U20" s="146">
        <f t="shared" si="7"/>
        <v>212.609848523303</v>
      </c>
      <c r="V20" s="149">
        <f t="shared" si="8"/>
        <v>0.000174607256566149</v>
      </c>
      <c r="W20" s="64">
        <f t="shared" si="9"/>
        <v>3.36607045195473e-5</v>
      </c>
    </row>
    <row r="21" ht="25" customHeight="1" spans="1:23">
      <c r="A21" s="111"/>
      <c r="B21" s="54" t="s">
        <v>42</v>
      </c>
      <c r="C21" s="146">
        <v>0.368767369066553</v>
      </c>
      <c r="D21" s="147">
        <v>-9.5297995869277</v>
      </c>
      <c r="E21" s="59">
        <v>1.90436999185702</v>
      </c>
      <c r="F21" s="148">
        <f t="shared" si="0"/>
        <v>0.00190436999185702</v>
      </c>
      <c r="G21" s="59">
        <v>0.0302</v>
      </c>
      <c r="H21" s="61">
        <v>1000</v>
      </c>
      <c r="I21" s="59">
        <v>9.801</v>
      </c>
      <c r="J21" s="64">
        <v>0.00101</v>
      </c>
      <c r="K21" s="64">
        <v>1.85e-5</v>
      </c>
      <c r="L21" s="147">
        <f t="shared" si="10"/>
        <v>0.337980789078819</v>
      </c>
      <c r="M21" s="59">
        <f t="shared" si="1"/>
        <v>17.1506013362995</v>
      </c>
      <c r="N21" s="59">
        <f t="shared" si="2"/>
        <v>4.70788771797932</v>
      </c>
      <c r="O21" s="64">
        <f t="shared" si="3"/>
        <v>0.0123329484356695</v>
      </c>
      <c r="P21" s="64">
        <f t="shared" si="4"/>
        <v>0.00297801746048052</v>
      </c>
      <c r="Q21" s="59">
        <f t="shared" si="5"/>
        <v>0.0427728822527658</v>
      </c>
      <c r="R21" s="62">
        <v>4e-6</v>
      </c>
      <c r="S21" s="59">
        <f t="shared" si="11"/>
        <v>0.12334155693797</v>
      </c>
      <c r="T21" s="59">
        <f t="shared" si="6"/>
        <v>0.34678403057841</v>
      </c>
      <c r="U21" s="146">
        <f t="shared" si="7"/>
        <v>6411.8064697138</v>
      </c>
      <c r="V21" s="149">
        <f t="shared" si="8"/>
        <v>6.67095653226649e-6</v>
      </c>
      <c r="W21" s="64">
        <f t="shared" si="9"/>
        <v>1.96705983980724e-6</v>
      </c>
    </row>
    <row r="22" ht="25" customHeight="1" spans="1:23">
      <c r="A22" s="111"/>
      <c r="B22" s="54" t="s">
        <v>44</v>
      </c>
      <c r="C22" s="146">
        <v>0.362662844019943</v>
      </c>
      <c r="D22" s="147">
        <v>-15.8177025636706</v>
      </c>
      <c r="E22" s="59">
        <v>2.01633771782216</v>
      </c>
      <c r="F22" s="148">
        <f t="shared" si="0"/>
        <v>0.00201633771782216</v>
      </c>
      <c r="G22" s="59">
        <v>0.0302</v>
      </c>
      <c r="H22" s="61">
        <v>1000</v>
      </c>
      <c r="I22" s="59">
        <v>9.801</v>
      </c>
      <c r="J22" s="64">
        <v>0.00101</v>
      </c>
      <c r="K22" s="64">
        <v>1.85e-5</v>
      </c>
      <c r="L22" s="147">
        <f t="shared" si="10"/>
        <v>-3.03675304518028</v>
      </c>
      <c r="M22" s="59">
        <f t="shared" si="1"/>
        <v>17.5627473108163</v>
      </c>
      <c r="N22" s="59">
        <f t="shared" si="2"/>
        <v>5.27776423608644</v>
      </c>
      <c r="O22" s="64">
        <f t="shared" si="3"/>
        <v>0.0121287904788127</v>
      </c>
      <c r="P22" s="64">
        <f t="shared" si="4"/>
        <v>0.00289415154015791</v>
      </c>
      <c r="Q22" s="59">
        <f t="shared" si="5"/>
        <v>0.0466000554269861</v>
      </c>
      <c r="R22" s="62">
        <v>4e-6</v>
      </c>
      <c r="S22" s="59">
        <f t="shared" si="11"/>
        <v>0.142965800197318</v>
      </c>
      <c r="T22" s="59">
        <f t="shared" si="6"/>
        <v>0.325952468091459</v>
      </c>
      <c r="U22" s="146">
        <f t="shared" si="7"/>
        <v>7868.91915268766</v>
      </c>
      <c r="V22" s="149">
        <f t="shared" si="8"/>
        <v>5.92204018401557e-6</v>
      </c>
      <c r="W22" s="64">
        <f t="shared" si="9"/>
        <v>2.2581592295742e-6</v>
      </c>
    </row>
    <row r="23" ht="25" customHeight="1" spans="1:23">
      <c r="A23" s="115"/>
      <c r="B23" s="54" t="s">
        <v>45</v>
      </c>
      <c r="C23" s="146">
        <v>0.450193968613005</v>
      </c>
      <c r="D23" s="147">
        <v>-2.57509198377522</v>
      </c>
      <c r="E23" s="59">
        <v>2.16749446777331</v>
      </c>
      <c r="F23" s="148">
        <f t="shared" si="0"/>
        <v>0.00216749446777331</v>
      </c>
      <c r="G23" s="59">
        <v>0.0302</v>
      </c>
      <c r="H23" s="61">
        <v>1000</v>
      </c>
      <c r="I23" s="59">
        <v>9.801</v>
      </c>
      <c r="J23" s="64">
        <v>0.00101</v>
      </c>
      <c r="K23" s="64">
        <v>1.85e-5</v>
      </c>
      <c r="L23" s="147">
        <f t="shared" si="10"/>
        <v>4.75111870697865</v>
      </c>
      <c r="M23" s="59">
        <f t="shared" si="1"/>
        <v>29.0924565946736</v>
      </c>
      <c r="N23" s="59">
        <f t="shared" si="2"/>
        <v>6.09873036516308</v>
      </c>
      <c r="O23" s="64">
        <f t="shared" si="3"/>
        <v>0.0150561559039449</v>
      </c>
      <c r="P23" s="64">
        <f t="shared" si="4"/>
        <v>0.00279141177170379</v>
      </c>
      <c r="Q23" s="59">
        <f t="shared" si="5"/>
        <v>0.0519371983218181</v>
      </c>
      <c r="R23" s="62">
        <v>4e-6</v>
      </c>
      <c r="S23" s="59">
        <f t="shared" si="11"/>
        <v>0.10720829464358</v>
      </c>
      <c r="T23" s="59">
        <f t="shared" si="6"/>
        <v>0.484451305698744</v>
      </c>
      <c r="U23" s="146">
        <f t="shared" si="7"/>
        <v>6343.1653890477</v>
      </c>
      <c r="V23" s="149">
        <f t="shared" si="8"/>
        <v>8.18789912233637e-6</v>
      </c>
      <c r="W23" s="64">
        <f t="shared" si="9"/>
        <v>4.3224696373897e-6</v>
      </c>
    </row>
    <row r="24" ht="25" customHeight="1" spans="1:23">
      <c r="A24" s="150" t="s">
        <v>63</v>
      </c>
      <c r="B24" s="80">
        <v>24</v>
      </c>
      <c r="C24" s="146">
        <v>0.434421302012416</v>
      </c>
      <c r="D24" s="147">
        <v>-29.0669323349156</v>
      </c>
      <c r="E24" s="59">
        <v>1.15848988842918</v>
      </c>
      <c r="F24" s="148">
        <f t="shared" ref="F24:F51" si="12">E24/1000</f>
        <v>0.00115848988842918</v>
      </c>
      <c r="G24" s="59">
        <v>0.0302</v>
      </c>
      <c r="H24" s="61">
        <v>1000</v>
      </c>
      <c r="I24" s="59">
        <v>9.801</v>
      </c>
      <c r="J24" s="64">
        <v>0.00101</v>
      </c>
      <c r="K24" s="64">
        <v>1.85e-5</v>
      </c>
      <c r="L24" s="147">
        <f t="shared" si="10"/>
        <v>-3.17191255044502</v>
      </c>
      <c r="M24" s="59">
        <f t="shared" ref="M24:M51" si="13">H24*2*F24*C24^2/G24</f>
        <v>14.4789652575441</v>
      </c>
      <c r="N24" s="59">
        <f t="shared" ref="N24:N51" si="14">H24*I24*(F24*2)^2/G24</f>
        <v>1.74223980800392</v>
      </c>
      <c r="O24" s="64">
        <f t="shared" ref="O24:O51" si="15">J24*C24/G24</f>
        <v>0.0145286594381636</v>
      </c>
      <c r="P24" s="64">
        <f t="shared" ref="P24:P51" si="16">J24/SQRT(H24*G24*F24*2)</f>
        <v>0.00381818336088664</v>
      </c>
      <c r="Q24" s="59">
        <f t="shared" ref="Q24:Q51" si="17">SQRT(H24*8*(F24^3)/G24)</f>
        <v>0.0202945718386956</v>
      </c>
      <c r="R24" s="62">
        <v>4e-6</v>
      </c>
      <c r="S24" s="59">
        <f t="shared" si="11"/>
        <v>0.032890767389159</v>
      </c>
      <c r="T24" s="59">
        <f t="shared" ref="T24:T51" si="18">Q24/S24</f>
        <v>0.617029441684137</v>
      </c>
      <c r="U24" s="146">
        <f t="shared" ref="U24:U51" si="19">J24*(2*F24)^3/(H24*(C24)^2*(R24)^3)</f>
        <v>1040.1258826337</v>
      </c>
      <c r="V24" s="149">
        <f t="shared" ref="V24:V51" si="20">Q24/U24</f>
        <v>1.95116496738911e-5</v>
      </c>
      <c r="W24" s="64">
        <f t="shared" ref="W24:W51" si="21">0.5*H24*(4/3)*PI()*F24^3*C24^2</f>
        <v>6.14550507974784e-7</v>
      </c>
    </row>
    <row r="25" ht="25" customHeight="1" spans="1:23">
      <c r="A25" s="129"/>
      <c r="B25" s="80">
        <v>25</v>
      </c>
      <c r="C25" s="146">
        <v>0.428729248751949</v>
      </c>
      <c r="D25" s="147">
        <v>-28.956501806821</v>
      </c>
      <c r="E25" s="59">
        <v>1.18207714490075</v>
      </c>
      <c r="F25" s="148">
        <f t="shared" si="12"/>
        <v>0.00118207714490075</v>
      </c>
      <c r="G25" s="59">
        <v>0.0302</v>
      </c>
      <c r="H25" s="61">
        <v>1000</v>
      </c>
      <c r="I25" s="59">
        <v>9.801</v>
      </c>
      <c r="J25" s="64">
        <v>0.00101</v>
      </c>
      <c r="K25" s="64">
        <v>1.85e-5</v>
      </c>
      <c r="L25" s="147">
        <f t="shared" ref="L25:L51" si="22">N25*(1+D25/9.801)-7.5*F25+18*O25</f>
        <v>-3.29595569568445</v>
      </c>
      <c r="M25" s="59">
        <f t="shared" si="13"/>
        <v>14.3891486459918</v>
      </c>
      <c r="N25" s="59">
        <f t="shared" si="14"/>
        <v>1.8139072577542</v>
      </c>
      <c r="O25" s="64">
        <f t="shared" si="15"/>
        <v>0.0143382960675321</v>
      </c>
      <c r="P25" s="64">
        <f t="shared" si="16"/>
        <v>0.00377989724817684</v>
      </c>
      <c r="Q25" s="59">
        <f t="shared" si="17"/>
        <v>0.0209175228807123</v>
      </c>
      <c r="R25" s="62">
        <v>4e-6</v>
      </c>
      <c r="S25" s="59">
        <f t="shared" si="11"/>
        <v>0.035159051636976</v>
      </c>
      <c r="T25" s="59">
        <f t="shared" si="18"/>
        <v>0.594939906135404</v>
      </c>
      <c r="U25" s="146">
        <f t="shared" si="19"/>
        <v>1134.49509433025</v>
      </c>
      <c r="V25" s="149">
        <f t="shared" si="20"/>
        <v>1.84377376202416e-5</v>
      </c>
      <c r="W25" s="64">
        <f t="shared" si="21"/>
        <v>6.3586116428126e-7</v>
      </c>
    </row>
    <row r="26" ht="25" customHeight="1" spans="1:23">
      <c r="A26" s="129"/>
      <c r="B26" s="80">
        <v>27</v>
      </c>
      <c r="C26" s="146">
        <v>0.444544126461706</v>
      </c>
      <c r="D26" s="147">
        <v>-28.0286398967497</v>
      </c>
      <c r="E26" s="59">
        <v>1.16865343065144</v>
      </c>
      <c r="F26" s="148">
        <f t="shared" si="12"/>
        <v>0.00116865343065144</v>
      </c>
      <c r="G26" s="59">
        <v>0.0302</v>
      </c>
      <c r="H26" s="61">
        <v>1000</v>
      </c>
      <c r="I26" s="59">
        <v>9.801</v>
      </c>
      <c r="J26" s="64">
        <v>0.00101</v>
      </c>
      <c r="K26" s="64">
        <v>1.85e-5</v>
      </c>
      <c r="L26" s="147">
        <f t="shared" si="22"/>
        <v>-3.03842867068716</v>
      </c>
      <c r="M26" s="59">
        <f t="shared" si="13"/>
        <v>15.2946148145581</v>
      </c>
      <c r="N26" s="59">
        <f t="shared" si="14"/>
        <v>1.77294357514968</v>
      </c>
      <c r="O26" s="64">
        <f t="shared" si="15"/>
        <v>0.0148672042293484</v>
      </c>
      <c r="P26" s="64">
        <f t="shared" si="16"/>
        <v>0.00380154412112755</v>
      </c>
      <c r="Q26" s="59">
        <f t="shared" si="17"/>
        <v>0.0205622260610985</v>
      </c>
      <c r="R26" s="62">
        <v>4e-6</v>
      </c>
      <c r="S26" s="59">
        <f t="shared" si="11"/>
        <v>0.0319634361330383</v>
      </c>
      <c r="T26" s="59">
        <f t="shared" si="18"/>
        <v>0.643304617673592</v>
      </c>
      <c r="U26" s="146">
        <f t="shared" si="19"/>
        <v>1019.66813743801</v>
      </c>
      <c r="V26" s="149">
        <f t="shared" si="20"/>
        <v>2.01656061478616e-5</v>
      </c>
      <c r="W26" s="64">
        <f t="shared" si="21"/>
        <v>6.60610666262525e-7</v>
      </c>
    </row>
    <row r="27" ht="25" customHeight="1" spans="1:23">
      <c r="A27" s="129"/>
      <c r="B27" s="80">
        <v>28</v>
      </c>
      <c r="C27" s="146">
        <v>0.445252299123823</v>
      </c>
      <c r="D27" s="147">
        <v>-28.9981318410377</v>
      </c>
      <c r="E27" s="59">
        <v>1.16632159265942</v>
      </c>
      <c r="F27" s="148">
        <f t="shared" si="12"/>
        <v>0.00116632159265942</v>
      </c>
      <c r="G27" s="59">
        <v>0.0302</v>
      </c>
      <c r="H27" s="61">
        <v>1000</v>
      </c>
      <c r="I27" s="59">
        <v>9.801</v>
      </c>
      <c r="J27" s="64">
        <v>0.00101</v>
      </c>
      <c r="K27" s="64">
        <v>1.85e-5</v>
      </c>
      <c r="L27" s="147">
        <f t="shared" si="22"/>
        <v>-3.19951602526165</v>
      </c>
      <c r="M27" s="59">
        <f t="shared" si="13"/>
        <v>15.3127682605018</v>
      </c>
      <c r="N27" s="59">
        <f t="shared" si="14"/>
        <v>1.7658754529262</v>
      </c>
      <c r="O27" s="64">
        <f t="shared" si="15"/>
        <v>0.0148908881495053</v>
      </c>
      <c r="P27" s="64">
        <f t="shared" si="16"/>
        <v>0.00380534245544928</v>
      </c>
      <c r="Q27" s="59">
        <f t="shared" si="17"/>
        <v>0.0205007144278151</v>
      </c>
      <c r="R27" s="62">
        <v>4e-6</v>
      </c>
      <c r="S27" s="59">
        <f t="shared" si="11"/>
        <v>0.0317348191500575</v>
      </c>
      <c r="T27" s="59">
        <f t="shared" si="18"/>
        <v>0.646000669828235</v>
      </c>
      <c r="U27" s="146">
        <f t="shared" si="19"/>
        <v>1010.35499627006</v>
      </c>
      <c r="V27" s="149">
        <f t="shared" si="20"/>
        <v>2.02906052857637e-5</v>
      </c>
      <c r="W27" s="64">
        <f t="shared" si="21"/>
        <v>6.58758000977752e-7</v>
      </c>
    </row>
    <row r="28" ht="25" customHeight="1" spans="1:23">
      <c r="A28" s="129"/>
      <c r="B28" s="80">
        <v>29</v>
      </c>
      <c r="C28" s="146">
        <v>0.44361056425456</v>
      </c>
      <c r="D28" s="147">
        <v>-30.1941618588336</v>
      </c>
      <c r="E28" s="59">
        <v>1.19984002384025</v>
      </c>
      <c r="F28" s="148">
        <f t="shared" si="12"/>
        <v>0.00119984002384025</v>
      </c>
      <c r="G28" s="59">
        <v>0.0302</v>
      </c>
      <c r="H28" s="61">
        <v>1000</v>
      </c>
      <c r="I28" s="59">
        <v>9.801</v>
      </c>
      <c r="J28" s="64">
        <v>0.00101</v>
      </c>
      <c r="K28" s="64">
        <v>1.85e-5</v>
      </c>
      <c r="L28" s="147">
        <f t="shared" si="22"/>
        <v>-3.63047082359157</v>
      </c>
      <c r="M28" s="59">
        <f t="shared" si="13"/>
        <v>15.6368819536553</v>
      </c>
      <c r="N28" s="59">
        <f t="shared" si="14"/>
        <v>1.86883142087559</v>
      </c>
      <c r="O28" s="64">
        <f t="shared" si="15"/>
        <v>0.014835982446924</v>
      </c>
      <c r="P28" s="64">
        <f t="shared" si="16"/>
        <v>0.00375181341583967</v>
      </c>
      <c r="Q28" s="59">
        <f t="shared" si="17"/>
        <v>0.0213907759728367</v>
      </c>
      <c r="R28" s="62">
        <v>4e-6</v>
      </c>
      <c r="S28" s="59">
        <f t="shared" si="11"/>
        <v>0.0338341029816962</v>
      </c>
      <c r="T28" s="59">
        <f t="shared" si="18"/>
        <v>0.632225301921224</v>
      </c>
      <c r="U28" s="146">
        <f t="shared" si="19"/>
        <v>1108.14773074199</v>
      </c>
      <c r="V28" s="149">
        <f t="shared" si="20"/>
        <v>1.93031807758285e-5</v>
      </c>
      <c r="W28" s="64">
        <f t="shared" si="21"/>
        <v>7.1192199092908e-7</v>
      </c>
    </row>
    <row r="29" ht="25" customHeight="1" spans="1:23">
      <c r="A29" s="129"/>
      <c r="B29" s="80">
        <v>30</v>
      </c>
      <c r="C29" s="146">
        <v>0.443348194180834</v>
      </c>
      <c r="D29" s="147">
        <v>-29.1367464292118</v>
      </c>
      <c r="E29" s="59">
        <v>1.15587692288015</v>
      </c>
      <c r="F29" s="148">
        <f t="shared" si="12"/>
        <v>0.00115587692288015</v>
      </c>
      <c r="G29" s="59">
        <v>0.0302</v>
      </c>
      <c r="H29" s="61">
        <v>1000</v>
      </c>
      <c r="I29" s="59">
        <v>9.801</v>
      </c>
      <c r="J29" s="64">
        <v>0.00101</v>
      </c>
      <c r="K29" s="64">
        <v>1.85e-5</v>
      </c>
      <c r="L29" s="147">
        <f t="shared" si="22"/>
        <v>-3.16344188761848</v>
      </c>
      <c r="M29" s="59">
        <f t="shared" si="13"/>
        <v>15.0461204276626</v>
      </c>
      <c r="N29" s="59">
        <f t="shared" si="14"/>
        <v>1.73438945268349</v>
      </c>
      <c r="O29" s="64">
        <f t="shared" si="15"/>
        <v>0.0148272078186305</v>
      </c>
      <c r="P29" s="64">
        <f t="shared" si="16"/>
        <v>0.0038224966010732</v>
      </c>
      <c r="Q29" s="59">
        <f t="shared" si="17"/>
        <v>0.0202259491799846</v>
      </c>
      <c r="R29" s="62">
        <v>4e-6</v>
      </c>
      <c r="S29" s="59">
        <f t="shared" si="11"/>
        <v>0.0314372852401755</v>
      </c>
      <c r="T29" s="59">
        <f t="shared" si="18"/>
        <v>0.643374547944002</v>
      </c>
      <c r="U29" s="146">
        <f t="shared" si="19"/>
        <v>991.919158172725</v>
      </c>
      <c r="V29" s="149">
        <f t="shared" si="20"/>
        <v>2.03907233904465e-5</v>
      </c>
      <c r="W29" s="64">
        <f t="shared" si="21"/>
        <v>6.35745479389712e-7</v>
      </c>
    </row>
    <row r="30" ht="25" customHeight="1" spans="1:23">
      <c r="A30" s="129"/>
      <c r="B30" s="80">
        <v>31</v>
      </c>
      <c r="C30" s="146">
        <v>0.391491215646472</v>
      </c>
      <c r="D30" s="147">
        <v>-27.5015872864381</v>
      </c>
      <c r="E30" s="59">
        <v>1.10331689080258</v>
      </c>
      <c r="F30" s="148">
        <f t="shared" si="12"/>
        <v>0.00110331689080258</v>
      </c>
      <c r="G30" s="59">
        <v>0.0302</v>
      </c>
      <c r="H30" s="61">
        <v>1000</v>
      </c>
      <c r="I30" s="59">
        <v>9.801</v>
      </c>
      <c r="J30" s="64">
        <v>0.00101</v>
      </c>
      <c r="K30" s="64">
        <v>1.85e-5</v>
      </c>
      <c r="L30" s="147">
        <f t="shared" si="22"/>
        <v>-2.62651882271372</v>
      </c>
      <c r="M30" s="59">
        <f t="shared" si="13"/>
        <v>11.198693617463</v>
      </c>
      <c r="N30" s="59">
        <f t="shared" si="14"/>
        <v>1.58024334982228</v>
      </c>
      <c r="O30" s="64">
        <f t="shared" si="15"/>
        <v>0.0130929181391701</v>
      </c>
      <c r="P30" s="64">
        <f t="shared" si="16"/>
        <v>0.00391248577026571</v>
      </c>
      <c r="Q30" s="59">
        <f t="shared" si="17"/>
        <v>0.0188621816238238</v>
      </c>
      <c r="R30" s="62">
        <v>4e-6</v>
      </c>
      <c r="S30" s="59">
        <f t="shared" si="11"/>
        <v>0.0367340004871382</v>
      </c>
      <c r="T30" s="59">
        <f t="shared" si="18"/>
        <v>0.513480192020689</v>
      </c>
      <c r="U30" s="146">
        <f t="shared" si="19"/>
        <v>1106.33880097978</v>
      </c>
      <c r="V30" s="149">
        <f t="shared" si="20"/>
        <v>1.70491910860573e-5</v>
      </c>
      <c r="W30" s="64">
        <f t="shared" si="21"/>
        <v>4.3112524855787e-7</v>
      </c>
    </row>
    <row r="31" ht="25" customHeight="1" spans="1:23">
      <c r="A31" s="130"/>
      <c r="B31" s="80">
        <v>41</v>
      </c>
      <c r="C31" s="146">
        <v>0.366613985528432</v>
      </c>
      <c r="D31" s="147">
        <v>-21.8725491945285</v>
      </c>
      <c r="E31" s="59">
        <v>1.12510297988399</v>
      </c>
      <c r="F31" s="148">
        <f t="shared" si="12"/>
        <v>0.00112510297988399</v>
      </c>
      <c r="G31" s="59">
        <v>0.0302</v>
      </c>
      <c r="H31" s="61">
        <v>1000</v>
      </c>
      <c r="I31" s="59">
        <v>9.801</v>
      </c>
      <c r="J31" s="64">
        <v>0.00101</v>
      </c>
      <c r="K31" s="64">
        <v>1.85e-5</v>
      </c>
      <c r="L31" s="147">
        <f t="shared" si="22"/>
        <v>-1.81169536483531</v>
      </c>
      <c r="M31" s="59">
        <f t="shared" si="13"/>
        <v>10.0145948528705</v>
      </c>
      <c r="N31" s="59">
        <f t="shared" si="14"/>
        <v>1.64326644597151</v>
      </c>
      <c r="O31" s="64">
        <f t="shared" si="15"/>
        <v>0.0122609313040966</v>
      </c>
      <c r="P31" s="64">
        <f t="shared" si="16"/>
        <v>0.00387442061649705</v>
      </c>
      <c r="Q31" s="59">
        <f t="shared" si="17"/>
        <v>0.019423609328552</v>
      </c>
      <c r="R31" s="62">
        <v>4e-6</v>
      </c>
      <c r="S31" s="59">
        <f t="shared" si="11"/>
        <v>0.0435590330318092</v>
      </c>
      <c r="T31" s="59">
        <f t="shared" si="18"/>
        <v>0.445914612346143</v>
      </c>
      <c r="U31" s="146">
        <f t="shared" si="19"/>
        <v>1337.79680658387</v>
      </c>
      <c r="V31" s="149">
        <f t="shared" si="20"/>
        <v>1.45191027762663e-5</v>
      </c>
      <c r="W31" s="64">
        <f t="shared" si="21"/>
        <v>4.00916098248102e-7</v>
      </c>
    </row>
    <row r="32" ht="25" customHeight="1" spans="1:23">
      <c r="A32" s="131" t="s">
        <v>64</v>
      </c>
      <c r="B32" s="85">
        <v>12</v>
      </c>
      <c r="C32" s="146">
        <v>0.129183071561122</v>
      </c>
      <c r="D32" s="147">
        <v>-7.57144284928918</v>
      </c>
      <c r="E32" s="59">
        <v>1.32624627183222</v>
      </c>
      <c r="F32" s="148">
        <f t="shared" si="12"/>
        <v>0.00132624627183222</v>
      </c>
      <c r="G32" s="59">
        <v>0.0302</v>
      </c>
      <c r="H32" s="61">
        <v>1000</v>
      </c>
      <c r="I32" s="59">
        <v>9.801</v>
      </c>
      <c r="J32" s="64">
        <v>0.00101</v>
      </c>
      <c r="K32" s="64">
        <v>1.85e-5</v>
      </c>
      <c r="L32" s="147">
        <f t="shared" si="22"/>
        <v>0.587241255838747</v>
      </c>
      <c r="M32" s="59">
        <f t="shared" si="13"/>
        <v>1.46574506865045</v>
      </c>
      <c r="N32" s="59">
        <f t="shared" si="14"/>
        <v>2.28334633509303</v>
      </c>
      <c r="O32" s="64">
        <f t="shared" si="15"/>
        <v>0.00432036100254083</v>
      </c>
      <c r="P32" s="64">
        <f t="shared" si="16"/>
        <v>0.00356854203183766</v>
      </c>
      <c r="Q32" s="59">
        <f t="shared" si="17"/>
        <v>0.0248586641062757</v>
      </c>
      <c r="R32" s="62">
        <v>4e-6</v>
      </c>
      <c r="S32" s="59">
        <f t="shared" si="11"/>
        <v>0.487471103253295</v>
      </c>
      <c r="T32" s="59">
        <f t="shared" si="18"/>
        <v>0.0509951542570901</v>
      </c>
      <c r="U32" s="146">
        <f t="shared" si="19"/>
        <v>17647.886504021</v>
      </c>
      <c r="V32" s="149">
        <f t="shared" si="20"/>
        <v>1.40859156707585e-6</v>
      </c>
      <c r="W32" s="64">
        <f t="shared" si="21"/>
        <v>8.15346769495046e-8</v>
      </c>
    </row>
    <row r="33" ht="25" customHeight="1" spans="1:27">
      <c r="A33" s="132"/>
      <c r="B33" s="85">
        <v>13</v>
      </c>
      <c r="C33" s="146">
        <v>0.155972329643723</v>
      </c>
      <c r="D33" s="147">
        <v>-8.83349254780775</v>
      </c>
      <c r="E33" s="59">
        <v>1.33352465454805</v>
      </c>
      <c r="F33" s="148">
        <f t="shared" si="12"/>
        <v>0.00133352465454805</v>
      </c>
      <c r="G33" s="59">
        <v>0.0302</v>
      </c>
      <c r="H33" s="61">
        <v>1000</v>
      </c>
      <c r="I33" s="59">
        <v>9.801</v>
      </c>
      <c r="J33" s="64">
        <v>0.00101</v>
      </c>
      <c r="K33" s="64">
        <v>1.85e-5</v>
      </c>
      <c r="L33" s="147">
        <f t="shared" si="22"/>
        <v>0.311773549795917</v>
      </c>
      <c r="M33" s="59">
        <f t="shared" si="13"/>
        <v>2.14842016517725</v>
      </c>
      <c r="N33" s="59">
        <f t="shared" si="14"/>
        <v>2.30847691788367</v>
      </c>
      <c r="O33" s="64">
        <f t="shared" si="15"/>
        <v>0.00521629314371392</v>
      </c>
      <c r="P33" s="64">
        <f t="shared" si="16"/>
        <v>0.00355879014908045</v>
      </c>
      <c r="Q33" s="59">
        <f t="shared" si="17"/>
        <v>0.0250635795322228</v>
      </c>
      <c r="R33" s="62">
        <v>4e-6</v>
      </c>
      <c r="S33" s="59">
        <f t="shared" si="11"/>
        <v>0.338079407117227</v>
      </c>
      <c r="T33" s="59">
        <f t="shared" si="18"/>
        <v>0.0741351854167569</v>
      </c>
      <c r="U33" s="146">
        <f t="shared" si="19"/>
        <v>12306.6377522072</v>
      </c>
      <c r="V33" s="149">
        <f t="shared" si="20"/>
        <v>2.03659033741589e-6</v>
      </c>
      <c r="W33" s="64">
        <f t="shared" si="21"/>
        <v>1.20825021157823e-7</v>
      </c>
    </row>
    <row r="34" ht="25" customHeight="1" spans="1:27">
      <c r="A34" s="132"/>
      <c r="B34" s="85">
        <v>14</v>
      </c>
      <c r="C34" s="146">
        <v>0.152545020932436</v>
      </c>
      <c r="D34" s="147">
        <v>-7.89006587958481</v>
      </c>
      <c r="E34" s="59">
        <v>1.34060010780647</v>
      </c>
      <c r="F34" s="148">
        <f t="shared" si="12"/>
        <v>0.00134060010780647</v>
      </c>
      <c r="G34" s="59">
        <v>0.0302</v>
      </c>
      <c r="H34" s="61">
        <v>1000</v>
      </c>
      <c r="I34" s="59">
        <v>9.801</v>
      </c>
      <c r="J34" s="64">
        <v>0.00101</v>
      </c>
      <c r="K34" s="64">
        <v>1.85e-5</v>
      </c>
      <c r="L34" s="147">
        <f t="shared" si="22"/>
        <v>0.536656022252939</v>
      </c>
      <c r="M34" s="59">
        <f t="shared" si="13"/>
        <v>2.06594319667637</v>
      </c>
      <c r="N34" s="59">
        <f t="shared" si="14"/>
        <v>2.33303867143657</v>
      </c>
      <c r="O34" s="64">
        <f t="shared" si="15"/>
        <v>0.00510167122985961</v>
      </c>
      <c r="P34" s="64">
        <f t="shared" si="16"/>
        <v>0.00354938638834819</v>
      </c>
      <c r="Q34" s="59">
        <f t="shared" si="17"/>
        <v>0.0252633184790584</v>
      </c>
      <c r="R34" s="62">
        <v>4e-6</v>
      </c>
      <c r="S34" s="59">
        <f t="shared" si="11"/>
        <v>0.357202231516473</v>
      </c>
      <c r="T34" s="59">
        <f t="shared" si="18"/>
        <v>0.0707255337454222</v>
      </c>
      <c r="U34" s="146">
        <f t="shared" si="19"/>
        <v>13071.7298264998</v>
      </c>
      <c r="V34" s="149">
        <f t="shared" si="20"/>
        <v>1.93266834721776e-6</v>
      </c>
      <c r="W34" s="64">
        <f t="shared" si="21"/>
        <v>1.17422801394432e-7</v>
      </c>
    </row>
    <row r="35" ht="25" customHeight="1" spans="1:27">
      <c r="A35" s="132"/>
      <c r="B35" s="85">
        <v>15</v>
      </c>
      <c r="C35" s="146">
        <v>0.149782007149404</v>
      </c>
      <c r="D35" s="147">
        <v>-7.01835498544799</v>
      </c>
      <c r="E35" s="59">
        <v>1.34672573284728</v>
      </c>
      <c r="F35" s="148">
        <f t="shared" si="12"/>
        <v>0.00134672573284728</v>
      </c>
      <c r="G35" s="59">
        <v>0.0302</v>
      </c>
      <c r="H35" s="61">
        <v>1000</v>
      </c>
      <c r="I35" s="59">
        <v>9.801</v>
      </c>
      <c r="J35" s="64">
        <v>0.00101</v>
      </c>
      <c r="K35" s="64">
        <v>1.85e-5</v>
      </c>
      <c r="L35" s="147">
        <f t="shared" si="22"/>
        <v>0.748516717428885</v>
      </c>
      <c r="M35" s="59">
        <f t="shared" si="13"/>
        <v>2.00088212001439</v>
      </c>
      <c r="N35" s="59">
        <f t="shared" si="14"/>
        <v>2.35440816230826</v>
      </c>
      <c r="O35" s="64">
        <f t="shared" si="15"/>
        <v>0.00500926580201649</v>
      </c>
      <c r="P35" s="64">
        <f t="shared" si="16"/>
        <v>0.00354130493947469</v>
      </c>
      <c r="Q35" s="59">
        <f t="shared" si="17"/>
        <v>0.025436670242034</v>
      </c>
      <c r="R35" s="62">
        <v>4e-6</v>
      </c>
      <c r="S35" s="59">
        <f t="shared" si="11"/>
        <v>0.373895951028418</v>
      </c>
      <c r="T35" s="59">
        <f t="shared" si="18"/>
        <v>0.0680314140125596</v>
      </c>
      <c r="U35" s="146">
        <f t="shared" si="19"/>
        <v>13745.1527471338</v>
      </c>
      <c r="V35" s="149">
        <f t="shared" si="20"/>
        <v>1.85059203851614e-6</v>
      </c>
      <c r="W35" s="64">
        <f t="shared" si="21"/>
        <v>1.14766564518766e-7</v>
      </c>
    </row>
    <row r="36" ht="25" customHeight="1" spans="1:27">
      <c r="A36" s="132"/>
      <c r="B36" s="85">
        <v>16</v>
      </c>
      <c r="C36" s="146">
        <v>0.167091710704399</v>
      </c>
      <c r="D36" s="147">
        <v>-9.21100308592932</v>
      </c>
      <c r="E36" s="59">
        <v>1.37078087352064</v>
      </c>
      <c r="F36" s="148">
        <f t="shared" si="12"/>
        <v>0.00137078087352064</v>
      </c>
      <c r="G36" s="59">
        <v>0.0302</v>
      </c>
      <c r="H36" s="61">
        <v>1000</v>
      </c>
      <c r="I36" s="59">
        <v>9.801</v>
      </c>
      <c r="J36" s="64">
        <v>0.00101</v>
      </c>
      <c r="K36" s="64">
        <v>1.85e-5</v>
      </c>
      <c r="L36" s="147">
        <f t="shared" si="22"/>
        <v>0.237144275430071</v>
      </c>
      <c r="M36" s="59">
        <f t="shared" si="13"/>
        <v>2.53455021287435</v>
      </c>
      <c r="N36" s="59">
        <f t="shared" si="14"/>
        <v>2.43926795121342</v>
      </c>
      <c r="O36" s="64">
        <f t="shared" si="15"/>
        <v>0.00558816648382262</v>
      </c>
      <c r="P36" s="64">
        <f t="shared" si="16"/>
        <v>0.00351009512695278</v>
      </c>
      <c r="Q36" s="59">
        <f t="shared" si="17"/>
        <v>0.0261212271708349</v>
      </c>
      <c r="R36" s="62">
        <v>4e-6</v>
      </c>
      <c r="S36" s="59">
        <f t="shared" si="11"/>
        <v>0.311270525208063</v>
      </c>
      <c r="T36" s="59">
        <f t="shared" si="18"/>
        <v>0.0839180875008151</v>
      </c>
      <c r="U36" s="146">
        <f t="shared" si="19"/>
        <v>11647.3113316323</v>
      </c>
      <c r="V36" s="149">
        <f t="shared" si="20"/>
        <v>2.24268300443671e-6</v>
      </c>
      <c r="W36" s="64">
        <f t="shared" si="21"/>
        <v>1.50616493553e-7</v>
      </c>
    </row>
    <row r="37" ht="25" customHeight="1" spans="1:27">
      <c r="A37" s="132"/>
      <c r="B37" s="85">
        <v>17</v>
      </c>
      <c r="C37" s="146">
        <v>0.216103289001669</v>
      </c>
      <c r="D37" s="147" t="s">
        <v>19</v>
      </c>
      <c r="E37" s="59">
        <v>1.09341072557482</v>
      </c>
      <c r="F37" s="148">
        <f t="shared" si="12"/>
        <v>0.00109341072557482</v>
      </c>
      <c r="G37" s="59">
        <v>0.0302</v>
      </c>
      <c r="H37" s="61">
        <v>1000</v>
      </c>
      <c r="I37" s="59">
        <v>9.801</v>
      </c>
      <c r="J37" s="64">
        <v>0.00101</v>
      </c>
      <c r="K37" s="64">
        <v>1.85e-5</v>
      </c>
      <c r="L37" s="147" t="e">
        <f t="shared" si="22"/>
        <v>#VALUE!</v>
      </c>
      <c r="M37" s="59">
        <f t="shared" si="13"/>
        <v>3.38165373458118</v>
      </c>
      <c r="N37" s="59">
        <f t="shared" si="14"/>
        <v>1.55199421087085</v>
      </c>
      <c r="O37" s="64">
        <f t="shared" si="15"/>
        <v>0.00722729542687701</v>
      </c>
      <c r="P37" s="64">
        <f t="shared" si="16"/>
        <v>0.00393016912563961</v>
      </c>
      <c r="Q37" s="59">
        <f t="shared" si="17"/>
        <v>0.0186087206567352</v>
      </c>
      <c r="R37" s="62">
        <v>4e-6</v>
      </c>
      <c r="S37" s="59">
        <f t="shared" si="11"/>
        <v>0.118401074328225</v>
      </c>
      <c r="T37" s="59">
        <f t="shared" si="18"/>
        <v>0.157166822702546</v>
      </c>
      <c r="U37" s="146">
        <f t="shared" si="19"/>
        <v>3533.93553070172</v>
      </c>
      <c r="V37" s="149">
        <f t="shared" si="20"/>
        <v>5.26572159991842e-6</v>
      </c>
      <c r="W37" s="64">
        <f t="shared" si="21"/>
        <v>1.27859015516281e-7</v>
      </c>
    </row>
    <row r="38" ht="25" customHeight="1" spans="1:27">
      <c r="A38" s="132"/>
      <c r="B38" s="85">
        <v>18</v>
      </c>
      <c r="C38" s="146">
        <v>0.295617121278977</v>
      </c>
      <c r="D38" s="147">
        <v>-20.7263391576132</v>
      </c>
      <c r="E38" s="59">
        <v>1.1318119595143</v>
      </c>
      <c r="F38" s="148">
        <f t="shared" si="12"/>
        <v>0.0011318119595143</v>
      </c>
      <c r="G38" s="59">
        <v>0.0302</v>
      </c>
      <c r="H38" s="61">
        <v>1000</v>
      </c>
      <c r="I38" s="59">
        <v>9.801</v>
      </c>
      <c r="J38" s="64">
        <v>0.00101</v>
      </c>
      <c r="K38" s="64">
        <v>1.85e-5</v>
      </c>
      <c r="L38" s="147">
        <f t="shared" si="22"/>
        <v>-1.68421854988643</v>
      </c>
      <c r="M38" s="59">
        <f t="shared" si="13"/>
        <v>6.55022922572627</v>
      </c>
      <c r="N38" s="59">
        <f t="shared" si="14"/>
        <v>1.66292244410169</v>
      </c>
      <c r="O38" s="64">
        <f t="shared" si="15"/>
        <v>0.00988653286396579</v>
      </c>
      <c r="P38" s="64">
        <f t="shared" si="16"/>
        <v>0.00386292045373</v>
      </c>
      <c r="Q38" s="59">
        <f t="shared" si="17"/>
        <v>0.0195976022948831</v>
      </c>
      <c r="R38" s="62">
        <v>4e-6</v>
      </c>
      <c r="S38" s="59">
        <f t="shared" si="11"/>
        <v>0.0677955404856243</v>
      </c>
      <c r="T38" s="59">
        <f t="shared" si="18"/>
        <v>0.289069194736174</v>
      </c>
      <c r="U38" s="146">
        <f t="shared" si="19"/>
        <v>2094.57085293511</v>
      </c>
      <c r="V38" s="149">
        <f t="shared" si="20"/>
        <v>9.35638069603663e-6</v>
      </c>
      <c r="W38" s="64">
        <f t="shared" si="21"/>
        <v>2.65363151755402e-7</v>
      </c>
    </row>
    <row r="39" ht="25" customHeight="1" spans="1:27">
      <c r="A39" s="132"/>
      <c r="B39" s="85">
        <v>19</v>
      </c>
      <c r="C39" s="146">
        <v>0.287888028098087</v>
      </c>
      <c r="D39" s="147">
        <v>-19.2900540969776</v>
      </c>
      <c r="E39" s="59">
        <v>1.12813617601754</v>
      </c>
      <c r="F39" s="148">
        <f t="shared" si="12"/>
        <v>0.00112813617601754</v>
      </c>
      <c r="G39" s="59">
        <v>0.0302</v>
      </c>
      <c r="H39" s="61">
        <v>1000</v>
      </c>
      <c r="I39" s="59">
        <v>9.801</v>
      </c>
      <c r="J39" s="64">
        <v>0.00101</v>
      </c>
      <c r="K39" s="64">
        <v>1.85e-5</v>
      </c>
      <c r="L39" s="147">
        <f t="shared" si="22"/>
        <v>-1.43471067139566</v>
      </c>
      <c r="M39" s="59">
        <f t="shared" si="13"/>
        <v>6.19201199107086</v>
      </c>
      <c r="N39" s="59">
        <f t="shared" si="14"/>
        <v>1.6521386438806</v>
      </c>
      <c r="O39" s="64">
        <f t="shared" si="15"/>
        <v>0.00962804332381019</v>
      </c>
      <c r="P39" s="64">
        <f t="shared" si="16"/>
        <v>0.00386920857393617</v>
      </c>
      <c r="Q39" s="59">
        <f t="shared" si="17"/>
        <v>0.0195022092096351</v>
      </c>
      <c r="R39" s="62">
        <v>4e-6</v>
      </c>
      <c r="S39" s="59">
        <f t="shared" si="11"/>
        <v>0.0710211301793892</v>
      </c>
      <c r="T39" s="59">
        <f t="shared" si="18"/>
        <v>0.274597280561085</v>
      </c>
      <c r="U39" s="146">
        <f t="shared" si="19"/>
        <v>2187.10057511325</v>
      </c>
      <c r="V39" s="149">
        <f t="shared" si="20"/>
        <v>8.9169238175639e-6</v>
      </c>
      <c r="W39" s="64">
        <f t="shared" si="21"/>
        <v>2.49224309622715e-7</v>
      </c>
    </row>
    <row r="40" ht="25" customHeight="1" spans="1:27">
      <c r="A40" s="132"/>
      <c r="B40" s="85">
        <v>20</v>
      </c>
      <c r="C40" s="146">
        <v>0.184511896519853</v>
      </c>
      <c r="D40" s="147">
        <v>-17.4543543381341</v>
      </c>
      <c r="E40" s="59">
        <v>1.14032099576215</v>
      </c>
      <c r="F40" s="148">
        <f t="shared" si="12"/>
        <v>0.00114032099576215</v>
      </c>
      <c r="G40" s="59">
        <v>0.0302</v>
      </c>
      <c r="H40" s="61">
        <v>1000</v>
      </c>
      <c r="I40" s="59">
        <v>9.801</v>
      </c>
      <c r="J40" s="64">
        <v>0.00101</v>
      </c>
      <c r="K40" s="64">
        <v>1.85e-5</v>
      </c>
      <c r="L40" s="147">
        <f t="shared" si="22"/>
        <v>-1.21561131869587</v>
      </c>
      <c r="M40" s="59">
        <f t="shared" si="13"/>
        <v>2.57098130705514</v>
      </c>
      <c r="N40" s="59">
        <f t="shared" si="14"/>
        <v>1.68802035378252</v>
      </c>
      <c r="O40" s="64">
        <f t="shared" si="15"/>
        <v>0.00617076210215402</v>
      </c>
      <c r="P40" s="64">
        <f t="shared" si="16"/>
        <v>0.00384848097645304</v>
      </c>
      <c r="Q40" s="59">
        <f t="shared" si="17"/>
        <v>0.0198190212380638</v>
      </c>
      <c r="R40" s="62">
        <v>4e-6</v>
      </c>
      <c r="S40" s="59">
        <f t="shared" si="11"/>
        <v>0.176651460682139</v>
      </c>
      <c r="T40" s="59">
        <f t="shared" si="18"/>
        <v>0.112192795697996</v>
      </c>
      <c r="U40" s="146">
        <f t="shared" si="19"/>
        <v>5498.75035792903</v>
      </c>
      <c r="V40" s="149">
        <f t="shared" si="20"/>
        <v>3.60427732629931e-6</v>
      </c>
      <c r="W40" s="64">
        <f t="shared" si="21"/>
        <v>1.0572768457934e-7</v>
      </c>
    </row>
    <row r="41" ht="25" customHeight="1" spans="1:27">
      <c r="A41" s="132"/>
      <c r="B41" s="85" t="s">
        <v>22</v>
      </c>
      <c r="C41" s="146">
        <v>0.291446360752799</v>
      </c>
      <c r="D41" s="147">
        <v>-22.089827242945</v>
      </c>
      <c r="E41" s="59">
        <v>1.14634367154445</v>
      </c>
      <c r="F41" s="148">
        <f t="shared" si="12"/>
        <v>0.00114634367154445</v>
      </c>
      <c r="G41" s="59">
        <v>0.0302</v>
      </c>
      <c r="H41" s="61">
        <v>1000</v>
      </c>
      <c r="I41" s="59">
        <v>9.801</v>
      </c>
      <c r="J41" s="64">
        <v>0.00101</v>
      </c>
      <c r="K41" s="64">
        <v>1.85e-5</v>
      </c>
      <c r="L41" s="147">
        <f t="shared" si="22"/>
        <v>-1.97206393928423</v>
      </c>
      <c r="M41" s="59">
        <f t="shared" si="13"/>
        <v>6.44844743369992</v>
      </c>
      <c r="N41" s="59">
        <f t="shared" si="14"/>
        <v>1.70589820848416</v>
      </c>
      <c r="O41" s="64">
        <f t="shared" si="15"/>
        <v>0.00974704716424924</v>
      </c>
      <c r="P41" s="64">
        <f t="shared" si="16"/>
        <v>0.0038383580624394</v>
      </c>
      <c r="Q41" s="59">
        <f t="shared" si="17"/>
        <v>0.0199762414519765</v>
      </c>
      <c r="R41" s="62">
        <v>4e-6</v>
      </c>
      <c r="S41" s="59">
        <f t="shared" si="11"/>
        <v>0.0715523890928267</v>
      </c>
      <c r="T41" s="59">
        <f t="shared" si="18"/>
        <v>0.279183430563874</v>
      </c>
      <c r="U41" s="146">
        <f t="shared" si="19"/>
        <v>2239.02337039601</v>
      </c>
      <c r="V41" s="149">
        <f t="shared" si="20"/>
        <v>8.92185482121311e-6</v>
      </c>
      <c r="W41" s="64">
        <f t="shared" si="21"/>
        <v>2.67991117935809e-7</v>
      </c>
    </row>
    <row r="42" ht="25" customHeight="1" spans="1:27">
      <c r="A42" s="132"/>
      <c r="B42" s="85" t="s">
        <v>24</v>
      </c>
      <c r="C42" s="146">
        <v>0.197732548640575</v>
      </c>
      <c r="D42" s="147">
        <v>-16.2212153530235</v>
      </c>
      <c r="E42" s="59">
        <v>1.1569867470459</v>
      </c>
      <c r="F42" s="148">
        <f t="shared" si="12"/>
        <v>0.0011569867470459</v>
      </c>
      <c r="G42" s="59">
        <v>0.0302</v>
      </c>
      <c r="H42" s="61">
        <v>1000</v>
      </c>
      <c r="I42" s="59">
        <v>9.801</v>
      </c>
      <c r="J42" s="64">
        <v>0.00101</v>
      </c>
      <c r="K42" s="64">
        <v>1.85e-5</v>
      </c>
      <c r="L42" s="147">
        <f t="shared" si="22"/>
        <v>-1.02795204149897</v>
      </c>
      <c r="M42" s="59">
        <f t="shared" si="13"/>
        <v>2.99576515695992</v>
      </c>
      <c r="N42" s="59">
        <f t="shared" si="14"/>
        <v>1.73772162651171</v>
      </c>
      <c r="O42" s="64">
        <f t="shared" si="15"/>
        <v>0.006612909739304</v>
      </c>
      <c r="P42" s="64">
        <f t="shared" si="16"/>
        <v>0.0038206628216705</v>
      </c>
      <c r="Q42" s="59">
        <f t="shared" si="17"/>
        <v>0.020255086323516</v>
      </c>
      <c r="R42" s="62">
        <v>4e-6</v>
      </c>
      <c r="S42" s="59">
        <f t="shared" si="11"/>
        <v>0.158347852277168</v>
      </c>
      <c r="T42" s="59">
        <f t="shared" si="18"/>
        <v>0.127915131353105</v>
      </c>
      <c r="U42" s="146">
        <f t="shared" si="19"/>
        <v>5001.03865332281</v>
      </c>
      <c r="V42" s="149">
        <f t="shared" si="20"/>
        <v>4.05017591896795e-6</v>
      </c>
      <c r="W42" s="64">
        <f t="shared" si="21"/>
        <v>1.26823605222819e-7</v>
      </c>
    </row>
    <row r="43" ht="25" customHeight="1" spans="1:27">
      <c r="A43" s="132"/>
      <c r="B43" s="85">
        <v>22</v>
      </c>
      <c r="C43" s="146">
        <v>0.39138558386936</v>
      </c>
      <c r="D43" s="147">
        <v>-31.321014111829</v>
      </c>
      <c r="E43" s="59">
        <v>1.101005519293</v>
      </c>
      <c r="F43" s="148">
        <f t="shared" si="12"/>
        <v>0.001101005519293</v>
      </c>
      <c r="G43" s="59">
        <v>0.0302</v>
      </c>
      <c r="H43" s="61">
        <v>1000</v>
      </c>
      <c r="I43" s="59">
        <v>9.801</v>
      </c>
      <c r="J43" s="64">
        <v>0.00101</v>
      </c>
      <c r="K43" s="64">
        <v>1.85e-5</v>
      </c>
      <c r="L43" s="147">
        <f t="shared" si="22"/>
        <v>-3.22785975218572</v>
      </c>
      <c r="M43" s="59">
        <f t="shared" si="13"/>
        <v>11.1692033723287</v>
      </c>
      <c r="N43" s="59">
        <f t="shared" si="14"/>
        <v>1.57362928709765</v>
      </c>
      <c r="O43" s="64">
        <f t="shared" si="15"/>
        <v>0.0130893854207965</v>
      </c>
      <c r="P43" s="64">
        <f t="shared" si="16"/>
        <v>0.00391659041224679</v>
      </c>
      <c r="Q43" s="59">
        <f t="shared" si="17"/>
        <v>0.0188029402560436</v>
      </c>
      <c r="R43" s="62">
        <v>4e-6</v>
      </c>
      <c r="S43" s="59">
        <f t="shared" si="11"/>
        <v>0.0365999994807299</v>
      </c>
      <c r="T43" s="59">
        <f t="shared" si="18"/>
        <v>0.513741544339186</v>
      </c>
      <c r="U43" s="146">
        <f t="shared" si="19"/>
        <v>1099.9937688851</v>
      </c>
      <c r="V43" s="149">
        <f t="shared" si="20"/>
        <v>1.70936788806553e-5</v>
      </c>
      <c r="W43" s="64">
        <f t="shared" si="21"/>
        <v>4.28190228100053e-7</v>
      </c>
    </row>
    <row r="44" ht="25" customHeight="1" spans="1:27">
      <c r="A44" s="132"/>
      <c r="B44" s="85">
        <v>26</v>
      </c>
      <c r="C44" s="146">
        <v>0.429410948981545</v>
      </c>
      <c r="D44" s="147">
        <v>-29.5445184707007</v>
      </c>
      <c r="E44" s="59">
        <v>1.17622920609573</v>
      </c>
      <c r="F44" s="148">
        <f t="shared" si="12"/>
        <v>0.00117622920609573</v>
      </c>
      <c r="G44" s="59">
        <v>0.0302</v>
      </c>
      <c r="H44" s="61">
        <v>1000</v>
      </c>
      <c r="I44" s="59">
        <v>9.801</v>
      </c>
      <c r="J44" s="64">
        <v>0.00101</v>
      </c>
      <c r="K44" s="64">
        <v>1.85e-5</v>
      </c>
      <c r="L44" s="147">
        <f t="shared" si="22"/>
        <v>-3.36826331666988</v>
      </c>
      <c r="M44" s="59">
        <f t="shared" si="13"/>
        <v>14.3635317606801</v>
      </c>
      <c r="N44" s="59">
        <f t="shared" si="14"/>
        <v>1.79600423030684</v>
      </c>
      <c r="O44" s="64">
        <f t="shared" si="15"/>
        <v>0.0143610946513696</v>
      </c>
      <c r="P44" s="64">
        <f t="shared" si="16"/>
        <v>0.00378928198417215</v>
      </c>
      <c r="Q44" s="59">
        <f t="shared" si="17"/>
        <v>0.0207624911477653</v>
      </c>
      <c r="R44" s="62">
        <v>4e-6</v>
      </c>
      <c r="S44" s="59">
        <f t="shared" si="11"/>
        <v>0.0347015942357771</v>
      </c>
      <c r="T44" s="59">
        <f t="shared" si="18"/>
        <v>0.598315195742774</v>
      </c>
      <c r="U44" s="146">
        <f t="shared" si="19"/>
        <v>1114.19456552936</v>
      </c>
      <c r="V44" s="149">
        <f t="shared" si="20"/>
        <v>1.86345291837794e-5</v>
      </c>
      <c r="W44" s="64">
        <f t="shared" si="21"/>
        <v>6.28464452105989e-7</v>
      </c>
    </row>
    <row r="45" ht="25" customHeight="1" spans="1:27">
      <c r="A45" s="132"/>
      <c r="B45" s="85">
        <v>32</v>
      </c>
      <c r="C45" s="146">
        <v>0.395006096345403</v>
      </c>
      <c r="D45" s="147">
        <v>-16.7691410433922</v>
      </c>
      <c r="E45" s="59">
        <v>1.13947744614092</v>
      </c>
      <c r="F45" s="148">
        <f t="shared" si="12"/>
        <v>0.00113947744614092</v>
      </c>
      <c r="G45" s="59">
        <v>0.0302</v>
      </c>
      <c r="H45" s="61">
        <v>1000</v>
      </c>
      <c r="I45" s="59">
        <v>9.801</v>
      </c>
      <c r="J45" s="64">
        <v>0.00101</v>
      </c>
      <c r="K45" s="64">
        <v>1.85e-5</v>
      </c>
      <c r="L45" s="147">
        <f t="shared" si="22"/>
        <v>-0.969101483857612</v>
      </c>
      <c r="M45" s="59">
        <f t="shared" si="13"/>
        <v>11.7743348628131</v>
      </c>
      <c r="N45" s="59">
        <f t="shared" si="14"/>
        <v>1.68552385979283</v>
      </c>
      <c r="O45" s="64">
        <f t="shared" si="15"/>
        <v>0.0132104687850615</v>
      </c>
      <c r="P45" s="64">
        <f t="shared" si="16"/>
        <v>0.00384990521880316</v>
      </c>
      <c r="Q45" s="59">
        <f t="shared" si="17"/>
        <v>0.0197970336981027</v>
      </c>
      <c r="R45" s="62">
        <v>4e-6</v>
      </c>
      <c r="S45" s="59">
        <f t="shared" si="11"/>
        <v>0.0384871371424027</v>
      </c>
      <c r="T45" s="59">
        <f t="shared" si="18"/>
        <v>0.514380522117131</v>
      </c>
      <c r="U45" s="146">
        <f t="shared" si="19"/>
        <v>1197.12910777577</v>
      </c>
      <c r="V45" s="149">
        <f t="shared" si="20"/>
        <v>1.65370915881288e-5</v>
      </c>
      <c r="W45" s="64">
        <f t="shared" si="21"/>
        <v>4.83485452294105e-7</v>
      </c>
    </row>
    <row r="46" ht="25" customHeight="1" spans="1:27">
      <c r="A46" s="132"/>
      <c r="B46" s="85">
        <v>33</v>
      </c>
      <c r="C46" s="146">
        <v>0.398843632763255</v>
      </c>
      <c r="D46" s="147">
        <v>-27.6032969792246</v>
      </c>
      <c r="E46" s="59">
        <v>1.13295312383379</v>
      </c>
      <c r="F46" s="148">
        <f t="shared" si="12"/>
        <v>0.00113295312383379</v>
      </c>
      <c r="G46" s="59">
        <v>0.0302</v>
      </c>
      <c r="H46" s="61">
        <v>1000</v>
      </c>
      <c r="I46" s="59">
        <v>9.801</v>
      </c>
      <c r="J46" s="64">
        <v>0.00101</v>
      </c>
      <c r="K46" s="64">
        <v>1.85e-5</v>
      </c>
      <c r="L46" s="147">
        <f t="shared" si="22"/>
        <v>-2.79498424119643</v>
      </c>
      <c r="M46" s="59">
        <f t="shared" si="13"/>
        <v>11.9354918465566</v>
      </c>
      <c r="N46" s="59">
        <f t="shared" si="14"/>
        <v>1.66627746154534</v>
      </c>
      <c r="O46" s="64">
        <f t="shared" si="15"/>
        <v>0.0133388102347976</v>
      </c>
      <c r="P46" s="64">
        <f t="shared" si="16"/>
        <v>0.00386097450490763</v>
      </c>
      <c r="Q46" s="59">
        <f t="shared" si="17"/>
        <v>0.0196272490757448</v>
      </c>
      <c r="R46" s="62">
        <v>4e-6</v>
      </c>
      <c r="S46" s="59">
        <f t="shared" si="11"/>
        <v>0.037319025358497</v>
      </c>
      <c r="T46" s="59">
        <f t="shared" si="18"/>
        <v>0.525931448830722</v>
      </c>
      <c r="U46" s="146">
        <f t="shared" si="19"/>
        <v>1154.14901140338</v>
      </c>
      <c r="V46" s="149">
        <f t="shared" si="20"/>
        <v>1.70058189036433e-5</v>
      </c>
      <c r="W46" s="64">
        <f t="shared" si="21"/>
        <v>4.84506674036147e-7</v>
      </c>
    </row>
    <row r="47" ht="25" customHeight="1" spans="1:27">
      <c r="A47" s="132"/>
      <c r="B47" s="85">
        <v>37</v>
      </c>
      <c r="C47" s="146">
        <v>0.318662680570048</v>
      </c>
      <c r="D47" s="147">
        <v>-21.0076644753185</v>
      </c>
      <c r="E47" s="59">
        <v>1.12616383153143</v>
      </c>
      <c r="F47" s="148">
        <f t="shared" si="12"/>
        <v>0.00112616383153143</v>
      </c>
      <c r="G47" s="59">
        <v>0.0302</v>
      </c>
      <c r="H47" s="61">
        <v>1000</v>
      </c>
      <c r="I47" s="59">
        <v>9.801</v>
      </c>
      <c r="J47" s="64">
        <v>0.00101</v>
      </c>
      <c r="K47" s="64">
        <v>1.85e-5</v>
      </c>
      <c r="L47" s="147">
        <f t="shared" si="22"/>
        <v>-1.69910504054851</v>
      </c>
      <c r="M47" s="59">
        <f t="shared" si="13"/>
        <v>7.57333273586413</v>
      </c>
      <c r="N47" s="59">
        <f t="shared" si="14"/>
        <v>1.64636675554716</v>
      </c>
      <c r="O47" s="64">
        <f t="shared" si="15"/>
        <v>0.0106572618336341</v>
      </c>
      <c r="P47" s="64">
        <f t="shared" si="16"/>
        <v>0.00387259532527898</v>
      </c>
      <c r="Q47" s="59">
        <f t="shared" si="17"/>
        <v>0.0194510873791465</v>
      </c>
      <c r="R47" s="62">
        <v>4e-6</v>
      </c>
      <c r="S47" s="59">
        <f t="shared" si="11"/>
        <v>0.0577633639673169</v>
      </c>
      <c r="T47" s="59">
        <f t="shared" si="18"/>
        <v>0.336737441229221</v>
      </c>
      <c r="U47" s="146">
        <f t="shared" si="19"/>
        <v>1775.71679460686</v>
      </c>
      <c r="V47" s="149">
        <f t="shared" si="20"/>
        <v>1.09539355815198e-5</v>
      </c>
      <c r="W47" s="64">
        <f t="shared" si="21"/>
        <v>3.03756618438244e-7</v>
      </c>
      <c r="Z47" s="79">
        <v>10</v>
      </c>
      <c r="AA47" s="79">
        <v>0.013983</v>
      </c>
    </row>
    <row r="48" ht="25" customHeight="1" spans="1:27">
      <c r="A48" s="132"/>
      <c r="B48" s="85">
        <v>38</v>
      </c>
      <c r="C48" s="146">
        <v>0.323598867697246</v>
      </c>
      <c r="D48" s="147">
        <v>-19.8305564934459</v>
      </c>
      <c r="E48" s="59">
        <v>1.06171963077562</v>
      </c>
      <c r="F48" s="148">
        <f t="shared" si="12"/>
        <v>0.00106171963077562</v>
      </c>
      <c r="G48" s="59">
        <v>0.0302</v>
      </c>
      <c r="H48" s="61">
        <v>1000</v>
      </c>
      <c r="I48" s="59">
        <v>9.801</v>
      </c>
      <c r="J48" s="64">
        <v>0.00101</v>
      </c>
      <c r="K48" s="64">
        <v>1.85e-5</v>
      </c>
      <c r="L48" s="147">
        <f t="shared" si="22"/>
        <v>-1.31061805023209</v>
      </c>
      <c r="M48" s="59">
        <f t="shared" si="13"/>
        <v>7.3628658312843</v>
      </c>
      <c r="N48" s="59">
        <f t="shared" si="14"/>
        <v>1.4633328844295</v>
      </c>
      <c r="O48" s="64">
        <f t="shared" si="15"/>
        <v>0.0108223462375569</v>
      </c>
      <c r="P48" s="64">
        <f t="shared" si="16"/>
        <v>0.00398839332539883</v>
      </c>
      <c r="Q48" s="59">
        <f t="shared" si="17"/>
        <v>0.0178055868914847</v>
      </c>
      <c r="R48" s="62">
        <v>4e-6</v>
      </c>
      <c r="S48" s="59">
        <f t="shared" si="11"/>
        <v>0.0497871705000551</v>
      </c>
      <c r="T48" s="59">
        <f t="shared" si="18"/>
        <v>0.357634039304663</v>
      </c>
      <c r="U48" s="146">
        <f t="shared" si="19"/>
        <v>1442.93557955373</v>
      </c>
      <c r="V48" s="149">
        <f t="shared" si="20"/>
        <v>1.2339834947442e-5</v>
      </c>
      <c r="W48" s="64">
        <f t="shared" si="21"/>
        <v>2.62483580970042e-7</v>
      </c>
      <c r="Z48" s="79">
        <v>1</v>
      </c>
      <c r="AA48" s="79">
        <v>0.0002639</v>
      </c>
    </row>
    <row r="49" ht="25" customHeight="1" spans="1:23">
      <c r="A49" s="132"/>
      <c r="B49" s="85">
        <v>40</v>
      </c>
      <c r="C49" s="146">
        <v>0.33654226678617</v>
      </c>
      <c r="D49" s="147">
        <v>-21.0228869351141</v>
      </c>
      <c r="E49" s="59">
        <v>1.14326017302198</v>
      </c>
      <c r="F49" s="148">
        <f t="shared" si="12"/>
        <v>0.00114326017302198</v>
      </c>
      <c r="G49" s="59">
        <v>0.0302</v>
      </c>
      <c r="H49" s="61">
        <v>1000</v>
      </c>
      <c r="I49" s="59">
        <v>9.801</v>
      </c>
      <c r="J49" s="64">
        <v>0.00101</v>
      </c>
      <c r="K49" s="64">
        <v>1.85e-5</v>
      </c>
      <c r="L49" s="147">
        <f t="shared" si="22"/>
        <v>-1.74869543154287</v>
      </c>
      <c r="M49" s="59">
        <f t="shared" si="13"/>
        <v>8.57526122054116</v>
      </c>
      <c r="N49" s="59">
        <f t="shared" si="14"/>
        <v>1.69673331276319</v>
      </c>
      <c r="O49" s="64">
        <f t="shared" si="15"/>
        <v>0.0112552215051004</v>
      </c>
      <c r="P49" s="64">
        <f t="shared" si="16"/>
        <v>0.00384353081400445</v>
      </c>
      <c r="Q49" s="59">
        <f t="shared" si="17"/>
        <v>0.0198956958803704</v>
      </c>
      <c r="R49" s="62">
        <v>4e-6</v>
      </c>
      <c r="S49" s="59">
        <f t="shared" si="11"/>
        <v>0.0533731278784249</v>
      </c>
      <c r="T49" s="59">
        <f t="shared" si="18"/>
        <v>0.372766159137038</v>
      </c>
      <c r="U49" s="146">
        <f t="shared" si="19"/>
        <v>1665.6639223552</v>
      </c>
      <c r="V49" s="149">
        <f t="shared" si="20"/>
        <v>1.19446039584254e-5</v>
      </c>
      <c r="W49" s="64">
        <f t="shared" si="21"/>
        <v>3.54464762650041e-7</v>
      </c>
    </row>
    <row r="50" ht="25" customHeight="1" spans="1:23">
      <c r="A50" s="132"/>
      <c r="B50" s="85">
        <v>42</v>
      </c>
      <c r="C50" s="146">
        <v>0.369274360911998</v>
      </c>
      <c r="D50" s="147">
        <v>-22.4770707152993</v>
      </c>
      <c r="E50" s="59">
        <v>1.12194285224198</v>
      </c>
      <c r="F50" s="148">
        <f t="shared" si="12"/>
        <v>0.00112194285224198</v>
      </c>
      <c r="G50" s="59">
        <v>0.0302</v>
      </c>
      <c r="H50" s="61">
        <v>1000</v>
      </c>
      <c r="I50" s="59">
        <v>9.801</v>
      </c>
      <c r="J50" s="64">
        <v>0.00101</v>
      </c>
      <c r="K50" s="64">
        <v>1.85e-5</v>
      </c>
      <c r="L50" s="147">
        <f t="shared" si="22"/>
        <v>-1.89950398908282</v>
      </c>
      <c r="M50" s="59">
        <f t="shared" si="13"/>
        <v>10.1319280992112</v>
      </c>
      <c r="N50" s="59">
        <f t="shared" si="14"/>
        <v>1.63404837615802</v>
      </c>
      <c r="O50" s="64">
        <f t="shared" si="15"/>
        <v>0.0123499041232158</v>
      </c>
      <c r="P50" s="64">
        <f t="shared" si="16"/>
        <v>0.0038798732356899</v>
      </c>
      <c r="Q50" s="59">
        <f t="shared" si="17"/>
        <v>0.0193418328627243</v>
      </c>
      <c r="R50" s="62">
        <v>4e-6</v>
      </c>
      <c r="S50" s="59">
        <f t="shared" si="11"/>
        <v>0.042692825555309</v>
      </c>
      <c r="T50" s="59">
        <f t="shared" si="18"/>
        <v>0.453046445418956</v>
      </c>
      <c r="U50" s="146">
        <f t="shared" si="19"/>
        <v>1307.51079941975</v>
      </c>
      <c r="V50" s="149">
        <f t="shared" si="20"/>
        <v>1.47928666220638e-5</v>
      </c>
      <c r="W50" s="64">
        <f t="shared" si="21"/>
        <v>4.03337992381623e-7</v>
      </c>
    </row>
    <row r="51" ht="25" customHeight="1" spans="1:23">
      <c r="A51" s="133"/>
      <c r="B51" s="85">
        <v>43</v>
      </c>
      <c r="C51" s="146">
        <v>0.373369233219633</v>
      </c>
      <c r="D51" s="147">
        <v>-25.6284967317138</v>
      </c>
      <c r="E51" s="59">
        <v>1.07188403177389</v>
      </c>
      <c r="F51" s="148">
        <f t="shared" si="12"/>
        <v>0.00107188403177389</v>
      </c>
      <c r="G51" s="59">
        <v>0.0302</v>
      </c>
      <c r="H51" s="61">
        <v>1000</v>
      </c>
      <c r="I51" s="59">
        <v>9.801</v>
      </c>
      <c r="J51" s="64">
        <v>0.00101</v>
      </c>
      <c r="K51" s="64">
        <v>1.85e-5</v>
      </c>
      <c r="L51" s="147">
        <f t="shared" si="22"/>
        <v>-2.19185472871322</v>
      </c>
      <c r="M51" s="59">
        <f t="shared" si="13"/>
        <v>9.89573164790353</v>
      </c>
      <c r="N51" s="59">
        <f t="shared" si="14"/>
        <v>1.49148551464658</v>
      </c>
      <c r="O51" s="64">
        <f t="shared" si="15"/>
        <v>0.0124868518394645</v>
      </c>
      <c r="P51" s="64">
        <f t="shared" si="16"/>
        <v>0.00396943782601041</v>
      </c>
      <c r="Q51" s="59">
        <f t="shared" si="17"/>
        <v>0.0180618912767337</v>
      </c>
      <c r="R51" s="62">
        <v>4e-6</v>
      </c>
      <c r="S51" s="59">
        <f t="shared" si="11"/>
        <v>0.0381180156117534</v>
      </c>
      <c r="T51" s="59">
        <f t="shared" si="18"/>
        <v>0.473841331634389</v>
      </c>
      <c r="U51" s="146">
        <f t="shared" si="19"/>
        <v>1115.31549134373</v>
      </c>
      <c r="V51" s="149">
        <f t="shared" si="20"/>
        <v>1.61944233868507e-5</v>
      </c>
      <c r="W51" s="64">
        <f t="shared" si="21"/>
        <v>3.59566375887138e-7</v>
      </c>
    </row>
  </sheetData>
  <mergeCells count="4">
    <mergeCell ref="A1:W1"/>
    <mergeCell ref="A3:A23"/>
    <mergeCell ref="A24:A31"/>
    <mergeCell ref="A32:A51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49" progId="Equation.DSMT4" r:id="rId3">
          <objectPr defaultSize="0" r:id="rId4">
            <anchor moveWithCells="1">
              <from>
                <xdr:col>5</xdr:col>
                <xdr:colOff>960120</xdr:colOff>
                <xdr:row>5</xdr:row>
                <xdr:rowOff>96520</xdr:rowOff>
              </from>
              <to>
                <xdr:col>7</xdr:col>
                <xdr:colOff>953135</xdr:colOff>
                <xdr:row>9</xdr:row>
                <xdr:rowOff>151130</xdr:rowOff>
              </to>
            </anchor>
          </objectPr>
        </oleObject>
      </mc:Choice>
      <mc:Fallback>
        <oleObject shapeId="2049" progId="Equation.DSMT4" r:id="rId3"/>
      </mc:Fallback>
    </mc:AlternateContent>
    <mc:AlternateContent xmlns:mc="http://schemas.openxmlformats.org/markup-compatibility/2006">
      <mc:Choice Requires="x14">
        <oleObject shapeId="2050" progId="Equation.DSMT4" r:id="rId5">
          <objectPr defaultSize="0" r:id="rId6">
            <anchor moveWithCells="1">
              <from>
                <xdr:col>8</xdr:col>
                <xdr:colOff>51435</xdr:colOff>
                <xdr:row>5</xdr:row>
                <xdr:rowOff>45085</xdr:rowOff>
              </from>
              <to>
                <xdr:col>9</xdr:col>
                <xdr:colOff>1139825</xdr:colOff>
                <xdr:row>9</xdr:row>
                <xdr:rowOff>99695</xdr:rowOff>
              </to>
            </anchor>
          </objectPr>
        </oleObject>
      </mc:Choice>
      <mc:Fallback>
        <oleObject shapeId="2050" progId="Equation.DSMT4" r:id="rId5"/>
      </mc:Fallback>
    </mc:AlternateContent>
    <mc:AlternateContent xmlns:mc="http://schemas.openxmlformats.org/markup-compatibility/2006">
      <mc:Choice Requires="x14">
        <oleObject shapeId="2051" progId="Equation.DSMT4" r:id="rId7">
          <objectPr defaultSize="0" r:id="rId8">
            <anchor moveWithCells="1">
              <from>
                <xdr:col>9</xdr:col>
                <xdr:colOff>1435735</xdr:colOff>
                <xdr:row>4</xdr:row>
                <xdr:rowOff>261620</xdr:rowOff>
              </from>
              <to>
                <xdr:col>10</xdr:col>
                <xdr:colOff>1149350</xdr:colOff>
                <xdr:row>9</xdr:row>
                <xdr:rowOff>1905</xdr:rowOff>
              </to>
            </anchor>
          </objectPr>
        </oleObject>
      </mc:Choice>
      <mc:Fallback>
        <oleObject shapeId="2051" progId="Equation.DSMT4" r:id="rId7"/>
      </mc:Fallback>
    </mc:AlternateContent>
    <mc:AlternateContent xmlns:mc="http://schemas.openxmlformats.org/markup-compatibility/2006">
      <mc:Choice Requires="x14">
        <oleObject shapeId="2052" progId="Equation.DSMT4" r:id="rId9">
          <objectPr defaultSize="0" r:id="rId10">
            <anchor moveWithCells="1">
              <from>
                <xdr:col>13</xdr:col>
                <xdr:colOff>176530</xdr:colOff>
                <xdr:row>5</xdr:row>
                <xdr:rowOff>77470</xdr:rowOff>
              </from>
              <to>
                <xdr:col>15</xdr:col>
                <xdr:colOff>234315</xdr:colOff>
                <xdr:row>9</xdr:row>
                <xdr:rowOff>147320</xdr:rowOff>
              </to>
            </anchor>
          </objectPr>
        </oleObject>
      </mc:Choice>
      <mc:Fallback>
        <oleObject shapeId="2052" progId="Equation.DSMT4" r:id="rId9"/>
      </mc:Fallback>
    </mc:AlternateContent>
    <mc:AlternateContent xmlns:mc="http://schemas.openxmlformats.org/markup-compatibility/2006">
      <mc:Choice Requires="x14">
        <oleObject shapeId="2054" progId="Equation.DSMT4" r:id="rId11">
          <objectPr defaultSize="0" r:id="rId12">
            <anchor moveWithCells="1">
              <from>
                <xdr:col>15</xdr:col>
                <xdr:colOff>718820</xdr:colOff>
                <xdr:row>5</xdr:row>
                <xdr:rowOff>168275</xdr:rowOff>
              </from>
              <to>
                <xdr:col>16</xdr:col>
                <xdr:colOff>2151380</xdr:colOff>
                <xdr:row>10</xdr:row>
                <xdr:rowOff>123190</xdr:rowOff>
              </to>
            </anchor>
          </objectPr>
        </oleObject>
      </mc:Choice>
      <mc:Fallback>
        <oleObject shapeId="2054" progId="Equation.DSMT4" r:id="rId11"/>
      </mc:Fallback>
    </mc:AlternateContent>
    <mc:AlternateContent xmlns:mc="http://schemas.openxmlformats.org/markup-compatibility/2006">
      <mc:Choice Requires="x14">
        <oleObject shapeId="2055" progId="Equation.DSMT4" r:id="rId13">
          <objectPr defaultSize="0" r:id="rId14">
            <anchor moveWithCells="1">
              <from>
                <xdr:col>16</xdr:col>
                <xdr:colOff>2425065</xdr:colOff>
                <xdr:row>5</xdr:row>
                <xdr:rowOff>142240</xdr:rowOff>
              </from>
              <to>
                <xdr:col>19</xdr:col>
                <xdr:colOff>326390</xdr:colOff>
                <xdr:row>10</xdr:row>
                <xdr:rowOff>97790</xdr:rowOff>
              </to>
            </anchor>
          </objectPr>
        </oleObject>
      </mc:Choice>
      <mc:Fallback>
        <oleObject shapeId="2055" progId="Equation.DSMT4" r:id="rId13"/>
      </mc:Fallback>
    </mc:AlternateContent>
    <mc:AlternateContent xmlns:mc="http://schemas.openxmlformats.org/markup-compatibility/2006">
      <mc:Choice Requires="x14">
        <oleObject shapeId="2056" progId="Equation.DSMT4" r:id="rId15">
          <objectPr defaultSize="0" r:id="rId16">
            <anchor moveWithCells="1">
              <from>
                <xdr:col>26</xdr:col>
                <xdr:colOff>540385</xdr:colOff>
                <xdr:row>6</xdr:row>
                <xdr:rowOff>160655</xdr:rowOff>
              </from>
              <to>
                <xdr:col>30</xdr:col>
                <xdr:colOff>248920</xdr:colOff>
                <xdr:row>7</xdr:row>
                <xdr:rowOff>288290</xdr:rowOff>
              </to>
            </anchor>
          </objectPr>
        </oleObject>
      </mc:Choice>
      <mc:Fallback>
        <oleObject shapeId="2056" progId="Equation.DSMT4" r:id="rId15"/>
      </mc:Fallback>
    </mc:AlternateContent>
    <mc:AlternateContent xmlns:mc="http://schemas.openxmlformats.org/markup-compatibility/2006">
      <mc:Choice Requires="x14">
        <oleObject shapeId="2057" progId="Equation.DSMT4" r:id="rId17">
          <objectPr defaultSize="0" r:id="rId18">
            <anchor moveWithCells="1">
              <from>
                <xdr:col>28</xdr:col>
                <xdr:colOff>568325</xdr:colOff>
                <xdr:row>26</xdr:row>
                <xdr:rowOff>237490</xdr:rowOff>
              </from>
              <to>
                <xdr:col>32</xdr:col>
                <xdr:colOff>579120</xdr:colOff>
                <xdr:row>28</xdr:row>
                <xdr:rowOff>113665</xdr:rowOff>
              </to>
            </anchor>
          </objectPr>
        </oleObject>
      </mc:Choice>
      <mc:Fallback>
        <oleObject shapeId="2057" progId="Equation.DSMT4" r:id="rId17"/>
      </mc:Fallback>
    </mc:AlternateContent>
    <mc:AlternateContent xmlns:mc="http://schemas.openxmlformats.org/markup-compatibility/2006">
      <mc:Choice Requires="x14">
        <oleObject shapeId="2059" progId="Equation.DSMT4" r:id="rId19">
          <objectPr defaultSize="0" r:id="rId20">
            <anchor moveWithCells="1">
              <from>
                <xdr:col>21</xdr:col>
                <xdr:colOff>746125</xdr:colOff>
                <xdr:row>3</xdr:row>
                <xdr:rowOff>269240</xdr:rowOff>
              </from>
              <to>
                <xdr:col>23</xdr:col>
                <xdr:colOff>1127125</xdr:colOff>
                <xdr:row>8</xdr:row>
                <xdr:rowOff>224790</xdr:rowOff>
              </to>
            </anchor>
          </objectPr>
        </oleObject>
      </mc:Choice>
      <mc:Fallback>
        <oleObject shapeId="2059" progId="Equation.DSMT4" r:id="rId19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7"/>
  <sheetViews>
    <sheetView zoomScale="70" zoomScaleNormal="70" workbookViewId="0">
      <selection activeCell="A3" sqref="A3"/>
    </sheetView>
  </sheetViews>
  <sheetFormatPr defaultColWidth="9" defaultRowHeight="14.4" outlineLevelCol="7"/>
  <cols>
    <col min="1" max="8" width="17.6018518518519" customWidth="1"/>
  </cols>
  <sheetData>
    <row r="1" ht="22.5" customHeight="1" spans="1:8">
      <c r="A1" s="137" t="s">
        <v>81</v>
      </c>
      <c r="B1" s="137" t="s">
        <v>82</v>
      </c>
      <c r="C1" s="137" t="s">
        <v>83</v>
      </c>
      <c r="D1" s="137" t="s">
        <v>84</v>
      </c>
      <c r="E1" s="137" t="s">
        <v>85</v>
      </c>
      <c r="F1" s="137" t="s">
        <v>86</v>
      </c>
      <c r="G1" s="137" t="s">
        <v>87</v>
      </c>
      <c r="H1" s="137" t="s">
        <v>88</v>
      </c>
    </row>
    <row r="2" ht="22.5" customHeight="1" spans="1:8">
      <c r="A2" s="138">
        <v>0.0133723033256455</v>
      </c>
      <c r="B2" s="138">
        <v>0.013211116649771</v>
      </c>
      <c r="C2" s="138">
        <v>0.000333333333333333</v>
      </c>
      <c r="D2" s="138">
        <v>0.013377106384185</v>
      </c>
      <c r="E2" s="138">
        <v>0.000333333333333333</v>
      </c>
      <c r="F2" s="138">
        <v>0.134896723174257</v>
      </c>
      <c r="G2" s="138">
        <v>0.002</v>
      </c>
      <c r="H2" s="138">
        <v>0.0246666666666667</v>
      </c>
    </row>
    <row r="3" ht="22.5" customHeight="1" spans="1:8">
      <c r="A3" s="138">
        <v>0.0132422403004868</v>
      </c>
      <c r="B3" s="138">
        <v>0.013316518128155</v>
      </c>
      <c r="C3" s="138">
        <v>0.00102356902356902</v>
      </c>
      <c r="D3" s="138">
        <v>0.0134918539832841</v>
      </c>
      <c r="E3" s="138">
        <v>0.00102356902356902</v>
      </c>
      <c r="F3" s="138">
        <v>0.195746655083139</v>
      </c>
      <c r="G3" s="138">
        <v>0</v>
      </c>
      <c r="H3" s="138">
        <v>0</v>
      </c>
    </row>
    <row r="4" ht="22.5" customHeight="1" spans="1:8">
      <c r="A4" s="138">
        <v>0.0132558519842534</v>
      </c>
      <c r="B4" s="138">
        <v>0.0134220475412196</v>
      </c>
      <c r="C4" s="138">
        <v>0.00171380471380471</v>
      </c>
      <c r="D4" s="138">
        <v>0.0136449167264307</v>
      </c>
      <c r="E4" s="138">
        <v>0.00171380471380471</v>
      </c>
      <c r="F4" s="138">
        <v>0.246109217281245</v>
      </c>
      <c r="G4" s="138">
        <v>0</v>
      </c>
      <c r="H4" s="138">
        <v>0</v>
      </c>
    </row>
    <row r="5" ht="22.5" customHeight="1" spans="1:8">
      <c r="A5" s="138">
        <v>0.0135972493913563</v>
      </c>
      <c r="B5" s="138">
        <v>0.0135277573766905</v>
      </c>
      <c r="C5" s="138">
        <v>0.0024040404040404</v>
      </c>
      <c r="D5" s="138">
        <v>0.0138294445109941</v>
      </c>
      <c r="E5" s="138">
        <v>0.0024040404040404</v>
      </c>
      <c r="F5" s="138">
        <v>0.287097656940604</v>
      </c>
      <c r="G5" s="138">
        <v>0</v>
      </c>
      <c r="H5" s="138">
        <v>0</v>
      </c>
    </row>
    <row r="6" ht="22.5" customHeight="1" spans="1:8">
      <c r="A6" s="138">
        <v>0.0137419604235378</v>
      </c>
      <c r="B6" s="138">
        <v>0.0136337329826215</v>
      </c>
      <c r="C6" s="138">
        <v>0.00309427609427609</v>
      </c>
      <c r="D6" s="138">
        <v>0.0140393292876101</v>
      </c>
      <c r="E6" s="138">
        <v>0.00309427609427609</v>
      </c>
      <c r="F6" s="138">
        <v>0.319749401110617</v>
      </c>
      <c r="G6" s="138">
        <v>0</v>
      </c>
      <c r="H6" s="138">
        <v>0</v>
      </c>
    </row>
    <row r="7" ht="22.5" customHeight="1" spans="1:8">
      <c r="A7" s="138">
        <v>0.0137224569475925</v>
      </c>
      <c r="B7" s="138">
        <v>0.0137401217927348</v>
      </c>
      <c r="C7" s="138">
        <v>0.00378451178451179</v>
      </c>
      <c r="D7" s="138">
        <v>0.0142691538160691</v>
      </c>
      <c r="E7" s="138">
        <v>0.00378451178451179</v>
      </c>
      <c r="F7" s="138">
        <v>0.345029203773475</v>
      </c>
      <c r="G7" s="138">
        <v>0</v>
      </c>
      <c r="H7" s="138">
        <v>0</v>
      </c>
    </row>
    <row r="8" ht="22.5" customHeight="1" spans="1:8">
      <c r="A8" s="138">
        <v>0.0138524000967956</v>
      </c>
      <c r="B8" s="138">
        <v>0.01384719610396</v>
      </c>
      <c r="C8" s="138">
        <v>0.00447474747474748</v>
      </c>
      <c r="D8" s="138">
        <v>0.0145141425721863</v>
      </c>
      <c r="E8" s="138">
        <v>0.00447474747474748</v>
      </c>
      <c r="F8" s="138">
        <v>0.363832231390118</v>
      </c>
      <c r="G8" s="138">
        <v>0</v>
      </c>
      <c r="H8" s="138">
        <v>0</v>
      </c>
    </row>
    <row r="9" ht="22.5" customHeight="1" spans="1:8">
      <c r="A9" s="138">
        <v>0.0139516265570143</v>
      </c>
      <c r="B9" s="138">
        <v>0.0139554108742864</v>
      </c>
      <c r="C9" s="138">
        <v>0.00516498316498317</v>
      </c>
      <c r="D9" s="138">
        <v>0.0147701147631981</v>
      </c>
      <c r="E9" s="138">
        <v>0.00516498316498317</v>
      </c>
      <c r="F9" s="138">
        <v>0.376987086936723</v>
      </c>
      <c r="G9" s="138">
        <v>0</v>
      </c>
      <c r="H9" s="138">
        <v>0</v>
      </c>
    </row>
    <row r="10" ht="22.5" customHeight="1" spans="1:8">
      <c r="A10" s="138">
        <v>0.0140193993940702</v>
      </c>
      <c r="B10" s="138">
        <v>0.0140653560520527</v>
      </c>
      <c r="C10" s="138">
        <v>0.00585521885521886</v>
      </c>
      <c r="D10" s="138">
        <v>0.0150334394092283</v>
      </c>
      <c r="E10" s="138">
        <v>0.00585521885521886</v>
      </c>
      <c r="F10" s="138">
        <v>0.38525877243174</v>
      </c>
      <c r="G10" s="138">
        <v>0</v>
      </c>
      <c r="H10" s="138">
        <v>0</v>
      </c>
    </row>
    <row r="11" ht="22.5" customHeight="1" spans="1:8">
      <c r="A11" s="138">
        <v>0.0141670394243817</v>
      </c>
      <c r="B11" s="138">
        <v>0.0141780481651333</v>
      </c>
      <c r="C11" s="138">
        <v>0.00654545454545455</v>
      </c>
      <c r="D11" s="138">
        <v>0.0153009924483677</v>
      </c>
      <c r="E11" s="138">
        <v>0.00654545454545455</v>
      </c>
      <c r="F11" s="138">
        <v>0.389351589953466</v>
      </c>
      <c r="G11" s="138">
        <v>0</v>
      </c>
      <c r="H11" s="138">
        <v>0</v>
      </c>
    </row>
    <row r="12" ht="22.5" customHeight="1" spans="1:8">
      <c r="A12" s="138">
        <v>0.0142581353976794</v>
      </c>
      <c r="B12" s="138">
        <v>0.0142994761332262</v>
      </c>
      <c r="C12" s="138">
        <v>0.00723569023569024</v>
      </c>
      <c r="D12" s="138">
        <v>0.0155701158229122</v>
      </c>
      <c r="E12" s="138">
        <v>0.00723569023569024</v>
      </c>
      <c r="F12" s="138">
        <v>0.389911981148149</v>
      </c>
      <c r="G12" s="138">
        <v>0</v>
      </c>
      <c r="H12" s="138">
        <v>0</v>
      </c>
    </row>
    <row r="13" ht="22.5" customHeight="1" spans="1:8">
      <c r="A13" s="138">
        <v>0.0144001521830859</v>
      </c>
      <c r="B13" s="138">
        <v>0.0144240004548768</v>
      </c>
      <c r="C13" s="138">
        <v>0.00792592592592593</v>
      </c>
      <c r="D13" s="138">
        <v>0.0158385785043023</v>
      </c>
      <c r="E13" s="138">
        <v>0.00792592592592593</v>
      </c>
      <c r="F13" s="138">
        <v>0.387531305228643</v>
      </c>
      <c r="G13" s="138">
        <v>0</v>
      </c>
      <c r="H13" s="138">
        <v>0</v>
      </c>
    </row>
    <row r="14" ht="22.5" customHeight="1" spans="1:8">
      <c r="A14" s="138">
        <v>0.0145499422194497</v>
      </c>
      <c r="B14" s="138">
        <v>0.0145510411542875</v>
      </c>
      <c r="C14" s="138">
        <v>0.00861616161616162</v>
      </c>
      <c r="D14" s="138">
        <v>0.0161045394143089</v>
      </c>
      <c r="E14" s="138">
        <v>0.00861616161616162</v>
      </c>
      <c r="F14" s="138">
        <v>0.382748555463588</v>
      </c>
      <c r="G14" s="138">
        <v>0</v>
      </c>
      <c r="H14" s="138">
        <v>0</v>
      </c>
    </row>
    <row r="15" ht="22.5" customHeight="1" spans="1:8">
      <c r="A15" s="138">
        <v>0.0146854829820657</v>
      </c>
      <c r="B15" s="138">
        <v>0.0146806958815446</v>
      </c>
      <c r="C15" s="138">
        <v>0.00930639730639731</v>
      </c>
      <c r="D15" s="138">
        <v>0.016366512200008</v>
      </c>
      <c r="E15" s="138">
        <v>0.00930639730639731</v>
      </c>
      <c r="F15" s="138">
        <v>0.376053014157142</v>
      </c>
      <c r="G15" s="138">
        <v>0</v>
      </c>
      <c r="H15" s="138">
        <v>0</v>
      </c>
    </row>
    <row r="16" ht="22.5" customHeight="1" spans="1:8">
      <c r="A16" s="138">
        <v>0.0148111219899751</v>
      </c>
      <c r="B16" s="138">
        <v>0.0148067276196473</v>
      </c>
      <c r="C16" s="138">
        <v>0.009996632996633</v>
      </c>
      <c r="D16" s="138">
        <v>0.0166233318200901</v>
      </c>
      <c r="E16" s="138">
        <v>0.009996632996633</v>
      </c>
      <c r="F16" s="138">
        <v>0.367886846119242</v>
      </c>
      <c r="G16" s="138">
        <v>0</v>
      </c>
      <c r="H16" s="138">
        <v>0</v>
      </c>
    </row>
    <row r="17" ht="22.5" customHeight="1" spans="1:8">
      <c r="A17" s="138">
        <v>0.0149222526478096</v>
      </c>
      <c r="B17" s="138">
        <v>0.01492278362424</v>
      </c>
      <c r="C17" s="138">
        <v>0.0106868686868687</v>
      </c>
      <c r="D17" s="138">
        <v>0.016874122900047</v>
      </c>
      <c r="E17" s="138">
        <v>0.0106868686868687</v>
      </c>
      <c r="F17" s="138">
        <v>0.358647630626405</v>
      </c>
      <c r="G17" s="138">
        <v>0</v>
      </c>
      <c r="H17" s="138">
        <v>0</v>
      </c>
    </row>
    <row r="18" ht="22.5" customHeight="1" spans="1:8">
      <c r="A18" s="138">
        <v>0.0150353127849502</v>
      </c>
      <c r="B18" s="138">
        <v>0.015036438616581</v>
      </c>
      <c r="C18" s="138">
        <v>0.0113771043771044</v>
      </c>
      <c r="D18" s="138">
        <v>0.0171182698137796</v>
      </c>
      <c r="E18" s="138">
        <v>0.0113771043771044</v>
      </c>
      <c r="F18" s="138">
        <v>0.348690831873073</v>
      </c>
      <c r="G18" s="138">
        <v>0</v>
      </c>
      <c r="H18" s="138">
        <v>0</v>
      </c>
    </row>
    <row r="19" ht="22.5" customHeight="1" spans="1:8">
      <c r="A19" s="138">
        <v>0.0151523008791178</v>
      </c>
      <c r="B19" s="138">
        <v>0.0151535860875798</v>
      </c>
      <c r="C19" s="138">
        <v>0.0120673400673401</v>
      </c>
      <c r="D19" s="138">
        <v>0.0173553884491727</v>
      </c>
      <c r="E19" s="138">
        <v>0.0120673400673401</v>
      </c>
      <c r="F19" s="138">
        <v>0.338332207913489</v>
      </c>
      <c r="G19" s="138">
        <v>0</v>
      </c>
      <c r="H19" s="138">
        <v>0</v>
      </c>
    </row>
    <row r="20" ht="22.5" customHeight="1" spans="1:8">
      <c r="A20" s="138">
        <v>0.0152737699314454</v>
      </c>
      <c r="B20" s="138">
        <v>0.0152728755248662</v>
      </c>
      <c r="C20" s="138">
        <v>0.0127575757575758</v>
      </c>
      <c r="D20" s="138">
        <v>0.0175852996151784</v>
      </c>
      <c r="E20" s="138">
        <v>0.0127575757575758</v>
      </c>
      <c r="F20" s="138">
        <v>0.32785015809412</v>
      </c>
      <c r="G20" s="138">
        <v>0</v>
      </c>
      <c r="H20" s="138">
        <v>0</v>
      </c>
    </row>
    <row r="21" ht="22.5" customHeight="1" spans="1:8">
      <c r="A21" s="138">
        <v>0.0153903269510428</v>
      </c>
      <c r="B21" s="138">
        <v>0.0153789304195209</v>
      </c>
      <c r="C21" s="138">
        <v>0.0134478114478115</v>
      </c>
      <c r="D21" s="138">
        <v>0.0178080040479533</v>
      </c>
      <c r="E21" s="138">
        <v>0.0134478114478115</v>
      </c>
      <c r="F21" s="138">
        <v>0.317488008976608</v>
      </c>
      <c r="G21" s="138">
        <v>0</v>
      </c>
      <c r="H21" s="138">
        <v>0</v>
      </c>
    </row>
    <row r="22" ht="22.5" customHeight="1" spans="1:8">
      <c r="A22" s="138">
        <v>0.0154786430159931</v>
      </c>
      <c r="B22" s="138">
        <v>0.015483772366235</v>
      </c>
      <c r="C22" s="138">
        <v>0.0141380471380471</v>
      </c>
      <c r="D22" s="138">
        <v>0.0180236589735938</v>
      </c>
      <c r="E22" s="138">
        <v>0.0141380471380471</v>
      </c>
      <c r="F22" s="138">
        <v>0.30745623875127</v>
      </c>
      <c r="G22" s="138">
        <v>0</v>
      </c>
      <c r="H22" s="138">
        <v>0</v>
      </c>
    </row>
    <row r="23" ht="22.5" customHeight="1" spans="1:8">
      <c r="A23" s="138">
        <v>0.0155904927072665</v>
      </c>
      <c r="B23" s="138">
        <v>0.0155920062856386</v>
      </c>
      <c r="C23" s="138">
        <v>0.0148282828282828</v>
      </c>
      <c r="D23" s="138">
        <v>0.0182325561850124</v>
      </c>
      <c r="E23" s="138">
        <v>0.0148282828282828</v>
      </c>
      <c r="F23" s="138">
        <v>0.297934640141129</v>
      </c>
      <c r="G23" s="138">
        <v>0</v>
      </c>
      <c r="H23" s="138">
        <v>0</v>
      </c>
    </row>
    <row r="24" ht="22.5" customHeight="1" spans="1:8">
      <c r="A24" s="138">
        <v>0.0157042938969382</v>
      </c>
      <c r="B24" s="138">
        <v>0.0157060494290385</v>
      </c>
      <c r="C24" s="138">
        <v>0.0155185185185185</v>
      </c>
      <c r="D24" s="138">
        <v>0.0184351015904998</v>
      </c>
      <c r="E24" s="138">
        <v>0.0155185185185185</v>
      </c>
      <c r="F24" s="138">
        <v>0.28907442179649</v>
      </c>
      <c r="G24" s="138">
        <v>0</v>
      </c>
      <c r="H24" s="138">
        <v>0</v>
      </c>
    </row>
    <row r="25" ht="22.5" customHeight="1" spans="1:8">
      <c r="A25" s="138">
        <v>0.0157909560033134</v>
      </c>
      <c r="B25" s="138">
        <v>0.0158295042536014</v>
      </c>
      <c r="C25" s="138">
        <v>0.0162087542087542</v>
      </c>
      <c r="D25" s="138">
        <v>0.0186317961915167</v>
      </c>
      <c r="E25" s="138">
        <v>0.0162087542087542</v>
      </c>
      <c r="F25" s="138">
        <v>0.281000248180044</v>
      </c>
      <c r="G25" s="138">
        <v>0</v>
      </c>
      <c r="H25" s="138">
        <v>0</v>
      </c>
    </row>
    <row r="26" ht="22.5" customHeight="1" spans="1:8">
      <c r="A26" s="138">
        <v>0.0159608328374174</v>
      </c>
      <c r="B26" s="138">
        <v>0.015947802313737</v>
      </c>
      <c r="C26" s="138">
        <v>0.0168989898989899</v>
      </c>
      <c r="D26" s="138">
        <v>0.0188232184472584</v>
      </c>
      <c r="E26" s="138">
        <v>0.0168989898989899</v>
      </c>
      <c r="F26" s="138">
        <v>0.273812217942529</v>
      </c>
      <c r="G26" s="138">
        <v>0</v>
      </c>
      <c r="H26" s="138">
        <v>0</v>
      </c>
    </row>
    <row r="27" ht="22.5" customHeight="1" spans="1:8">
      <c r="A27" s="138">
        <v>0.0160738114938913</v>
      </c>
      <c r="B27" s="138">
        <v>0.0160702853550997</v>
      </c>
      <c r="C27" s="138">
        <v>0.0175892255892256</v>
      </c>
      <c r="D27" s="138">
        <v>0.019010007983538</v>
      </c>
      <c r="E27" s="138">
        <v>0.0175892255892256</v>
      </c>
      <c r="F27" s="138">
        <v>0.267587780788905</v>
      </c>
      <c r="G27" s="138">
        <v>0</v>
      </c>
      <c r="H27" s="138">
        <v>0</v>
      </c>
    </row>
    <row r="28" ht="22.5" customHeight="1" spans="1:8">
      <c r="A28" s="138">
        <v>0.016164840842602</v>
      </c>
      <c r="B28" s="138">
        <v>0.0161707611859</v>
      </c>
      <c r="C28" s="138">
        <v>0.0182794612794613</v>
      </c>
      <c r="D28" s="138">
        <v>0.0191928506035298</v>
      </c>
      <c r="E28" s="138">
        <v>0.0182794612794613</v>
      </c>
      <c r="F28" s="138">
        <v>0.262383592835092</v>
      </c>
      <c r="G28" s="138">
        <v>0</v>
      </c>
      <c r="H28" s="138">
        <v>0</v>
      </c>
    </row>
    <row r="29" ht="22.5" customHeight="1" spans="1:8">
      <c r="A29" s="138">
        <v>0.0162745587309415</v>
      </c>
      <c r="B29" s="138">
        <v>0.016274739805136</v>
      </c>
      <c r="C29" s="138">
        <v>0.018969696969697</v>
      </c>
      <c r="D29" s="138">
        <v>0.0193724645579193</v>
      </c>
      <c r="E29" s="138">
        <v>0.018969696969697</v>
      </c>
      <c r="F29" s="138">
        <v>0.258237310455227</v>
      </c>
      <c r="G29" s="138">
        <v>0</v>
      </c>
      <c r="H29" s="138">
        <v>0</v>
      </c>
    </row>
    <row r="30" ht="22.5" customHeight="1" spans="1:8">
      <c r="A30" s="138">
        <v>0.0163806213452617</v>
      </c>
      <c r="B30" s="138">
        <v>0.0163810090469797</v>
      </c>
      <c r="C30" s="138">
        <v>0.0196599326599327</v>
      </c>
      <c r="D30" s="138">
        <v>0.0195495880320012</v>
      </c>
      <c r="E30" s="138">
        <v>0.0196599326599327</v>
      </c>
      <c r="F30" s="138">
        <v>0.255169322619471</v>
      </c>
      <c r="G30" s="138">
        <v>0</v>
      </c>
      <c r="H30" s="138">
        <v>0</v>
      </c>
    </row>
    <row r="31" ht="22.5" customHeight="1" spans="1:8">
      <c r="A31" s="138">
        <v>0.0164415147891973</v>
      </c>
      <c r="B31" s="138">
        <v>0.0164898071739617</v>
      </c>
      <c r="C31" s="138">
        <v>0.0203501683501684</v>
      </c>
      <c r="D31" s="138">
        <v>0.0197249678072727</v>
      </c>
      <c r="E31" s="138">
        <v>0.0203501683501684</v>
      </c>
      <c r="F31" s="138">
        <v>0.253184421722357</v>
      </c>
      <c r="G31" s="138">
        <v>0</v>
      </c>
      <c r="H31" s="138">
        <v>0</v>
      </c>
    </row>
    <row r="32" ht="22.5" customHeight="1" spans="1:8">
      <c r="A32" s="138">
        <v>0.0165464824014268</v>
      </c>
      <c r="B32" s="138">
        <v>0.0165989186738713</v>
      </c>
      <c r="C32" s="138">
        <v>0.021040404040404</v>
      </c>
      <c r="D32" s="138">
        <v>0.0198993490550619</v>
      </c>
      <c r="E32" s="138">
        <v>0.021040404040404</v>
      </c>
      <c r="F32" s="138">
        <v>0.252273412901656</v>
      </c>
      <c r="G32" s="138">
        <v>0</v>
      </c>
      <c r="H32" s="138">
        <v>0</v>
      </c>
    </row>
    <row r="33" ht="22.5" customHeight="1" spans="1:8">
      <c r="A33" s="138">
        <v>0.0167070954566756</v>
      </c>
      <c r="B33" s="138">
        <v>0.0167073574626214</v>
      </c>
      <c r="C33" s="138">
        <v>0.0217306397306397</v>
      </c>
      <c r="D33" s="138">
        <v>0.0200734662197393</v>
      </c>
      <c r="E33" s="138">
        <v>0.0217306397306397</v>
      </c>
      <c r="F33" s="138">
        <v>0.252414661847814</v>
      </c>
      <c r="G33" s="138">
        <v>0</v>
      </c>
      <c r="H33" s="138">
        <v>0</v>
      </c>
    </row>
    <row r="34" ht="22.5" customHeight="1" spans="1:8">
      <c r="A34" s="138">
        <v>0.0168208818169221</v>
      </c>
      <c r="B34" s="138">
        <v>0.0168206179761957</v>
      </c>
      <c r="C34" s="138">
        <v>0.0224208754208754</v>
      </c>
      <c r="D34" s="138">
        <v>0.0202480349490537</v>
      </c>
      <c r="E34" s="138">
        <v>0.0224208754208754</v>
      </c>
      <c r="F34" s="138">
        <v>0.253575581103896</v>
      </c>
      <c r="G34" s="138">
        <v>0</v>
      </c>
      <c r="H34" s="138">
        <v>0</v>
      </c>
    </row>
    <row r="35" ht="22.5" customHeight="1" spans="1:8">
      <c r="A35" s="138">
        <v>0.0169324444420009</v>
      </c>
      <c r="B35" s="138">
        <v>0.0169348008584269</v>
      </c>
      <c r="C35" s="138">
        <v>0.0231111111111111</v>
      </c>
      <c r="D35" s="138">
        <v>0.0204237450291379</v>
      </c>
      <c r="E35" s="138">
        <v>0.0231111111111111</v>
      </c>
      <c r="F35" s="138">
        <v>0.255714054856092</v>
      </c>
      <c r="G35" s="138">
        <v>0</v>
      </c>
      <c r="H35" s="138">
        <v>0</v>
      </c>
    </row>
    <row r="36" ht="22.5" customHeight="1" spans="1:8">
      <c r="A36" s="138">
        <v>0.0170521554001925</v>
      </c>
      <c r="B36" s="138">
        <v>0.0170498203006459</v>
      </c>
      <c r="C36" s="138">
        <v>0.0238013468013468</v>
      </c>
      <c r="D36" s="138">
        <v>0.0206012542817266</v>
      </c>
      <c r="E36" s="138">
        <v>0.0238013468013468</v>
      </c>
      <c r="F36" s="138">
        <v>0.258779802214744</v>
      </c>
      <c r="G36" s="138">
        <v>0</v>
      </c>
      <c r="H36" s="138">
        <v>0</v>
      </c>
    </row>
    <row r="37" ht="22.5" customHeight="1" spans="1:8">
      <c r="A37" s="138">
        <v>0.0171636786506901</v>
      </c>
      <c r="B37" s="138">
        <v>0.0171609466800796</v>
      </c>
      <c r="C37" s="138">
        <v>0.0244915824915825</v>
      </c>
      <c r="D37" s="138">
        <v>0.0207811833811331</v>
      </c>
      <c r="E37" s="138">
        <v>0.0244915824915825</v>
      </c>
      <c r="F37" s="138">
        <v>0.262715678985929</v>
      </c>
      <c r="G37" s="138">
        <v>0</v>
      </c>
      <c r="H37" s="138">
        <v>0</v>
      </c>
    </row>
    <row r="38" ht="22.5" customHeight="1" spans="1:8">
      <c r="A38" s="138">
        <v>0.0172657038068606</v>
      </c>
      <c r="B38" s="138">
        <v>0.0172683476120093</v>
      </c>
      <c r="C38" s="138">
        <v>0.0251818181818182</v>
      </c>
      <c r="D38" s="138">
        <v>0.0209641115485259</v>
      </c>
      <c r="E38" s="138">
        <v>0.0251818181818182</v>
      </c>
      <c r="F38" s="138">
        <v>0.26745891793356</v>
      </c>
      <c r="G38" s="138">
        <v>0</v>
      </c>
      <c r="H38" s="138">
        <v>0</v>
      </c>
    </row>
    <row r="39" ht="22.5" customHeight="1" spans="1:8">
      <c r="A39" s="138">
        <v>0.0173768590205518</v>
      </c>
      <c r="B39" s="138">
        <v>0.0173764438627005</v>
      </c>
      <c r="C39" s="138">
        <v>0.0258720538720539</v>
      </c>
      <c r="D39" s="138">
        <v>0.0211505730810506</v>
      </c>
      <c r="E39" s="138">
        <v>0.0258720538720539</v>
      </c>
      <c r="F39" s="138">
        <v>0.272942307532048</v>
      </c>
      <c r="G39" s="138">
        <v>0</v>
      </c>
      <c r="H39" s="138">
        <v>0</v>
      </c>
    </row>
    <row r="40" ht="22.5" customHeight="1" spans="1:8">
      <c r="A40" s="138">
        <v>0.0174865452360071</v>
      </c>
      <c r="B40" s="138">
        <v>0.0174860243690749</v>
      </c>
      <c r="C40" s="138">
        <v>0.0265622895622896</v>
      </c>
      <c r="D40" s="138">
        <v>0.021341054673342</v>
      </c>
      <c r="E40" s="138">
        <v>0.0265622895622896</v>
      </c>
      <c r="F40" s="138">
        <v>0.279095309209485</v>
      </c>
      <c r="G40" s="138">
        <v>0</v>
      </c>
      <c r="H40" s="138">
        <v>0</v>
      </c>
    </row>
    <row r="41" ht="22.5" customHeight="1" spans="1:8">
      <c r="A41" s="138">
        <v>0.0175944058760419</v>
      </c>
      <c r="B41" s="138">
        <v>0.0175959108010965</v>
      </c>
      <c r="C41" s="138">
        <v>0.0272525252525253</v>
      </c>
      <c r="D41" s="138">
        <v>0.0215359934889679</v>
      </c>
      <c r="E41" s="138">
        <v>0.0272525252525253</v>
      </c>
      <c r="F41" s="138">
        <v>0.285845113081369</v>
      </c>
      <c r="G41" s="138">
        <v>0</v>
      </c>
      <c r="H41" s="138">
        <v>0</v>
      </c>
    </row>
    <row r="42" ht="22.5" customHeight="1" spans="1:8">
      <c r="A42" s="138">
        <v>0.0177066930162775</v>
      </c>
      <c r="B42" s="138">
        <v>0.0177061676554971</v>
      </c>
      <c r="C42" s="138">
        <v>0.027942760942761</v>
      </c>
      <c r="D42" s="138">
        <v>0.0217357759393507</v>
      </c>
      <c r="E42" s="138">
        <v>0.027942760942761</v>
      </c>
      <c r="F42" s="138">
        <v>0.293117632174877</v>
      </c>
      <c r="G42" s="138">
        <v>0</v>
      </c>
      <c r="H42" s="138">
        <v>0</v>
      </c>
    </row>
    <row r="43" ht="22.5" customHeight="1" spans="1:8">
      <c r="A43" s="138">
        <v>0.0178225422241956</v>
      </c>
      <c r="B43" s="138">
        <v>0.0179583289636433</v>
      </c>
      <c r="C43" s="138">
        <v>0.0286329966329966</v>
      </c>
      <c r="D43" s="138">
        <v>0.0219407371277103</v>
      </c>
      <c r="E43" s="138">
        <v>0.0286329966329966</v>
      </c>
      <c r="F43" s="138">
        <v>0.300838435143664</v>
      </c>
      <c r="G43" s="138">
        <v>0</v>
      </c>
      <c r="H43" s="138">
        <v>0</v>
      </c>
    </row>
    <row r="44" ht="22.5" customHeight="1" spans="1:8">
      <c r="A44" s="138">
        <v>0.0182939754480625</v>
      </c>
      <c r="B44" s="138">
        <v>0.0181638713000349</v>
      </c>
      <c r="C44" s="138">
        <v>0.0293232323232323</v>
      </c>
      <c r="D44" s="138">
        <v>0.0221511609155714</v>
      </c>
      <c r="E44" s="138">
        <v>0.0293232323232323</v>
      </c>
      <c r="F44" s="138">
        <v>0.308933617473217</v>
      </c>
      <c r="G44" s="138">
        <v>0</v>
      </c>
      <c r="H44" s="138">
        <v>0</v>
      </c>
    </row>
    <row r="45" ht="22.5" customHeight="1" spans="1:8">
      <c r="A45" s="138">
        <v>0.0184137314085081</v>
      </c>
      <c r="B45" s="138">
        <v>0.0184143705791955</v>
      </c>
      <c r="C45" s="138">
        <v>0.030013468013468</v>
      </c>
      <c r="D45" s="138">
        <v>0.0223672805693804</v>
      </c>
      <c r="E45" s="138">
        <v>0.030013468013468</v>
      </c>
      <c r="F45" s="138">
        <v>0.317330611176718</v>
      </c>
      <c r="G45" s="138">
        <v>0</v>
      </c>
      <c r="H45" s="138">
        <v>0</v>
      </c>
    </row>
    <row r="46" ht="22.5" customHeight="1" spans="1:8">
      <c r="A46" s="138">
        <v>0.0185311842520172</v>
      </c>
      <c r="B46" s="138">
        <v>0.0185269454750973</v>
      </c>
      <c r="C46" s="138">
        <v>0.0307037037037037</v>
      </c>
      <c r="D46" s="138">
        <v>0.0225892799447748</v>
      </c>
      <c r="E46" s="138">
        <v>0.0307037037037037</v>
      </c>
      <c r="F46" s="138">
        <v>0.325958932981486</v>
      </c>
      <c r="G46" s="138">
        <v>0</v>
      </c>
      <c r="H46" s="138">
        <v>0</v>
      </c>
    </row>
    <row r="47" ht="22.5" customHeight="1" spans="1:8">
      <c r="A47" s="138">
        <v>0.0186420212195123</v>
      </c>
      <c r="B47" s="138">
        <v>0.0186356395220982</v>
      </c>
      <c r="C47" s="138">
        <v>0.0313939393939394</v>
      </c>
      <c r="D47" s="138">
        <v>0.0228172951660498</v>
      </c>
      <c r="E47" s="138">
        <v>0.0313939393939394</v>
      </c>
      <c r="F47" s="138">
        <v>0.334750871005919</v>
      </c>
      <c r="G47" s="138">
        <v>0</v>
      </c>
      <c r="H47" s="138">
        <v>0</v>
      </c>
    </row>
    <row r="48" ht="22.5" customHeight="1" spans="1:8">
      <c r="A48" s="138">
        <v>0.0187322019507094</v>
      </c>
      <c r="B48" s="138">
        <v>0.0187369851509233</v>
      </c>
      <c r="C48" s="138">
        <v>0.0320841750841751</v>
      </c>
      <c r="D48" s="138">
        <v>0.0230514167583658</v>
      </c>
      <c r="E48" s="138">
        <v>0.0320841750841751</v>
      </c>
      <c r="F48" s="138">
        <v>0.343642109927007</v>
      </c>
      <c r="G48" s="138">
        <v>0</v>
      </c>
      <c r="H48" s="138">
        <v>0</v>
      </c>
    </row>
    <row r="49" ht="22.5" customHeight="1" spans="1:8">
      <c r="A49" s="138">
        <v>0.0188407779211599</v>
      </c>
      <c r="B49" s="138">
        <v>0.0188335981519497</v>
      </c>
      <c r="C49" s="138">
        <v>0.0327744107744108</v>
      </c>
      <c r="D49" s="138">
        <v>0.023291692190241</v>
      </c>
      <c r="E49" s="138">
        <v>0.0327744107744108</v>
      </c>
      <c r="F49" s="138">
        <v>0.352572294638345</v>
      </c>
      <c r="G49" s="138">
        <v>0</v>
      </c>
      <c r="H49" s="138">
        <v>0</v>
      </c>
    </row>
    <row r="50" ht="22.5" customHeight="1" spans="1:8">
      <c r="A50" s="138">
        <v>0.0189274313616492</v>
      </c>
      <c r="B50" s="138">
        <v>0.0189292997278039</v>
      </c>
      <c r="C50" s="138">
        <v>0.0334646464646465</v>
      </c>
      <c r="D50" s="138">
        <v>0.0235381287838724</v>
      </c>
      <c r="E50" s="138">
        <v>0.0334646464646465</v>
      </c>
      <c r="F50" s="138">
        <v>0.361485532398738</v>
      </c>
      <c r="G50" s="138">
        <v>0</v>
      </c>
      <c r="H50" s="138">
        <v>0</v>
      </c>
    </row>
    <row r="51" ht="22.5" customHeight="1" spans="1:8">
      <c r="A51" s="138">
        <v>0.0190213675840734</v>
      </c>
      <c r="B51" s="138">
        <v>0.0190227416925946</v>
      </c>
      <c r="C51" s="138">
        <v>0.0341548821548822</v>
      </c>
      <c r="D51" s="138">
        <v>0.0237906969508301</v>
      </c>
      <c r="E51" s="138">
        <v>0.0341548821548822</v>
      </c>
      <c r="F51" s="138">
        <v>0.370330833471294</v>
      </c>
      <c r="G51" s="138">
        <v>0</v>
      </c>
      <c r="H51" s="138">
        <v>0</v>
      </c>
    </row>
    <row r="52" ht="22.5" customHeight="1" spans="1:8">
      <c r="A52" s="138">
        <v>0.0191204850493343</v>
      </c>
      <c r="B52" s="138">
        <v>0.0191144957538546</v>
      </c>
      <c r="C52" s="138">
        <v>0.0348451178451178</v>
      </c>
      <c r="D52" s="138">
        <v>0.0240493337106682</v>
      </c>
      <c r="E52" s="138">
        <v>0.0348451178451178</v>
      </c>
      <c r="F52" s="138">
        <v>0.379062490253073</v>
      </c>
      <c r="G52" s="138">
        <v>0</v>
      </c>
      <c r="H52" s="138">
        <v>0</v>
      </c>
    </row>
    <row r="53" ht="22.5" customHeight="1" spans="1:8">
      <c r="A53" s="138">
        <v>0.0192005893155495</v>
      </c>
      <c r="B53" s="138">
        <v>0.0192046290675576</v>
      </c>
      <c r="C53" s="138">
        <v>0.0355353535353535</v>
      </c>
      <c r="D53" s="138">
        <v>0.0243139464499968</v>
      </c>
      <c r="E53" s="138">
        <v>0.0355353535353535</v>
      </c>
      <c r="F53" s="138">
        <v>0.387640394895297</v>
      </c>
      <c r="G53" s="138">
        <v>0</v>
      </c>
      <c r="H53" s="138">
        <v>0</v>
      </c>
    </row>
    <row r="54" ht="22.5" customHeight="1" spans="1:8">
      <c r="A54" s="138">
        <v>0.0192949842605316</v>
      </c>
      <c r="B54" s="138">
        <v>0.0192950781968944</v>
      </c>
      <c r="C54" s="138">
        <v>0.0362255892255892</v>
      </c>
      <c r="D54" s="138">
        <v>0.0245844168795582</v>
      </c>
      <c r="E54" s="138">
        <v>0.0362255892255892</v>
      </c>
      <c r="F54" s="138">
        <v>0.396030295414062</v>
      </c>
      <c r="G54" s="138">
        <v>0</v>
      </c>
      <c r="H54" s="138">
        <v>0</v>
      </c>
    </row>
    <row r="55" ht="22.5" customHeight="1" spans="1:8">
      <c r="A55" s="138">
        <v>0.0193871266374294</v>
      </c>
      <c r="B55" s="138">
        <v>0.0193873828635711</v>
      </c>
      <c r="C55" s="138">
        <v>0.0369158249158249</v>
      </c>
      <c r="D55" s="138">
        <v>0.0248606051468526</v>
      </c>
      <c r="E55" s="138">
        <v>0.0369158249158249</v>
      </c>
      <c r="F55" s="138">
        <v>0.404203990291603</v>
      </c>
      <c r="G55" s="138">
        <v>0</v>
      </c>
      <c r="H55" s="138">
        <v>0</v>
      </c>
    </row>
    <row r="56" ht="22.5" customHeight="1" spans="1:8">
      <c r="A56" s="138">
        <v>0.019486460488546</v>
      </c>
      <c r="B56" s="138">
        <v>0.0193556753936618</v>
      </c>
      <c r="C56" s="138">
        <v>0.0376060606060606</v>
      </c>
      <c r="D56" s="138">
        <v>0.0251423540618556</v>
      </c>
      <c r="E56" s="138">
        <v>0.0376060606060606</v>
      </c>
      <c r="F56" s="138">
        <v>0.412139461568119</v>
      </c>
      <c r="G56" s="138">
        <v>0</v>
      </c>
      <c r="H56" s="138">
        <v>0</v>
      </c>
    </row>
    <row r="57" ht="22.5" customHeight="1" spans="1:8">
      <c r="A57" s="138">
        <v>0.0192461881047182</v>
      </c>
      <c r="B57" s="138">
        <v>0.0193666362204935</v>
      </c>
      <c r="C57" s="138">
        <v>0.0382962962962963</v>
      </c>
      <c r="D57" s="138">
        <v>0.0254294933933736</v>
      </c>
      <c r="E57" s="138">
        <v>0.0382962962962963</v>
      </c>
      <c r="F57" s="138">
        <v>0.419820946424103</v>
      </c>
      <c r="G57" s="138">
        <v>0</v>
      </c>
      <c r="H57" s="138">
        <v>0</v>
      </c>
    </row>
    <row r="58" ht="22.5" customHeight="1" spans="1:8">
      <c r="A58" s="138">
        <v>0.0193356068458634</v>
      </c>
      <c r="B58" s="138">
        <v>0.0193360035477411</v>
      </c>
      <c r="C58" s="138">
        <v>0.038986531986532</v>
      </c>
      <c r="D58" s="138">
        <v>0.0257218441935787</v>
      </c>
      <c r="E58" s="138">
        <v>0.038986531986532</v>
      </c>
      <c r="F58" s="138">
        <v>0.427238947253222</v>
      </c>
      <c r="G58" s="138">
        <v>0</v>
      </c>
      <c r="H58" s="138">
        <v>0</v>
      </c>
    </row>
    <row r="59" ht="22.5" customHeight="1" spans="1:8">
      <c r="A59" s="138">
        <v>0.0194260921402623</v>
      </c>
      <c r="B59" s="138">
        <v>0.0194242715186248</v>
      </c>
      <c r="C59" s="138">
        <v>0.0396767676767677</v>
      </c>
      <c r="D59" s="138">
        <v>0.026019223108269</v>
      </c>
      <c r="E59" s="138">
        <v>0.0396767676767677</v>
      </c>
      <c r="F59" s="138">
        <v>0.434390180225745</v>
      </c>
      <c r="G59" s="138">
        <v>0</v>
      </c>
      <c r="H59" s="138">
        <v>0</v>
      </c>
    </row>
    <row r="60" ht="22.5" customHeight="1" spans="1:8">
      <c r="A60" s="138">
        <v>0.0195131417011765</v>
      </c>
      <c r="B60" s="138">
        <v>0.0195104325176744</v>
      </c>
      <c r="C60" s="138">
        <v>0.0403670033670034</v>
      </c>
      <c r="D60" s="138">
        <v>0.0263214466303973</v>
      </c>
      <c r="E60" s="138">
        <v>0.0403670033670034</v>
      </c>
      <c r="F60" s="138">
        <v>0.441277462342518</v>
      </c>
      <c r="G60" s="138">
        <v>0</v>
      </c>
      <c r="H60" s="138">
        <v>0</v>
      </c>
    </row>
    <row r="61" ht="22.5" customHeight="1" spans="1:8">
      <c r="A61" s="138">
        <v>0.0195901449695916</v>
      </c>
      <c r="B61" s="138">
        <v>0.0195963407908082</v>
      </c>
      <c r="C61" s="138">
        <v>0.0410572390572391</v>
      </c>
      <c r="D61" s="138">
        <v>0.026628335254412</v>
      </c>
      <c r="E61" s="138">
        <v>0.0410572390572391</v>
      </c>
      <c r="F61" s="138">
        <v>0.447909536979432</v>
      </c>
      <c r="G61" s="138">
        <v>0</v>
      </c>
      <c r="H61" s="138">
        <v>0</v>
      </c>
    </row>
    <row r="62" ht="22.5" customHeight="1" spans="1:8">
      <c r="A62" s="138">
        <v>0.0196863906711589</v>
      </c>
      <c r="B62" s="138">
        <v>0.0196847027113829</v>
      </c>
      <c r="C62" s="138">
        <v>0.0417474747474748</v>
      </c>
      <c r="D62" s="138">
        <v>0.0269397174889558</v>
      </c>
      <c r="E62" s="138">
        <v>0.0417474747474748</v>
      </c>
      <c r="F62" s="138">
        <v>0.45430083792248</v>
      </c>
      <c r="G62" s="138">
        <v>0</v>
      </c>
      <c r="H62" s="138">
        <v>0</v>
      </c>
    </row>
    <row r="63" ht="22.5" customHeight="1" spans="1:8">
      <c r="A63" s="138">
        <v>0.0197761579974071</v>
      </c>
      <c r="B63" s="138">
        <v>0.0197726418711286</v>
      </c>
      <c r="C63" s="138">
        <v>0.0424377104377104</v>
      </c>
      <c r="D63" s="138">
        <v>0.0272554336854633</v>
      </c>
      <c r="E63" s="138">
        <v>0.0424377104377104</v>
      </c>
      <c r="F63" s="138">
        <v>0.460471191893329</v>
      </c>
      <c r="G63" s="138">
        <v>0</v>
      </c>
      <c r="H63" s="138">
        <v>0</v>
      </c>
    </row>
    <row r="64" ht="22.5" customHeight="1" spans="1:8">
      <c r="A64" s="138">
        <v>0.0198540599769335</v>
      </c>
      <c r="B64" s="138">
        <v>0.0198557322684358</v>
      </c>
      <c r="C64" s="138">
        <v>0.0431279461279461</v>
      </c>
      <c r="D64" s="138">
        <v>0.0275753396402041</v>
      </c>
      <c r="E64" s="138">
        <v>0.0431279461279461</v>
      </c>
      <c r="F64" s="138">
        <v>0.466445459565442</v>
      </c>
      <c r="G64" s="138">
        <v>0</v>
      </c>
      <c r="H64" s="138">
        <v>0</v>
      </c>
    </row>
    <row r="65" ht="22.5" customHeight="1" spans="1:8">
      <c r="A65" s="138">
        <v>0.0199379176469536</v>
      </c>
      <c r="B65" s="138">
        <v>0.0199360588172918</v>
      </c>
      <c r="C65" s="138">
        <v>0.0438181818181818</v>
      </c>
      <c r="D65" s="138">
        <v>0.0278993099273147</v>
      </c>
      <c r="E65" s="138">
        <v>0.0438181818181818</v>
      </c>
      <c r="F65" s="138">
        <v>0.472253115070709</v>
      </c>
      <c r="G65" s="138">
        <v>0</v>
      </c>
      <c r="H65" s="138">
        <v>0</v>
      </c>
    </row>
    <row r="66" ht="22.5" customHeight="1" spans="1:8">
      <c r="A66" s="138">
        <v>0.020015324339509</v>
      </c>
      <c r="B66" s="138">
        <v>0.020016081801429</v>
      </c>
      <c r="C66" s="138">
        <v>0.0445084175084175</v>
      </c>
      <c r="D66" s="138">
        <v>0.0282272409203619</v>
      </c>
      <c r="E66" s="138">
        <v>0.0445084175084175</v>
      </c>
      <c r="F66" s="138">
        <v>0.477927763996664</v>
      </c>
      <c r="G66" s="138">
        <v>0</v>
      </c>
      <c r="H66" s="138">
        <v>0</v>
      </c>
    </row>
    <row r="67" ht="22.5" customHeight="1" spans="1:8">
      <c r="A67" s="138">
        <v>0.0200953993445519</v>
      </c>
      <c r="B67" s="138">
        <v>0.0200938703394359</v>
      </c>
      <c r="C67" s="138">
        <v>0.0451986531986532</v>
      </c>
      <c r="D67" s="138">
        <v>0.0285590534599832</v>
      </c>
      <c r="E67" s="138">
        <v>0.0451986531986532</v>
      </c>
      <c r="F67" s="138">
        <v>0.483506599874202</v>
      </c>
      <c r="G67" s="138">
        <v>0</v>
      </c>
      <c r="H67" s="138">
        <v>0</v>
      </c>
    </row>
    <row r="68" ht="22.5" customHeight="1" spans="1:8">
      <c r="A68" s="138">
        <v>0.0201700623228996</v>
      </c>
      <c r="B68" s="138">
        <v>0.0201733631247381</v>
      </c>
      <c r="C68" s="138">
        <v>0.0458888888888889</v>
      </c>
      <c r="D68" s="138">
        <v>0.028894695125148</v>
      </c>
      <c r="E68" s="138">
        <v>0.0458888888888889</v>
      </c>
      <c r="F68" s="138">
        <v>0.489029799155848</v>
      </c>
      <c r="G68" s="138">
        <v>0</v>
      </c>
      <c r="H68" s="138">
        <v>0</v>
      </c>
    </row>
    <row r="69" ht="22.5" customHeight="1" spans="1:8">
      <c r="A69" s="138">
        <v>0.020256325551863</v>
      </c>
      <c r="B69" s="138">
        <v>0.0202516618167384</v>
      </c>
      <c r="C69" s="138">
        <v>0.0465791245791246</v>
      </c>
      <c r="D69" s="138">
        <v>0.0292341420655821</v>
      </c>
      <c r="E69" s="138">
        <v>0.0465791245791246</v>
      </c>
      <c r="F69" s="138">
        <v>0.494539854684558</v>
      </c>
      <c r="G69" s="138">
        <v>0</v>
      </c>
      <c r="H69" s="138">
        <v>0</v>
      </c>
    </row>
    <row r="70" ht="22.5" customHeight="1" spans="1:8">
      <c r="A70" s="138">
        <v>0.0203271118468809</v>
      </c>
      <c r="B70" s="138">
        <v>0.0203292338547079</v>
      </c>
      <c r="C70" s="138">
        <v>0.0472693602693603</v>
      </c>
      <c r="D70" s="138">
        <v>0.0295774003529018</v>
      </c>
      <c r="E70" s="138">
        <v>0.0472693602693603</v>
      </c>
      <c r="F70" s="138">
        <v>0.500080847653095</v>
      </c>
      <c r="G70" s="138">
        <v>0</v>
      </c>
      <c r="H70" s="138">
        <v>0</v>
      </c>
    </row>
    <row r="71" ht="22.5" customHeight="1" spans="1:8">
      <c r="A71" s="138">
        <v>0.020405511451859</v>
      </c>
      <c r="B71" s="138">
        <v>0.0204051927231272</v>
      </c>
      <c r="C71" s="138">
        <v>0.047959595959596</v>
      </c>
      <c r="D71" s="138">
        <v>0.0299245068079996</v>
      </c>
      <c r="E71" s="138">
        <v>0.047959595959596</v>
      </c>
      <c r="F71" s="138">
        <v>0.505697658053865</v>
      </c>
      <c r="G71" s="138">
        <v>0</v>
      </c>
      <c r="H71" s="138">
        <v>0</v>
      </c>
    </row>
    <row r="72" ht="22.5" customHeight="1" spans="1:8">
      <c r="A72" s="138">
        <v>0.0204827880651145</v>
      </c>
      <c r="B72" s="138">
        <v>0.0204821797118554</v>
      </c>
      <c r="C72" s="138">
        <v>0.0486498316498317</v>
      </c>
      <c r="D72" s="138">
        <v>0.0302755292622262</v>
      </c>
      <c r="E72" s="138">
        <v>0.0486498316498317</v>
      </c>
      <c r="F72" s="138">
        <v>0.511435113619387</v>
      </c>
      <c r="G72" s="138">
        <v>0</v>
      </c>
      <c r="H72" s="138">
        <v>0</v>
      </c>
    </row>
    <row r="73" ht="22.5" customHeight="1" spans="1:8">
      <c r="A73" s="138">
        <v>0.0205579398528001</v>
      </c>
      <c r="B73" s="138">
        <v>0.0205571436295449</v>
      </c>
      <c r="C73" s="138">
        <v>0.0493400673400673</v>
      </c>
      <c r="D73" s="138">
        <v>0.0306305662099132</v>
      </c>
      <c r="E73" s="138">
        <v>0.0493400673400673</v>
      </c>
      <c r="F73" s="138">
        <v>0.517337077253204</v>
      </c>
      <c r="G73" s="138">
        <v>0</v>
      </c>
      <c r="H73" s="138">
        <v>0</v>
      </c>
    </row>
    <row r="74" ht="22.5" customHeight="1" spans="1:8">
      <c r="A74" s="138">
        <v>0.0206302527944657</v>
      </c>
      <c r="B74" s="138">
        <v>0.0206337040188344</v>
      </c>
      <c r="C74" s="138">
        <v>0.050030303030303</v>
      </c>
      <c r="D74" s="138">
        <v>0.0309897458097798</v>
      </c>
      <c r="E74" s="138">
        <v>0.050030303030303</v>
      </c>
      <c r="F74" s="138">
        <v>0.523445472951448</v>
      </c>
      <c r="G74" s="138">
        <v>0</v>
      </c>
      <c r="H74" s="138">
        <v>0</v>
      </c>
    </row>
    <row r="75" ht="22.5" customHeight="1" spans="1:8">
      <c r="A75" s="138">
        <v>0.0207122923486485</v>
      </c>
      <c r="B75" s="138">
        <v>0.0207104959349201</v>
      </c>
      <c r="C75" s="138">
        <v>0.0507205387205387</v>
      </c>
      <c r="D75" s="138">
        <v>0.031353224192768</v>
      </c>
      <c r="E75" s="138">
        <v>0.0507205387205387</v>
      </c>
      <c r="F75" s="138">
        <v>0.529799250214807</v>
      </c>
      <c r="G75" s="138">
        <v>0</v>
      </c>
      <c r="H75" s="138">
        <v>0</v>
      </c>
    </row>
    <row r="76" ht="22.5" customHeight="1" spans="1:8">
      <c r="A76" s="138">
        <v>0.0210843906320637</v>
      </c>
      <c r="B76" s="138">
        <v>0.0208011650277527</v>
      </c>
      <c r="C76" s="138">
        <v>0.0514107744107744</v>
      </c>
      <c r="D76" s="138">
        <v>0.0317211830338493</v>
      </c>
      <c r="E76" s="138">
        <v>0.0514107744107744</v>
      </c>
      <c r="F76" s="138">
        <v>0.536433286951186</v>
      </c>
      <c r="G76" s="138">
        <v>0</v>
      </c>
      <c r="H76" s="138">
        <v>0</v>
      </c>
    </row>
    <row r="77" ht="22.5" customHeight="1" spans="1:8">
      <c r="A77" s="138">
        <v>0.0211558315141979</v>
      </c>
      <c r="B77" s="138">
        <v>0.0208897479877837</v>
      </c>
      <c r="C77" s="138">
        <v>0.0521010101010101</v>
      </c>
      <c r="D77" s="138">
        <v>0.0320938263453486</v>
      </c>
      <c r="E77" s="138">
        <v>0.0521010101010101</v>
      </c>
      <c r="F77" s="138">
        <v>0.543377230868692</v>
      </c>
      <c r="G77" s="138">
        <v>0</v>
      </c>
      <c r="H77" s="138">
        <v>0</v>
      </c>
    </row>
    <row r="78" ht="22.5" customHeight="1" spans="1:8">
      <c r="A78" s="138">
        <v>0.0212277714011645</v>
      </c>
      <c r="B78" s="138">
        <v>0.0209779190446911</v>
      </c>
      <c r="C78" s="138">
        <v>0.0527912457912458</v>
      </c>
      <c r="D78" s="138">
        <v>0.0324713764493273</v>
      </c>
      <c r="E78" s="138">
        <v>0.0527912457912458</v>
      </c>
      <c r="F78" s="138">
        <v>0.550654279359462</v>
      </c>
      <c r="G78" s="138">
        <v>0</v>
      </c>
      <c r="H78" s="138">
        <v>0</v>
      </c>
    </row>
    <row r="79" ht="22.5" customHeight="1" spans="1:8">
      <c r="A79" s="138">
        <v>0.0210629257322843</v>
      </c>
      <c r="B79" s="138">
        <v>0.0210631655926855</v>
      </c>
      <c r="C79" s="138">
        <v>0.0534814814814815</v>
      </c>
      <c r="D79" s="138">
        <v>0.0328540690865719</v>
      </c>
      <c r="E79" s="138">
        <v>0.0534814814814815</v>
      </c>
      <c r="F79" s="138">
        <v>0.558279897873714</v>
      </c>
      <c r="G79" s="138">
        <v>0</v>
      </c>
      <c r="H79" s="138">
        <v>0</v>
      </c>
    </row>
    <row r="80" ht="22.5" customHeight="1" spans="1:8">
      <c r="A80" s="138">
        <v>0.0211646100582588</v>
      </c>
      <c r="B80" s="138">
        <v>0.0211633125156095</v>
      </c>
      <c r="C80" s="138">
        <v>0.0541717171717172</v>
      </c>
      <c r="D80" s="138">
        <v>0.0332421476197284</v>
      </c>
      <c r="E80" s="138">
        <v>0.0541717171717172</v>
      </c>
      <c r="F80" s="138">
        <v>0.566260476784515</v>
      </c>
      <c r="G80" s="138">
        <v>0</v>
      </c>
      <c r="H80" s="138">
        <v>0</v>
      </c>
    </row>
    <row r="81" ht="22.5" customHeight="1" spans="1:8">
      <c r="A81" s="138">
        <v>0.0212606726349662</v>
      </c>
      <c r="B81" s="138">
        <v>0.0212638549745248</v>
      </c>
      <c r="C81" s="138">
        <v>0.0548619528619529</v>
      </c>
      <c r="D81" s="138">
        <v>0.0336358562881317</v>
      </c>
      <c r="E81" s="138">
        <v>0.0548619528619529</v>
      </c>
      <c r="F81" s="138">
        <v>0.574591926743095</v>
      </c>
      <c r="G81" s="138">
        <v>0</v>
      </c>
      <c r="H81" s="138">
        <v>0</v>
      </c>
    </row>
    <row r="82" ht="22.5" customHeight="1" spans="1:8">
      <c r="A82" s="138">
        <v>0.0213675528872597</v>
      </c>
      <c r="B82" s="138">
        <v>0.021365658264204</v>
      </c>
      <c r="C82" s="138">
        <v>0.0555521885521886</v>
      </c>
      <c r="D82" s="138">
        <v>0.0340354324718685</v>
      </c>
      <c r="E82" s="138">
        <v>0.0555521885521886</v>
      </c>
      <c r="F82" s="138">
        <v>0.583258212524612</v>
      </c>
      <c r="G82" s="138">
        <v>0</v>
      </c>
      <c r="H82" s="138">
        <v>0</v>
      </c>
    </row>
    <row r="83" ht="22.5" customHeight="1" spans="1:8">
      <c r="A83" s="138">
        <v>0.021467464235483</v>
      </c>
      <c r="B83" s="138">
        <v>0.0214722986484394</v>
      </c>
      <c r="C83" s="138">
        <v>0.0562424242424243</v>
      </c>
      <c r="D83" s="138">
        <v>0.0344410979226219</v>
      </c>
      <c r="E83" s="138">
        <v>0.0562424242424243</v>
      </c>
      <c r="F83" s="138">
        <v>0.592229825364499</v>
      </c>
      <c r="G83" s="138">
        <v>0</v>
      </c>
      <c r="H83" s="138">
        <v>0</v>
      </c>
    </row>
    <row r="84" ht="22.5" customHeight="1" spans="1:8">
      <c r="A84" s="138">
        <v>0.0215831739789461</v>
      </c>
      <c r="B84" s="138">
        <v>0.0215807233662991</v>
      </c>
      <c r="C84" s="138">
        <v>0.0569326599326599</v>
      </c>
      <c r="D84" s="138">
        <v>0.0348530489188388</v>
      </c>
      <c r="E84" s="138">
        <v>0.0569326599326599</v>
      </c>
      <c r="F84" s="138">
        <v>0.601462193785401</v>
      </c>
      <c r="G84" s="138">
        <v>0</v>
      </c>
      <c r="H84" s="138">
        <v>0</v>
      </c>
    </row>
    <row r="85" ht="22.5" customHeight="1" spans="1:8">
      <c r="A85" s="138">
        <v>0.0216892297105093</v>
      </c>
      <c r="B85" s="138">
        <v>0.0216959584527054</v>
      </c>
      <c r="C85" s="138">
        <v>0.0576228956228956</v>
      </c>
      <c r="D85" s="138">
        <v>0.0352714453027671</v>
      </c>
      <c r="E85" s="138">
        <v>0.0576228956228956</v>
      </c>
      <c r="F85" s="138">
        <v>0.610894032914508</v>
      </c>
      <c r="G85" s="138">
        <v>0</v>
      </c>
      <c r="H85" s="138">
        <v>0</v>
      </c>
    </row>
    <row r="86" ht="22.5" customHeight="1" spans="1:8">
      <c r="A86" s="138">
        <v>0.0218164548598353</v>
      </c>
      <c r="B86" s="138">
        <v>0.0218113282711162</v>
      </c>
      <c r="C86" s="138">
        <v>0.0583131313131313</v>
      </c>
      <c r="D86" s="138">
        <v>0.0356963983569019</v>
      </c>
      <c r="E86" s="138">
        <v>0.0583131313131313</v>
      </c>
      <c r="F86" s="138">
        <v>0.620445632291598</v>
      </c>
      <c r="G86" s="138">
        <v>0</v>
      </c>
      <c r="H86" s="138">
        <v>0</v>
      </c>
    </row>
    <row r="87" ht="22.5" customHeight="1" spans="1:8">
      <c r="A87" s="138">
        <v>0.0219257989188954</v>
      </c>
      <c r="B87" s="138">
        <v>0.021927151144412</v>
      </c>
      <c r="C87" s="138">
        <v>0.059003367003367</v>
      </c>
      <c r="D87" s="138">
        <v>0.0361279574773913</v>
      </c>
      <c r="E87" s="138">
        <v>0.059003367003367</v>
      </c>
      <c r="F87" s="138">
        <v>0.630017082167474</v>
      </c>
      <c r="G87" s="138">
        <v>0</v>
      </c>
      <c r="H87" s="138">
        <v>0</v>
      </c>
    </row>
    <row r="88" ht="22.5" customHeight="1" spans="1:8">
      <c r="A88" s="138">
        <v>0.0220401014472098</v>
      </c>
      <c r="B88" s="138">
        <v>0.0220402934135239</v>
      </c>
      <c r="C88" s="138">
        <v>0.0596936026936027</v>
      </c>
      <c r="D88" s="138">
        <v>0.036566095601938</v>
      </c>
      <c r="E88" s="138">
        <v>0.0596936026936027</v>
      </c>
      <c r="F88" s="138">
        <v>0.639486438293101</v>
      </c>
      <c r="G88" s="138">
        <v>0</v>
      </c>
      <c r="H88" s="138">
        <v>0</v>
      </c>
    </row>
    <row r="89" ht="22.5" customHeight="1" spans="1:8">
      <c r="A89" s="138">
        <v>0.0221541571255149</v>
      </c>
      <c r="B89" s="138">
        <v>0.0221520599745587</v>
      </c>
      <c r="C89" s="138">
        <v>0.0603838383838384</v>
      </c>
      <c r="D89" s="138">
        <v>0.0370106933497497</v>
      </c>
      <c r="E89" s="138">
        <v>0.0603838383838384</v>
      </c>
      <c r="F89" s="138">
        <v>0.648707825199075</v>
      </c>
      <c r="G89" s="138">
        <v>0</v>
      </c>
      <c r="H89" s="138">
        <v>0</v>
      </c>
    </row>
    <row r="90" ht="22.5" customHeight="1" spans="1:8">
      <c r="A90" s="138">
        <v>0.0222429163511196</v>
      </c>
      <c r="B90" s="138">
        <v>0.0222650540562292</v>
      </c>
      <c r="C90" s="138">
        <v>0.0610740740740741</v>
      </c>
      <c r="D90" s="138">
        <v>0.0374615218310727</v>
      </c>
      <c r="E90" s="138">
        <v>0.0610740740740741</v>
      </c>
      <c r="F90" s="138">
        <v>0.657509477965764</v>
      </c>
      <c r="G90" s="138">
        <v>0</v>
      </c>
      <c r="H90" s="138">
        <v>0</v>
      </c>
    </row>
    <row r="91" ht="22.5" customHeight="1" spans="1:8">
      <c r="A91" s="138">
        <v>0.022370425022772</v>
      </c>
      <c r="B91" s="138">
        <v>0.0223791041200408</v>
      </c>
      <c r="C91" s="138">
        <v>0.0617643097643098</v>
      </c>
      <c r="D91" s="138">
        <v>0.0379182240838593</v>
      </c>
      <c r="E91" s="138">
        <v>0.0617643097643098</v>
      </c>
      <c r="F91" s="138">
        <v>0.665691722484072</v>
      </c>
      <c r="G91" s="138">
        <v>0</v>
      </c>
      <c r="H91" s="138">
        <v>0</v>
      </c>
    </row>
    <row r="92" ht="22.5" customHeight="1" spans="1:8">
      <c r="A92" s="138">
        <v>0.0224967281258018</v>
      </c>
      <c r="B92" s="138">
        <v>0.0224933062030553</v>
      </c>
      <c r="C92" s="138">
        <v>0.0624545454545455</v>
      </c>
      <c r="D92" s="138">
        <v>0.0383802950951122</v>
      </c>
      <c r="E92" s="138">
        <v>0.0624545454545455</v>
      </c>
      <c r="F92" s="138">
        <v>0.673024894206411</v>
      </c>
      <c r="G92" s="138">
        <v>0</v>
      </c>
      <c r="H92" s="138">
        <v>0</v>
      </c>
    </row>
    <row r="93" ht="22.5" customHeight="1" spans="1:8">
      <c r="A93" s="138">
        <v>0.0226119658408787</v>
      </c>
      <c r="B93" s="138">
        <v>0.0226119448390707</v>
      </c>
      <c r="C93" s="138">
        <v>0.0631447811447812</v>
      </c>
      <c r="D93" s="138">
        <v>0.0388470603644458</v>
      </c>
      <c r="E93" s="138">
        <v>0.0631447811447812</v>
      </c>
      <c r="F93" s="138">
        <v>0.679247195388721</v>
      </c>
      <c r="G93" s="138">
        <v>0</v>
      </c>
      <c r="H93" s="138">
        <v>0</v>
      </c>
    </row>
    <row r="94" ht="22.5" customHeight="1" spans="1:8">
      <c r="A94" s="138">
        <v>0.022727127813356</v>
      </c>
      <c r="B94" s="138">
        <v>0.0227286989321156</v>
      </c>
      <c r="C94" s="138">
        <v>0.0638350168350169</v>
      </c>
      <c r="D94" s="138">
        <v>0.039317652967415</v>
      </c>
      <c r="E94" s="138">
        <v>0.0638350168350169</v>
      </c>
      <c r="F94" s="138">
        <v>0.684062490822497</v>
      </c>
      <c r="G94" s="138">
        <v>0</v>
      </c>
      <c r="H94" s="138">
        <v>0</v>
      </c>
    </row>
    <row r="95" ht="22.5" customHeight="1" spans="1:8">
      <c r="A95" s="138">
        <v>0.0228477530657432</v>
      </c>
      <c r="B95" s="138">
        <v>0.0228461744020771</v>
      </c>
      <c r="C95" s="138">
        <v>0.0645252525252525</v>
      </c>
      <c r="D95" s="138">
        <v>0.0397909890761475</v>
      </c>
      <c r="E95" s="138">
        <v>0.0645252525252525</v>
      </c>
      <c r="F95" s="138">
        <v>0.68713804205765</v>
      </c>
      <c r="G95" s="138">
        <v>0</v>
      </c>
      <c r="H95" s="138">
        <v>0</v>
      </c>
    </row>
    <row r="96" ht="22.5" customHeight="1" spans="1:8">
      <c r="A96" s="138">
        <v>0.0229628872008026</v>
      </c>
      <c r="B96" s="138">
        <v>0.0229633736577444</v>
      </c>
      <c r="C96" s="138">
        <v>0.0652154882154882</v>
      </c>
      <c r="D96" s="138">
        <v>0.0402657418948315</v>
      </c>
      <c r="E96" s="138">
        <v>0.0652154882154882</v>
      </c>
      <c r="F96" s="138">
        <v>0.68810218011602</v>
      </c>
      <c r="G96" s="138">
        <v>0</v>
      </c>
      <c r="H96" s="138">
        <v>0</v>
      </c>
    </row>
    <row r="97" ht="22.5" customHeight="1" spans="1:8">
      <c r="A97" s="138">
        <v>0.0230797335153622</v>
      </c>
      <c r="B97" s="138">
        <v>0.0230812097417586</v>
      </c>
      <c r="C97" s="138">
        <v>0.0659057239057239</v>
      </c>
      <c r="D97" s="138">
        <v>0.0407403139675975</v>
      </c>
      <c r="E97" s="138">
        <v>0.0659057239057239</v>
      </c>
      <c r="F97" s="138">
        <v>0.686541916694999</v>
      </c>
      <c r="G97" s="138">
        <v>0</v>
      </c>
      <c r="H97" s="138">
        <v>0</v>
      </c>
    </row>
    <row r="98" ht="22.5" customHeight="1" spans="1:8">
      <c r="A98" s="138">
        <v>0.0232017395647999</v>
      </c>
      <c r="B98" s="138">
        <v>0.0231996264319884</v>
      </c>
      <c r="C98" s="138">
        <v>0.0665959595959596</v>
      </c>
      <c r="D98" s="138">
        <v>0.0412128078163379</v>
      </c>
      <c r="E98" s="138">
        <v>0.0665959595959596</v>
      </c>
      <c r="F98" s="138">
        <v>0.682000493862241</v>
      </c>
      <c r="G98" s="138">
        <v>0</v>
      </c>
      <c r="H98" s="138">
        <v>0</v>
      </c>
    </row>
    <row r="99" ht="22.5" customHeight="1" spans="1:8">
      <c r="A99" s="138">
        <v>0.0233164280285649</v>
      </c>
      <c r="B99" s="138">
        <v>0.0233178594912722</v>
      </c>
      <c r="C99" s="138">
        <v>0.0672861952861953</v>
      </c>
      <c r="D99" s="138">
        <v>0.0416809948660144</v>
      </c>
      <c r="E99" s="138">
        <v>0.0672861952861953</v>
      </c>
      <c r="F99" s="138">
        <v>0.673974872240329</v>
      </c>
      <c r="G99" s="138">
        <v>0</v>
      </c>
      <c r="H99" s="138">
        <v>0</v>
      </c>
    </row>
    <row r="100" ht="22.5" customHeight="1" spans="1:8">
      <c r="A100" s="138">
        <v>0.0234361283166319</v>
      </c>
      <c r="B100" s="138">
        <v>0.0234370895193209</v>
      </c>
      <c r="C100" s="138">
        <v>0.067976430976431</v>
      </c>
      <c r="D100" s="138">
        <v>0.0421422826149908</v>
      </c>
      <c r="E100" s="138">
        <v>0.067976430976431</v>
      </c>
      <c r="F100" s="138">
        <v>0.661913157682555</v>
      </c>
      <c r="G100" s="138">
        <v>0</v>
      </c>
      <c r="H100" s="138">
        <v>0</v>
      </c>
    </row>
    <row r="101" ht="22.5" customHeight="1" spans="1:8">
      <c r="A101" s="138">
        <v>0.0235591928705883</v>
      </c>
      <c r="B101" s="138">
        <v>0.0235601641113614</v>
      </c>
      <c r="C101" s="138">
        <v>0.0686666666666667</v>
      </c>
      <c r="D101" s="138">
        <v>0.0425936800079334</v>
      </c>
      <c r="E101" s="138">
        <v>0.0686666666666667</v>
      </c>
      <c r="F101" s="138">
        <v>0.645211966438707</v>
      </c>
      <c r="G101" s="138">
        <v>0</v>
      </c>
      <c r="H101" s="138">
        <v>0</v>
      </c>
    </row>
    <row r="102" ht="22.5" customHeight="1" spans="1:8">
      <c r="A102" s="138">
        <v>0.02368567338896</v>
      </c>
      <c r="B102" s="138">
        <v>0.0236834999646546</v>
      </c>
      <c r="C102" s="138">
        <v>0</v>
      </c>
      <c r="D102" s="138">
        <v>0</v>
      </c>
      <c r="E102" s="138">
        <v>0</v>
      </c>
      <c r="F102" s="138">
        <v>0</v>
      </c>
      <c r="G102" s="138">
        <v>0</v>
      </c>
      <c r="H102" s="138">
        <v>0</v>
      </c>
    </row>
    <row r="103" ht="22.5" customHeight="1" spans="1:8">
      <c r="A103" s="138">
        <v>0.0238046781835938</v>
      </c>
      <c r="B103" s="138">
        <v>0.023804852785955</v>
      </c>
      <c r="C103" s="138">
        <v>0</v>
      </c>
      <c r="D103" s="138">
        <v>0</v>
      </c>
      <c r="E103" s="138">
        <v>0</v>
      </c>
      <c r="F103" s="138">
        <v>0</v>
      </c>
      <c r="G103" s="138">
        <v>0</v>
      </c>
      <c r="H103" s="138">
        <v>0</v>
      </c>
    </row>
    <row r="104" ht="22.5" customHeight="1" spans="1:8">
      <c r="A104" s="138">
        <v>0.0239243012638619</v>
      </c>
      <c r="B104" s="138">
        <v>0.0239259742515014</v>
      </c>
      <c r="C104" s="138">
        <v>0</v>
      </c>
      <c r="D104" s="138">
        <v>0</v>
      </c>
      <c r="E104" s="138">
        <v>0</v>
      </c>
      <c r="F104" s="138">
        <v>0</v>
      </c>
      <c r="G104" s="138">
        <v>0</v>
      </c>
      <c r="H104" s="138">
        <v>0</v>
      </c>
    </row>
    <row r="105" ht="22.5" customHeight="1" spans="1:8">
      <c r="A105" s="138">
        <v>0.0240497353361121</v>
      </c>
      <c r="B105" s="138">
        <v>0.0240481525208675</v>
      </c>
      <c r="C105" s="138">
        <v>0</v>
      </c>
      <c r="D105" s="138">
        <v>0</v>
      </c>
      <c r="E105" s="138">
        <v>0</v>
      </c>
      <c r="F105" s="138">
        <v>0</v>
      </c>
      <c r="G105" s="138">
        <v>0</v>
      </c>
      <c r="H105" s="138">
        <v>0</v>
      </c>
    </row>
    <row r="106" ht="22.5" customHeight="1" spans="1:8">
      <c r="A106" s="138">
        <v>0.0241696530703699</v>
      </c>
      <c r="B106" s="138">
        <v>0.0241706578261164</v>
      </c>
      <c r="C106" s="138">
        <v>0</v>
      </c>
      <c r="D106" s="138">
        <v>0</v>
      </c>
      <c r="E106" s="138">
        <v>0</v>
      </c>
      <c r="F106" s="138">
        <v>0</v>
      </c>
      <c r="G106" s="138">
        <v>0</v>
      </c>
      <c r="H106" s="138">
        <v>0</v>
      </c>
    </row>
    <row r="107" ht="22.5" customHeight="1" spans="1:8">
      <c r="A107" s="138">
        <v>0.0242931850517148</v>
      </c>
      <c r="B107" s="138">
        <v>0.0242893372290064</v>
      </c>
      <c r="C107" s="138">
        <v>0</v>
      </c>
      <c r="D107" s="138">
        <v>0</v>
      </c>
      <c r="E107" s="138">
        <v>0</v>
      </c>
      <c r="F107" s="138">
        <v>0</v>
      </c>
      <c r="G107" s="138">
        <v>0</v>
      </c>
      <c r="H107" s="138">
        <v>0</v>
      </c>
    </row>
    <row r="108" ht="22.5" customHeight="1" spans="1:8">
      <c r="A108" s="138">
        <v>0.0244039420970262</v>
      </c>
      <c r="B108" s="138">
        <v>0.0244034580570532</v>
      </c>
      <c r="C108" s="138">
        <v>0</v>
      </c>
      <c r="D108" s="138">
        <v>0</v>
      </c>
      <c r="E108" s="138">
        <v>0</v>
      </c>
      <c r="F108" s="138">
        <v>0</v>
      </c>
      <c r="G108" s="138">
        <v>0</v>
      </c>
      <c r="H108" s="138">
        <v>0</v>
      </c>
    </row>
    <row r="109" ht="22.5" customHeight="1" spans="1:8">
      <c r="A109" s="138">
        <v>0.024512698772638</v>
      </c>
      <c r="B109" s="138">
        <v>0.0245203820192039</v>
      </c>
      <c r="C109" s="138">
        <v>0</v>
      </c>
      <c r="D109" s="138">
        <v>0</v>
      </c>
      <c r="E109" s="138">
        <v>0</v>
      </c>
      <c r="F109" s="138">
        <v>0</v>
      </c>
      <c r="G109" s="138">
        <v>0</v>
      </c>
      <c r="H109" s="138">
        <v>0</v>
      </c>
    </row>
    <row r="110" ht="22.5" customHeight="1" spans="1:8">
      <c r="A110" s="138">
        <v>0.0246435237716297</v>
      </c>
      <c r="B110" s="138">
        <v>0.0246448341547638</v>
      </c>
      <c r="C110" s="138">
        <v>0</v>
      </c>
      <c r="D110" s="138">
        <v>0</v>
      </c>
      <c r="E110" s="138">
        <v>0</v>
      </c>
      <c r="F110" s="138">
        <v>0</v>
      </c>
      <c r="G110" s="138">
        <v>0</v>
      </c>
      <c r="H110" s="138">
        <v>0</v>
      </c>
    </row>
    <row r="111" ht="22.5" customHeight="1" spans="1:8">
      <c r="A111" s="138">
        <v>0.0247799400590828</v>
      </c>
      <c r="B111" s="138">
        <v>0.0247741197325381</v>
      </c>
      <c r="C111" s="138">
        <v>0</v>
      </c>
      <c r="D111" s="138">
        <v>0</v>
      </c>
      <c r="E111" s="138">
        <v>0</v>
      </c>
      <c r="F111" s="138">
        <v>0</v>
      </c>
      <c r="G111" s="138">
        <v>0</v>
      </c>
      <c r="H111" s="138">
        <v>0</v>
      </c>
    </row>
    <row r="112" ht="22.5" customHeight="1" spans="1:8">
      <c r="A112" s="138">
        <v>0.0248975748430669</v>
      </c>
      <c r="B112" s="138">
        <v>0.0249023914053334</v>
      </c>
      <c r="C112" s="138">
        <v>0</v>
      </c>
      <c r="D112" s="138">
        <v>0</v>
      </c>
      <c r="E112" s="138">
        <v>0</v>
      </c>
      <c r="F112" s="138">
        <v>0</v>
      </c>
      <c r="G112" s="138">
        <v>0</v>
      </c>
      <c r="H112" s="138">
        <v>0</v>
      </c>
    </row>
    <row r="113" ht="22.5" customHeight="1" spans="1:8">
      <c r="A113" s="138">
        <v>0.0250320754054794</v>
      </c>
      <c r="B113" s="138">
        <v>0.0250316678314012</v>
      </c>
      <c r="C113" s="138">
        <v>0</v>
      </c>
      <c r="D113" s="138">
        <v>0</v>
      </c>
      <c r="E113" s="138">
        <v>0</v>
      </c>
      <c r="F113" s="138">
        <v>0</v>
      </c>
      <c r="G113" s="138">
        <v>0</v>
      </c>
      <c r="H113" s="138">
        <v>0</v>
      </c>
    </row>
    <row r="114" ht="22.5" customHeight="1" spans="1:8">
      <c r="A114" s="138">
        <v>0.025200612689454</v>
      </c>
      <c r="B114" s="138">
        <v>0.0251700581756205</v>
      </c>
      <c r="C114" s="138">
        <v>0</v>
      </c>
      <c r="D114" s="138">
        <v>0</v>
      </c>
      <c r="E114" s="138">
        <v>0</v>
      </c>
      <c r="F114" s="138">
        <v>0</v>
      </c>
      <c r="G114" s="138">
        <v>0</v>
      </c>
      <c r="H114" s="138">
        <v>0</v>
      </c>
    </row>
    <row r="115" ht="22.5" customHeight="1" spans="1:8">
      <c r="A115" s="138">
        <v>0.0253231432865002</v>
      </c>
      <c r="B115" s="138">
        <v>0.025306580974412</v>
      </c>
      <c r="C115" s="138">
        <v>0</v>
      </c>
      <c r="D115" s="138">
        <v>0</v>
      </c>
      <c r="E115" s="138">
        <v>0</v>
      </c>
      <c r="F115" s="138">
        <v>0</v>
      </c>
      <c r="G115" s="138">
        <v>0</v>
      </c>
      <c r="H115" s="138">
        <v>0</v>
      </c>
    </row>
    <row r="116" ht="22.5" customHeight="1" spans="1:8">
      <c r="A116" s="138">
        <v>0.025442776051599</v>
      </c>
      <c r="B116" s="138">
        <v>0.0254442699591502</v>
      </c>
      <c r="C116" s="138">
        <v>0</v>
      </c>
      <c r="D116" s="138">
        <v>0</v>
      </c>
      <c r="E116" s="138">
        <v>0</v>
      </c>
      <c r="F116" s="138">
        <v>0</v>
      </c>
      <c r="G116" s="138">
        <v>0</v>
      </c>
      <c r="H116" s="138">
        <v>0</v>
      </c>
    </row>
    <row r="117" ht="22.5" customHeight="1" spans="1:8">
      <c r="A117" s="138">
        <v>0.02557961045909</v>
      </c>
      <c r="B117" s="138">
        <v>0.0255804710412528</v>
      </c>
      <c r="C117" s="138">
        <v>0</v>
      </c>
      <c r="D117" s="138">
        <v>0</v>
      </c>
      <c r="E117" s="138">
        <v>0</v>
      </c>
      <c r="F117" s="138">
        <v>0</v>
      </c>
      <c r="G117" s="138">
        <v>0</v>
      </c>
      <c r="H117" s="138">
        <v>0</v>
      </c>
    </row>
    <row r="118" ht="22.5" customHeight="1" spans="1:8">
      <c r="A118" s="138">
        <v>0.0256900803950464</v>
      </c>
      <c r="B118" s="138">
        <v>0.0257178967649018</v>
      </c>
      <c r="C118" s="138">
        <v>0</v>
      </c>
      <c r="D118" s="138">
        <v>0</v>
      </c>
      <c r="E118" s="138">
        <v>0</v>
      </c>
      <c r="F118" s="138">
        <v>0</v>
      </c>
      <c r="G118" s="138">
        <v>0</v>
      </c>
      <c r="H118" s="138">
        <v>0</v>
      </c>
    </row>
    <row r="119" ht="22.5" customHeight="1" spans="1:8">
      <c r="A119" s="138">
        <v>0.0258559348717306</v>
      </c>
      <c r="B119" s="138">
        <v>0.0258546632042654</v>
      </c>
      <c r="C119" s="138">
        <v>0</v>
      </c>
      <c r="D119" s="138">
        <v>0</v>
      </c>
      <c r="E119" s="138">
        <v>0</v>
      </c>
      <c r="F119" s="138">
        <v>0</v>
      </c>
      <c r="G119" s="138">
        <v>0</v>
      </c>
      <c r="H119" s="138">
        <v>0</v>
      </c>
    </row>
    <row r="120" ht="22.5" customHeight="1" spans="1:8">
      <c r="A120" s="138">
        <v>0.0260142508877009</v>
      </c>
      <c r="B120" s="138">
        <v>0.0259924189410936</v>
      </c>
      <c r="C120" s="138">
        <v>0</v>
      </c>
      <c r="D120" s="138">
        <v>0</v>
      </c>
      <c r="E120" s="138">
        <v>0</v>
      </c>
      <c r="F120" s="138">
        <v>0</v>
      </c>
      <c r="G120" s="138">
        <v>0</v>
      </c>
      <c r="H120" s="138">
        <v>0</v>
      </c>
    </row>
    <row r="121" ht="22.5" customHeight="1" spans="1:8">
      <c r="A121" s="138">
        <v>0.0261249107571666</v>
      </c>
      <c r="B121" s="138">
        <v>0.0261321310849338</v>
      </c>
      <c r="C121" s="138">
        <v>0</v>
      </c>
      <c r="D121" s="138">
        <v>0</v>
      </c>
      <c r="E121" s="138">
        <v>0</v>
      </c>
      <c r="F121" s="138">
        <v>0</v>
      </c>
      <c r="G121" s="138">
        <v>0</v>
      </c>
      <c r="H121" s="138">
        <v>0</v>
      </c>
    </row>
    <row r="122" ht="22.5" customHeight="1" spans="1:8">
      <c r="A122" s="138">
        <v>0.0262728718817602</v>
      </c>
      <c r="B122" s="138">
        <v>0.0262744853308448</v>
      </c>
      <c r="C122" s="138">
        <v>0</v>
      </c>
      <c r="D122" s="138">
        <v>0</v>
      </c>
      <c r="E122" s="138">
        <v>0</v>
      </c>
      <c r="F122" s="138">
        <v>0</v>
      </c>
      <c r="G122" s="138">
        <v>0</v>
      </c>
      <c r="H122" s="138">
        <v>0</v>
      </c>
    </row>
    <row r="123" ht="22.5" customHeight="1" spans="1:8">
      <c r="A123" s="138">
        <v>0.0264242236726054</v>
      </c>
      <c r="B123" s="138">
        <v>0.0264278772400324</v>
      </c>
      <c r="C123" s="138">
        <v>0</v>
      </c>
      <c r="D123" s="138">
        <v>0</v>
      </c>
      <c r="E123" s="138">
        <v>0</v>
      </c>
      <c r="F123" s="138">
        <v>0</v>
      </c>
      <c r="G123" s="138">
        <v>0</v>
      </c>
      <c r="H123" s="138">
        <v>0</v>
      </c>
    </row>
    <row r="124" ht="22.5" customHeight="1" spans="1:8">
      <c r="A124" s="138">
        <v>0.0265879889052655</v>
      </c>
      <c r="B124" s="138">
        <v>0.0265850200172903</v>
      </c>
      <c r="C124" s="138">
        <v>0</v>
      </c>
      <c r="D124" s="138">
        <v>0</v>
      </c>
      <c r="E124" s="138">
        <v>0</v>
      </c>
      <c r="F124" s="138">
        <v>0</v>
      </c>
      <c r="G124" s="138">
        <v>0</v>
      </c>
      <c r="H124" s="138">
        <v>0</v>
      </c>
    </row>
    <row r="125" ht="22.5" customHeight="1" spans="1:8">
      <c r="A125" s="138">
        <v>0.026741163896193</v>
      </c>
      <c r="B125" s="138">
        <v>0.0267450897950262</v>
      </c>
      <c r="C125" s="138">
        <v>0</v>
      </c>
      <c r="D125" s="138">
        <v>0</v>
      </c>
      <c r="E125" s="138">
        <v>0</v>
      </c>
      <c r="F125" s="138">
        <v>0</v>
      </c>
      <c r="G125" s="138">
        <v>0</v>
      </c>
      <c r="H125" s="138">
        <v>0</v>
      </c>
    </row>
    <row r="126" ht="22.5" customHeight="1" spans="1:8">
      <c r="A126" s="138">
        <v>0.0269076741802728</v>
      </c>
      <c r="B126" s="138">
        <v>0.0269050561891922</v>
      </c>
      <c r="C126" s="138">
        <v>0</v>
      </c>
      <c r="D126" s="138">
        <v>0</v>
      </c>
      <c r="E126" s="138">
        <v>0</v>
      </c>
      <c r="F126" s="138">
        <v>0</v>
      </c>
      <c r="G126" s="138">
        <v>0</v>
      </c>
      <c r="H126" s="138">
        <v>0</v>
      </c>
    </row>
    <row r="127" ht="22.5" customHeight="1" spans="1:8">
      <c r="A127" s="138">
        <v>0.0270649387668476</v>
      </c>
      <c r="B127" s="138">
        <v>0.0270629859251526</v>
      </c>
      <c r="C127" s="138">
        <v>0</v>
      </c>
      <c r="D127" s="138">
        <v>0</v>
      </c>
      <c r="E127" s="138">
        <v>0</v>
      </c>
      <c r="F127" s="138">
        <v>0</v>
      </c>
      <c r="G127" s="138">
        <v>0</v>
      </c>
      <c r="H127" s="138">
        <v>0</v>
      </c>
    </row>
    <row r="128" ht="22.5" customHeight="1" spans="1:8">
      <c r="A128" s="138">
        <v>0.0272151669772584</v>
      </c>
      <c r="B128" s="138">
        <v>0.0272192374580654</v>
      </c>
      <c r="C128" s="138">
        <v>0</v>
      </c>
      <c r="D128" s="138">
        <v>0</v>
      </c>
      <c r="E128" s="138">
        <v>0</v>
      </c>
      <c r="F128" s="138">
        <v>0</v>
      </c>
      <c r="G128" s="138">
        <v>0</v>
      </c>
      <c r="H128" s="138">
        <v>0</v>
      </c>
    </row>
    <row r="129" ht="22.5" customHeight="1" spans="1:8">
      <c r="A129" s="138">
        <v>0.0273799770165909</v>
      </c>
      <c r="B129" s="138">
        <v>0.0273737318228289</v>
      </c>
      <c r="C129" s="138">
        <v>0</v>
      </c>
      <c r="D129" s="138">
        <v>0</v>
      </c>
      <c r="E129" s="138">
        <v>0</v>
      </c>
      <c r="F129" s="138">
        <v>0</v>
      </c>
      <c r="G129" s="138">
        <v>0</v>
      </c>
      <c r="H129" s="138">
        <v>0</v>
      </c>
    </row>
    <row r="130" ht="22.5" customHeight="1" spans="1:8">
      <c r="A130" s="138">
        <v>0.0275248783995979</v>
      </c>
      <c r="B130" s="138">
        <v>0.0275282615387638</v>
      </c>
      <c r="C130" s="138">
        <v>0</v>
      </c>
      <c r="D130" s="138">
        <v>0</v>
      </c>
      <c r="E130" s="138">
        <v>0</v>
      </c>
      <c r="F130" s="138">
        <v>0</v>
      </c>
      <c r="G130" s="138">
        <v>0</v>
      </c>
      <c r="H130" s="138">
        <v>0</v>
      </c>
    </row>
    <row r="131" ht="22.5" customHeight="1" spans="1:8">
      <c r="A131" s="138">
        <v>0.0276820972069787</v>
      </c>
      <c r="B131" s="138">
        <v>0.0276831208994825</v>
      </c>
      <c r="C131" s="138">
        <v>0</v>
      </c>
      <c r="D131" s="138">
        <v>0</v>
      </c>
      <c r="E131" s="138">
        <v>0</v>
      </c>
      <c r="F131" s="138">
        <v>0</v>
      </c>
      <c r="G131" s="138">
        <v>0</v>
      </c>
      <c r="H131" s="138">
        <v>0</v>
      </c>
    </row>
    <row r="132" ht="22.5" customHeight="1" spans="1:8">
      <c r="A132" s="138">
        <v>0.0278429605281605</v>
      </c>
      <c r="B132" s="138">
        <v>0.027843538462825</v>
      </c>
      <c r="C132" s="138">
        <v>0</v>
      </c>
      <c r="D132" s="138">
        <v>0</v>
      </c>
      <c r="E132" s="138">
        <v>0</v>
      </c>
      <c r="F132" s="138">
        <v>0</v>
      </c>
      <c r="G132" s="138">
        <v>0</v>
      </c>
      <c r="H132" s="138">
        <v>0</v>
      </c>
    </row>
    <row r="133" ht="22.5" customHeight="1" spans="1:8">
      <c r="A133" s="138">
        <v>0.0280058558798337</v>
      </c>
      <c r="B133" s="138">
        <v>0.0280040578534853</v>
      </c>
      <c r="C133" s="138">
        <v>0</v>
      </c>
      <c r="D133" s="138">
        <v>0</v>
      </c>
      <c r="E133" s="138">
        <v>0</v>
      </c>
      <c r="F133" s="138">
        <v>0</v>
      </c>
      <c r="G133" s="138">
        <v>0</v>
      </c>
      <c r="H133" s="138">
        <v>0</v>
      </c>
    </row>
    <row r="134" ht="22.5" customHeight="1" spans="1:8">
      <c r="A134" s="138">
        <v>0.0281624883999983</v>
      </c>
      <c r="B134" s="138">
        <v>0.028160368947679</v>
      </c>
      <c r="C134" s="138">
        <v>0</v>
      </c>
      <c r="D134" s="138">
        <v>0</v>
      </c>
      <c r="E134" s="138">
        <v>0</v>
      </c>
      <c r="F134" s="138">
        <v>0</v>
      </c>
      <c r="G134" s="138">
        <v>0</v>
      </c>
      <c r="H134" s="138">
        <v>0</v>
      </c>
    </row>
    <row r="135" ht="22.5" customHeight="1" spans="1:8">
      <c r="A135" s="138">
        <v>0.0283112160147371</v>
      </c>
      <c r="B135" s="138">
        <v>0.028317230210922</v>
      </c>
      <c r="C135" s="138">
        <v>0</v>
      </c>
      <c r="D135" s="138">
        <v>0</v>
      </c>
      <c r="E135" s="138">
        <v>0</v>
      </c>
      <c r="F135" s="138">
        <v>0</v>
      </c>
      <c r="G135" s="138">
        <v>0</v>
      </c>
      <c r="H135" s="138">
        <v>0</v>
      </c>
    </row>
    <row r="136" ht="22.5" customHeight="1" spans="1:8">
      <c r="A136" s="138">
        <v>0.0284786641743672</v>
      </c>
      <c r="B136" s="138">
        <v>0.0284771283920643</v>
      </c>
      <c r="C136" s="138">
        <v>0</v>
      </c>
      <c r="D136" s="138">
        <v>0</v>
      </c>
      <c r="E136" s="138">
        <v>0</v>
      </c>
      <c r="F136" s="138">
        <v>0</v>
      </c>
      <c r="G136" s="138">
        <v>0</v>
      </c>
      <c r="H136" s="138">
        <v>0</v>
      </c>
    </row>
    <row r="137" ht="22.5" customHeight="1" spans="1:8">
      <c r="A137" s="138">
        <v>0.0286403090010464</v>
      </c>
      <c r="B137" s="138">
        <v>0.0286379141464907</v>
      </c>
      <c r="C137" s="138">
        <v>0</v>
      </c>
      <c r="D137" s="138">
        <v>0</v>
      </c>
      <c r="E137" s="138">
        <v>0</v>
      </c>
      <c r="F137" s="138">
        <v>0</v>
      </c>
      <c r="G137" s="138">
        <v>0</v>
      </c>
      <c r="H137" s="138">
        <v>0</v>
      </c>
    </row>
    <row r="138" ht="22.5" customHeight="1" spans="1:8">
      <c r="A138" s="138">
        <v>0.0287936178100202</v>
      </c>
      <c r="B138" s="138">
        <v>0.0287962935431416</v>
      </c>
      <c r="C138" s="138">
        <v>0</v>
      </c>
      <c r="D138" s="138">
        <v>0</v>
      </c>
      <c r="E138" s="138">
        <v>0</v>
      </c>
      <c r="F138" s="138">
        <v>0</v>
      </c>
      <c r="G138" s="138">
        <v>0</v>
      </c>
      <c r="H138" s="138">
        <v>0</v>
      </c>
    </row>
    <row r="139" ht="22.5" customHeight="1" spans="1:8">
      <c r="A139" s="138">
        <v>0.0289561291588067</v>
      </c>
      <c r="B139" s="138">
        <v>0.0289563001458134</v>
      </c>
      <c r="C139" s="138">
        <v>0</v>
      </c>
      <c r="D139" s="138">
        <v>0</v>
      </c>
      <c r="E139" s="138">
        <v>0</v>
      </c>
      <c r="F139" s="138">
        <v>0</v>
      </c>
      <c r="G139" s="138">
        <v>0</v>
      </c>
      <c r="H139" s="138">
        <v>0</v>
      </c>
    </row>
    <row r="140" ht="22.5" customHeight="1" spans="1:8">
      <c r="A140" s="138">
        <v>0.0291192474533744</v>
      </c>
      <c r="B140" s="138">
        <v>0.0291180011150403</v>
      </c>
      <c r="C140" s="138">
        <v>0</v>
      </c>
      <c r="D140" s="138">
        <v>0</v>
      </c>
      <c r="E140" s="138">
        <v>0</v>
      </c>
      <c r="F140" s="138">
        <v>0</v>
      </c>
      <c r="G140" s="138">
        <v>0</v>
      </c>
      <c r="H140" s="138">
        <v>0</v>
      </c>
    </row>
    <row r="141" ht="22.5" customHeight="1" spans="1:8">
      <c r="A141" s="138">
        <v>0.0292779637749304</v>
      </c>
      <c r="B141" s="138">
        <v>0.0292809374120226</v>
      </c>
      <c r="C141" s="138">
        <v>0</v>
      </c>
      <c r="D141" s="138">
        <v>0</v>
      </c>
      <c r="E141" s="138">
        <v>0</v>
      </c>
      <c r="F141" s="138">
        <v>0</v>
      </c>
      <c r="G141" s="138">
        <v>0</v>
      </c>
      <c r="H141" s="138">
        <v>0</v>
      </c>
    </row>
    <row r="142" ht="22.5" customHeight="1" spans="1:8">
      <c r="A142" s="138">
        <v>0.0294471308293783</v>
      </c>
      <c r="B142" s="138">
        <v>0.0294428133585673</v>
      </c>
      <c r="C142" s="138">
        <v>0</v>
      </c>
      <c r="D142" s="138">
        <v>0</v>
      </c>
      <c r="E142" s="138">
        <v>0</v>
      </c>
      <c r="F142" s="138">
        <v>0</v>
      </c>
      <c r="G142" s="138">
        <v>0</v>
      </c>
      <c r="H142" s="138">
        <v>0</v>
      </c>
    </row>
    <row r="143" ht="22.5" customHeight="1" spans="1:8">
      <c r="A143" s="138">
        <v>0.029601764060025</v>
      </c>
      <c r="B143" s="138">
        <v>0.0296046669126035</v>
      </c>
      <c r="C143" s="138">
        <v>0</v>
      </c>
      <c r="D143" s="138">
        <v>0</v>
      </c>
      <c r="E143" s="138">
        <v>0</v>
      </c>
      <c r="F143" s="138">
        <v>0</v>
      </c>
      <c r="G143" s="138">
        <v>0</v>
      </c>
      <c r="H143" s="138">
        <v>0</v>
      </c>
    </row>
    <row r="144" ht="22.5" customHeight="1" spans="1:8">
      <c r="A144" s="138">
        <v>0.0297666712499695</v>
      </c>
      <c r="B144" s="138">
        <v>0.0297645003925014</v>
      </c>
      <c r="C144" s="138">
        <v>0</v>
      </c>
      <c r="D144" s="138">
        <v>0</v>
      </c>
      <c r="E144" s="138">
        <v>0</v>
      </c>
      <c r="F144" s="138">
        <v>0</v>
      </c>
      <c r="G144" s="138">
        <v>0</v>
      </c>
      <c r="H144" s="138">
        <v>0</v>
      </c>
    </row>
    <row r="145" ht="22.5" customHeight="1" spans="1:8">
      <c r="A145" s="138">
        <v>0.0299239390335944</v>
      </c>
      <c r="B145" s="138">
        <v>0.0299261683575343</v>
      </c>
      <c r="C145" s="138">
        <v>0</v>
      </c>
      <c r="D145" s="138">
        <v>0</v>
      </c>
      <c r="E145" s="138">
        <v>0</v>
      </c>
      <c r="F145" s="138">
        <v>0</v>
      </c>
      <c r="G145" s="138">
        <v>0</v>
      </c>
      <c r="H145" s="138">
        <v>0</v>
      </c>
    </row>
    <row r="146" ht="22.5" customHeight="1" spans="1:8">
      <c r="A146" s="138">
        <v>0.0300889821145432</v>
      </c>
      <c r="B146" s="138">
        <v>0.0300910902865716</v>
      </c>
      <c r="C146" s="138">
        <v>0</v>
      </c>
      <c r="D146" s="138">
        <v>0</v>
      </c>
      <c r="E146" s="138">
        <v>0</v>
      </c>
      <c r="F146" s="138">
        <v>0</v>
      </c>
      <c r="G146" s="138">
        <v>0</v>
      </c>
      <c r="H146" s="138">
        <v>0</v>
      </c>
    </row>
    <row r="147" ht="22.5" customHeight="1" spans="1:8">
      <c r="A147" s="138">
        <v>0.0302613940087512</v>
      </c>
      <c r="B147" s="138">
        <v>0.0302593114093843</v>
      </c>
      <c r="C147" s="138">
        <v>0</v>
      </c>
      <c r="D147" s="138">
        <v>0</v>
      </c>
      <c r="E147" s="138">
        <v>0</v>
      </c>
      <c r="F147" s="138">
        <v>0</v>
      </c>
      <c r="G147" s="138">
        <v>0</v>
      </c>
      <c r="H147" s="138">
        <v>0</v>
      </c>
    </row>
    <row r="148" ht="22.5" customHeight="1" spans="1:8">
      <c r="A148" s="138">
        <v>0.0304265867395233</v>
      </c>
      <c r="B148" s="138">
        <v>0.0304267457737645</v>
      </c>
      <c r="C148" s="138">
        <v>0</v>
      </c>
      <c r="D148" s="138">
        <v>0</v>
      </c>
      <c r="E148" s="138">
        <v>0</v>
      </c>
      <c r="F148" s="138">
        <v>0</v>
      </c>
      <c r="G148" s="138">
        <v>0</v>
      </c>
      <c r="H148" s="138">
        <v>0</v>
      </c>
    </row>
    <row r="149" ht="22.5" customHeight="1" spans="1:8">
      <c r="A149" s="138">
        <v>0.0305923416388381</v>
      </c>
      <c r="B149" s="138">
        <v>0.0305938334521914</v>
      </c>
      <c r="C149" s="138">
        <v>0</v>
      </c>
      <c r="D149" s="138">
        <v>0</v>
      </c>
      <c r="E149" s="138">
        <v>0</v>
      </c>
      <c r="F149" s="138">
        <v>0</v>
      </c>
      <c r="G149" s="138">
        <v>0</v>
      </c>
      <c r="H149" s="138">
        <v>0</v>
      </c>
    </row>
    <row r="150" ht="22.5" customHeight="1" spans="1:8">
      <c r="A150" s="138">
        <v>0.0307632739987831</v>
      </c>
      <c r="B150" s="138">
        <v>0.0307642327564363</v>
      </c>
      <c r="C150" s="138">
        <v>0</v>
      </c>
      <c r="D150" s="138">
        <v>0</v>
      </c>
      <c r="E150" s="138">
        <v>0</v>
      </c>
      <c r="F150" s="138">
        <v>0</v>
      </c>
      <c r="G150" s="138">
        <v>0</v>
      </c>
      <c r="H150" s="138">
        <v>0</v>
      </c>
    </row>
    <row r="151" ht="22.5" customHeight="1" spans="1:8">
      <c r="A151" s="138">
        <v>0.0309375592861196</v>
      </c>
      <c r="B151" s="138">
        <v>0.0309381089456755</v>
      </c>
      <c r="C151" s="138">
        <v>0</v>
      </c>
      <c r="D151" s="138">
        <v>0</v>
      </c>
      <c r="E151" s="138">
        <v>0</v>
      </c>
      <c r="F151" s="138">
        <v>0</v>
      </c>
      <c r="G151" s="138">
        <v>0</v>
      </c>
      <c r="H151" s="138">
        <v>0</v>
      </c>
    </row>
    <row r="152" ht="22.5" customHeight="1" spans="1:8">
      <c r="A152" s="138">
        <v>0.0311137662382345</v>
      </c>
      <c r="B152" s="138">
        <v>0.0311133013149158</v>
      </c>
      <c r="C152" s="138">
        <v>0</v>
      </c>
      <c r="D152" s="138">
        <v>0</v>
      </c>
      <c r="E152" s="138">
        <v>0</v>
      </c>
      <c r="F152" s="138">
        <v>0</v>
      </c>
      <c r="G152" s="138">
        <v>0</v>
      </c>
      <c r="H152" s="138">
        <v>0</v>
      </c>
    </row>
    <row r="153" ht="22.5" customHeight="1" spans="1:8">
      <c r="A153" s="138">
        <v>0.0312883441830371</v>
      </c>
      <c r="B153" s="138">
        <v>0.0312869818739674</v>
      </c>
      <c r="C153" s="138">
        <v>0</v>
      </c>
      <c r="D153" s="138">
        <v>0</v>
      </c>
      <c r="E153" s="138">
        <v>0</v>
      </c>
      <c r="F153" s="138">
        <v>0</v>
      </c>
      <c r="G153" s="138">
        <v>0</v>
      </c>
      <c r="H153" s="138">
        <v>0</v>
      </c>
    </row>
    <row r="154" ht="22.5" customHeight="1" spans="1:8">
      <c r="A154" s="138">
        <v>0.0314580835628132</v>
      </c>
      <c r="B154" s="138">
        <v>0.0314615618201423</v>
      </c>
      <c r="C154" s="138">
        <v>0</v>
      </c>
      <c r="D154" s="138">
        <v>0</v>
      </c>
      <c r="E154" s="138">
        <v>0</v>
      </c>
      <c r="F154" s="138">
        <v>0</v>
      </c>
      <c r="G154" s="138">
        <v>0</v>
      </c>
      <c r="H154" s="138">
        <v>0</v>
      </c>
    </row>
    <row r="155" ht="22.5" customHeight="1" spans="1:8">
      <c r="A155" s="138">
        <v>0.0316396951060984</v>
      </c>
      <c r="B155" s="138">
        <v>0.0316366540098865</v>
      </c>
      <c r="C155" s="138">
        <v>0</v>
      </c>
      <c r="D155" s="138">
        <v>0</v>
      </c>
      <c r="E155" s="138">
        <v>0</v>
      </c>
      <c r="F155" s="138">
        <v>0</v>
      </c>
      <c r="G155" s="138">
        <v>0</v>
      </c>
      <c r="H155" s="138">
        <v>0</v>
      </c>
    </row>
    <row r="156" ht="22.5" customHeight="1" spans="1:8">
      <c r="A156" s="138">
        <v>0.0318094151483934</v>
      </c>
      <c r="B156" s="138">
        <v>0.0318168800878917</v>
      </c>
      <c r="C156" s="138">
        <v>0</v>
      </c>
      <c r="D156" s="138">
        <v>0</v>
      </c>
      <c r="E156" s="138">
        <v>0</v>
      </c>
      <c r="F156" s="138">
        <v>0</v>
      </c>
      <c r="G156" s="138">
        <v>0</v>
      </c>
      <c r="H156" s="138">
        <v>0</v>
      </c>
    </row>
    <row r="157" ht="22.5" customHeight="1" spans="1:8">
      <c r="A157" s="138">
        <v>0.0320010244711792</v>
      </c>
      <c r="B157" s="138">
        <v>0.0320007541215</v>
      </c>
      <c r="C157" s="138">
        <v>0</v>
      </c>
      <c r="D157" s="138">
        <v>0</v>
      </c>
      <c r="E157" s="138">
        <v>0</v>
      </c>
      <c r="F157" s="138">
        <v>0</v>
      </c>
      <c r="G157" s="138">
        <v>0</v>
      </c>
      <c r="H157" s="138">
        <v>0</v>
      </c>
    </row>
    <row r="158" ht="22.5" customHeight="1" spans="1:8">
      <c r="A158" s="138">
        <v>0.0321915344290184</v>
      </c>
      <c r="B158" s="138">
        <v>0.0321882402549033</v>
      </c>
      <c r="C158" s="138">
        <v>0</v>
      </c>
      <c r="D158" s="138">
        <v>0</v>
      </c>
      <c r="E158" s="138">
        <v>0</v>
      </c>
      <c r="F158" s="138">
        <v>0</v>
      </c>
      <c r="G158" s="138">
        <v>0</v>
      </c>
      <c r="H158" s="138">
        <v>0</v>
      </c>
    </row>
    <row r="159" ht="22.5" customHeight="1" spans="1:8">
      <c r="A159" s="138">
        <v>0.0323704151017232</v>
      </c>
      <c r="B159" s="138">
        <v>0.0323754540891853</v>
      </c>
      <c r="C159" s="138">
        <v>0</v>
      </c>
      <c r="D159" s="138">
        <v>0</v>
      </c>
      <c r="E159" s="138">
        <v>0</v>
      </c>
      <c r="F159" s="138">
        <v>0</v>
      </c>
      <c r="G159" s="138">
        <v>0</v>
      </c>
      <c r="H159" s="138">
        <v>0</v>
      </c>
    </row>
    <row r="160" ht="22.5" customHeight="1" spans="1:8">
      <c r="A160" s="138">
        <v>0.0325662167444727</v>
      </c>
      <c r="B160" s="138">
        <v>0.0325618958611986</v>
      </c>
      <c r="C160" s="138">
        <v>0</v>
      </c>
      <c r="D160" s="138">
        <v>0</v>
      </c>
      <c r="E160" s="138">
        <v>0</v>
      </c>
      <c r="F160" s="138">
        <v>0</v>
      </c>
      <c r="G160" s="138">
        <v>0</v>
      </c>
      <c r="H160" s="138">
        <v>0</v>
      </c>
    </row>
    <row r="161" ht="22.5" customHeight="1" spans="1:8">
      <c r="A161" s="138">
        <v>0.0327465239300457</v>
      </c>
      <c r="B161" s="138">
        <v>0.0327515967579787</v>
      </c>
      <c r="C161" s="138">
        <v>0</v>
      </c>
      <c r="D161" s="138">
        <v>0</v>
      </c>
      <c r="E161" s="138">
        <v>0</v>
      </c>
      <c r="F161" s="138">
        <v>0</v>
      </c>
      <c r="G161" s="138">
        <v>0</v>
      </c>
      <c r="H161" s="138">
        <v>0</v>
      </c>
    </row>
    <row r="162" ht="22.5" customHeight="1" spans="1:8">
      <c r="A162" s="138">
        <v>0.0329436264414701</v>
      </c>
      <c r="B162" s="138">
        <v>0.0329419158790083</v>
      </c>
      <c r="C162" s="138">
        <v>0</v>
      </c>
      <c r="D162" s="138">
        <v>0</v>
      </c>
      <c r="E162" s="138">
        <v>0</v>
      </c>
      <c r="F162" s="138">
        <v>0</v>
      </c>
      <c r="G162" s="138">
        <v>0</v>
      </c>
      <c r="H162" s="138">
        <v>0</v>
      </c>
    </row>
    <row r="163" ht="22.5" customHeight="1" spans="1:8">
      <c r="A163" s="138">
        <v>0.0331344852140538</v>
      </c>
      <c r="B163" s="138">
        <v>0.0331333508343083</v>
      </c>
      <c r="C163" s="138">
        <v>0</v>
      </c>
      <c r="D163" s="138">
        <v>0</v>
      </c>
      <c r="E163" s="138">
        <v>0</v>
      </c>
      <c r="F163" s="138">
        <v>0</v>
      </c>
      <c r="G163" s="138">
        <v>0</v>
      </c>
      <c r="H163" s="138">
        <v>0</v>
      </c>
    </row>
    <row r="164" ht="22.5" customHeight="1" spans="1:8">
      <c r="A164" s="138">
        <v>0.0333212817156026</v>
      </c>
      <c r="B164" s="138">
        <v>0.0333248485696666</v>
      </c>
      <c r="C164" s="138">
        <v>0</v>
      </c>
      <c r="D164" s="138">
        <v>0</v>
      </c>
      <c r="E164" s="138">
        <v>0</v>
      </c>
      <c r="F164" s="138">
        <v>0</v>
      </c>
      <c r="G164" s="138">
        <v>0</v>
      </c>
      <c r="H164" s="138">
        <v>0</v>
      </c>
    </row>
    <row r="165" ht="22.5" customHeight="1" spans="1:8">
      <c r="A165" s="138">
        <v>0.0335200082968471</v>
      </c>
      <c r="B165" s="138">
        <v>0.0335200037103723</v>
      </c>
      <c r="C165" s="138">
        <v>0</v>
      </c>
      <c r="D165" s="138">
        <v>0</v>
      </c>
      <c r="E165" s="138">
        <v>0</v>
      </c>
      <c r="F165" s="138">
        <v>0</v>
      </c>
      <c r="G165" s="138">
        <v>0</v>
      </c>
      <c r="H165" s="138">
        <v>0</v>
      </c>
    </row>
    <row r="166" ht="22.5" customHeight="1" spans="1:8">
      <c r="A166" s="138">
        <v>0.0337187183712561</v>
      </c>
      <c r="B166" s="138">
        <v>0.0337204591891746</v>
      </c>
      <c r="C166" s="138">
        <v>0</v>
      </c>
      <c r="D166" s="138">
        <v>0</v>
      </c>
      <c r="E166" s="138">
        <v>0</v>
      </c>
      <c r="F166" s="138">
        <v>0</v>
      </c>
      <c r="G166" s="138">
        <v>0</v>
      </c>
      <c r="H166" s="138">
        <v>0</v>
      </c>
    </row>
    <row r="167" ht="22.5" customHeight="1" spans="1:8">
      <c r="A167" s="138">
        <v>0.0339234904758882</v>
      </c>
      <c r="B167" s="138">
        <v>0.0339213991591656</v>
      </c>
      <c r="C167" s="138">
        <v>0</v>
      </c>
      <c r="D167" s="138">
        <v>0</v>
      </c>
      <c r="E167" s="138">
        <v>0</v>
      </c>
      <c r="F167" s="138">
        <v>0</v>
      </c>
      <c r="G167" s="138">
        <v>0</v>
      </c>
      <c r="H167" s="138">
        <v>0</v>
      </c>
    </row>
    <row r="168" ht="22.5" customHeight="1" spans="1:8">
      <c r="A168" s="138">
        <v>0.0341210282764765</v>
      </c>
      <c r="B168" s="138">
        <v>0.0341216610591755</v>
      </c>
      <c r="C168" s="138">
        <v>0</v>
      </c>
      <c r="D168" s="138">
        <v>0</v>
      </c>
      <c r="E168" s="138">
        <v>0</v>
      </c>
      <c r="F168" s="138">
        <v>0</v>
      </c>
      <c r="G168" s="138">
        <v>0</v>
      </c>
      <c r="H168" s="138">
        <v>0</v>
      </c>
    </row>
    <row r="169" ht="22.5" customHeight="1" spans="1:8">
      <c r="A169" s="138">
        <v>0.0343207910492378</v>
      </c>
      <c r="B169" s="138">
        <v>0.0343206193525694</v>
      </c>
      <c r="C169" s="138">
        <v>0</v>
      </c>
      <c r="D169" s="138">
        <v>0</v>
      </c>
      <c r="E169" s="138">
        <v>0</v>
      </c>
      <c r="F169" s="138">
        <v>0</v>
      </c>
      <c r="G169" s="138">
        <v>0</v>
      </c>
      <c r="H169" s="138">
        <v>0</v>
      </c>
    </row>
    <row r="170" ht="22.5" customHeight="1" spans="1:8">
      <c r="A170" s="138">
        <v>0.034519952736491</v>
      </c>
      <c r="B170" s="138">
        <v>0.0345209151202668</v>
      </c>
      <c r="C170" s="138">
        <v>0</v>
      </c>
      <c r="D170" s="138">
        <v>0</v>
      </c>
      <c r="E170" s="138">
        <v>0</v>
      </c>
      <c r="F170" s="138">
        <v>0</v>
      </c>
      <c r="G170" s="138">
        <v>0</v>
      </c>
      <c r="H170" s="138">
        <v>0</v>
      </c>
    </row>
    <row r="171" ht="22.5" customHeight="1" spans="1:8">
      <c r="A171" s="138">
        <v>0.0347226099054766</v>
      </c>
      <c r="B171" s="138">
        <v>0.0347271876905598</v>
      </c>
      <c r="C171" s="138">
        <v>0</v>
      </c>
      <c r="D171" s="138">
        <v>0</v>
      </c>
      <c r="E171" s="138">
        <v>0</v>
      </c>
      <c r="F171" s="138">
        <v>0</v>
      </c>
      <c r="G171" s="138">
        <v>0</v>
      </c>
      <c r="H171" s="138">
        <v>0</v>
      </c>
    </row>
    <row r="172" ht="22.5" customHeight="1" spans="1:8">
      <c r="A172" s="138">
        <v>0.03494114126322</v>
      </c>
      <c r="B172" s="138">
        <v>0.0349353149306465</v>
      </c>
      <c r="C172" s="138">
        <v>0</v>
      </c>
      <c r="D172" s="138">
        <v>0</v>
      </c>
      <c r="E172" s="138">
        <v>0</v>
      </c>
      <c r="F172" s="138">
        <v>0</v>
      </c>
      <c r="G172" s="138">
        <v>0</v>
      </c>
      <c r="H172" s="138">
        <v>0</v>
      </c>
    </row>
    <row r="173" ht="22.5" customHeight="1" spans="1:8">
      <c r="A173" s="138">
        <v>0.0351409181110283</v>
      </c>
      <c r="B173" s="138">
        <v>0.0351392655351793</v>
      </c>
      <c r="C173" s="138">
        <v>0</v>
      </c>
      <c r="D173" s="138">
        <v>0</v>
      </c>
      <c r="E173" s="138">
        <v>0</v>
      </c>
      <c r="F173" s="138">
        <v>0</v>
      </c>
      <c r="G173" s="138">
        <v>0</v>
      </c>
      <c r="H173" s="138">
        <v>0</v>
      </c>
    </row>
    <row r="174" ht="22.5" customHeight="1" spans="1:8">
      <c r="A174" s="138">
        <v>0.0353400583088911</v>
      </c>
      <c r="B174" s="138">
        <v>0.0353418112697236</v>
      </c>
      <c r="C174" s="138">
        <v>0</v>
      </c>
      <c r="D174" s="138">
        <v>0</v>
      </c>
      <c r="E174" s="138">
        <v>0</v>
      </c>
      <c r="F174" s="138">
        <v>0</v>
      </c>
      <c r="G174" s="138">
        <v>0</v>
      </c>
      <c r="H174" s="138">
        <v>0</v>
      </c>
    </row>
    <row r="175" ht="22.5" customHeight="1" spans="1:8">
      <c r="A175" s="138">
        <v>0.0356523179209309</v>
      </c>
      <c r="B175" s="138">
        <v>0.0355432828044822</v>
      </c>
      <c r="C175" s="138">
        <v>0</v>
      </c>
      <c r="D175" s="138">
        <v>0</v>
      </c>
      <c r="E175" s="138">
        <v>0</v>
      </c>
      <c r="F175" s="138">
        <v>0</v>
      </c>
      <c r="G175" s="138">
        <v>0</v>
      </c>
      <c r="H175" s="138">
        <v>0</v>
      </c>
    </row>
    <row r="176" ht="22.5" customHeight="1" spans="1:8">
      <c r="A176" s="138">
        <v>0.0358884666399635</v>
      </c>
      <c r="B176" s="138">
        <v>0.0357387028282882</v>
      </c>
      <c r="C176" s="138">
        <v>0</v>
      </c>
      <c r="D176" s="138">
        <v>0</v>
      </c>
      <c r="E176" s="138">
        <v>0</v>
      </c>
      <c r="F176" s="138">
        <v>0</v>
      </c>
      <c r="G176" s="138">
        <v>0</v>
      </c>
      <c r="H176" s="138">
        <v>0</v>
      </c>
    </row>
    <row r="177" ht="22.5" customHeight="1" spans="1:8">
      <c r="A177" s="138">
        <v>0.03610945595891</v>
      </c>
      <c r="B177" s="138">
        <v>0.0359663875739611</v>
      </c>
      <c r="C177" s="138">
        <v>0</v>
      </c>
      <c r="D177" s="138">
        <v>0</v>
      </c>
      <c r="E177" s="138">
        <v>0</v>
      </c>
      <c r="F177" s="138">
        <v>0</v>
      </c>
      <c r="G177" s="138">
        <v>0</v>
      </c>
      <c r="H177" s="138">
        <v>0</v>
      </c>
    </row>
    <row r="178" ht="22.5" customHeight="1" spans="1:8">
      <c r="A178" s="138">
        <v>0.0362316464836404</v>
      </c>
      <c r="B178" s="138">
        <v>0.0361737613790777</v>
      </c>
      <c r="C178" s="138">
        <v>0</v>
      </c>
      <c r="D178" s="138">
        <v>0</v>
      </c>
      <c r="E178" s="138">
        <v>0</v>
      </c>
      <c r="F178" s="138">
        <v>0</v>
      </c>
      <c r="G178" s="138">
        <v>0</v>
      </c>
      <c r="H178" s="138">
        <v>0</v>
      </c>
    </row>
    <row r="179" ht="22.5" customHeight="1" spans="1:8">
      <c r="A179" s="138">
        <v>0.0364024488886862</v>
      </c>
      <c r="B179" s="138">
        <v>0.0363896574897738</v>
      </c>
      <c r="C179" s="138">
        <v>0</v>
      </c>
      <c r="D179" s="138">
        <v>0</v>
      </c>
      <c r="E179" s="138">
        <v>0</v>
      </c>
      <c r="F179" s="138">
        <v>0</v>
      </c>
      <c r="G179" s="138">
        <v>0</v>
      </c>
      <c r="H179" s="138">
        <v>0</v>
      </c>
    </row>
    <row r="180" ht="22.5" customHeight="1" spans="1:8">
      <c r="A180" s="138">
        <v>0.0365736539663643</v>
      </c>
      <c r="B180" s="138">
        <v>0.0365900488590622</v>
      </c>
      <c r="C180" s="138">
        <v>0</v>
      </c>
      <c r="D180" s="138">
        <v>0</v>
      </c>
      <c r="E180" s="138">
        <v>0</v>
      </c>
      <c r="F180" s="138">
        <v>0</v>
      </c>
      <c r="G180" s="138">
        <v>0</v>
      </c>
      <c r="H180" s="138">
        <v>0</v>
      </c>
    </row>
    <row r="181" ht="22.5" customHeight="1" spans="1:8">
      <c r="A181" s="138">
        <v>0.036799870267205</v>
      </c>
      <c r="B181" s="138">
        <v>0.0367973936149426</v>
      </c>
      <c r="C181" s="138">
        <v>0</v>
      </c>
      <c r="D181" s="138">
        <v>0</v>
      </c>
      <c r="E181" s="138">
        <v>0</v>
      </c>
      <c r="F181" s="138">
        <v>0</v>
      </c>
      <c r="G181" s="138">
        <v>0</v>
      </c>
      <c r="H181" s="138">
        <v>0</v>
      </c>
    </row>
    <row r="182" ht="22.5" customHeight="1" spans="1:8">
      <c r="A182" s="138">
        <v>0.0369971145564235</v>
      </c>
      <c r="B182" s="138">
        <v>0.0370055647263516</v>
      </c>
      <c r="C182" s="138">
        <v>0</v>
      </c>
      <c r="D182" s="138">
        <v>0</v>
      </c>
      <c r="E182" s="138">
        <v>0</v>
      </c>
      <c r="F182" s="138">
        <v>0</v>
      </c>
      <c r="G182" s="138">
        <v>0</v>
      </c>
      <c r="H182" s="138">
        <v>0</v>
      </c>
    </row>
    <row r="183" ht="22.5" customHeight="1" spans="1:8">
      <c r="A183" s="138">
        <v>0.0372149942980945</v>
      </c>
      <c r="B183" s="138">
        <v>0.0372133464129222</v>
      </c>
      <c r="C183" s="138">
        <v>0</v>
      </c>
      <c r="D183" s="138">
        <v>0</v>
      </c>
      <c r="E183" s="138">
        <v>0</v>
      </c>
      <c r="F183" s="138">
        <v>0</v>
      </c>
      <c r="G183" s="138">
        <v>0</v>
      </c>
      <c r="H183" s="138">
        <v>0</v>
      </c>
    </row>
    <row r="184" ht="22.5" customHeight="1" spans="1:8">
      <c r="A184" s="138">
        <v>0.0374259657235531</v>
      </c>
      <c r="B184" s="138">
        <v>0.0374242168623027</v>
      </c>
      <c r="C184" s="138">
        <v>0</v>
      </c>
      <c r="D184" s="138">
        <v>0</v>
      </c>
      <c r="E184" s="138">
        <v>0</v>
      </c>
      <c r="F184" s="138">
        <v>0</v>
      </c>
      <c r="G184" s="138">
        <v>0</v>
      </c>
      <c r="H184" s="138">
        <v>0</v>
      </c>
    </row>
    <row r="185" ht="22.5" customHeight="1" spans="1:8">
      <c r="A185" s="138">
        <v>0.037630780767684</v>
      </c>
      <c r="B185" s="138">
        <v>0.0376334932771977</v>
      </c>
      <c r="C185" s="138">
        <v>0</v>
      </c>
      <c r="D185" s="138">
        <v>0</v>
      </c>
      <c r="E185" s="138">
        <v>0</v>
      </c>
      <c r="F185" s="138">
        <v>0</v>
      </c>
      <c r="G185" s="138">
        <v>0</v>
      </c>
      <c r="H185" s="138">
        <v>0</v>
      </c>
    </row>
    <row r="186" ht="22.5" customHeight="1" spans="1:8">
      <c r="A186" s="138">
        <v>0.0378450311632317</v>
      </c>
      <c r="B186" s="138">
        <v>0.0378420433396788</v>
      </c>
      <c r="C186" s="138">
        <v>0</v>
      </c>
      <c r="D186" s="138">
        <v>0</v>
      </c>
      <c r="E186" s="138">
        <v>0</v>
      </c>
      <c r="F186" s="138">
        <v>0</v>
      </c>
      <c r="G186" s="138">
        <v>0</v>
      </c>
      <c r="H186" s="138">
        <v>0</v>
      </c>
    </row>
    <row r="187" ht="22.5" customHeight="1" spans="1:8">
      <c r="A187" s="138">
        <v>0.0380475480503848</v>
      </c>
      <c r="B187" s="138">
        <v>0.0380552464000315</v>
      </c>
      <c r="C187" s="138">
        <v>0</v>
      </c>
      <c r="D187" s="138">
        <v>0</v>
      </c>
      <c r="E187" s="138">
        <v>0</v>
      </c>
      <c r="F187" s="138">
        <v>0</v>
      </c>
      <c r="G187" s="138">
        <v>0</v>
      </c>
      <c r="H187" s="138">
        <v>0</v>
      </c>
    </row>
    <row r="188" ht="22.5" customHeight="1" spans="1:8">
      <c r="A188" s="138">
        <v>0.0382728725392428</v>
      </c>
      <c r="B188" s="138">
        <v>0.0382689319935318</v>
      </c>
      <c r="C188" s="138">
        <v>0</v>
      </c>
      <c r="D188" s="138">
        <v>0</v>
      </c>
      <c r="E188" s="138">
        <v>0</v>
      </c>
      <c r="F188" s="138">
        <v>0</v>
      </c>
      <c r="G188" s="138">
        <v>0</v>
      </c>
      <c r="H188" s="138">
        <v>0</v>
      </c>
    </row>
    <row r="189" ht="22.5" customHeight="1" spans="1:8">
      <c r="A189" s="138">
        <v>0.0384830585769417</v>
      </c>
      <c r="B189" s="138">
        <v>0.0384864785487182</v>
      </c>
      <c r="C189" s="138">
        <v>0</v>
      </c>
      <c r="D189" s="138">
        <v>0</v>
      </c>
      <c r="E189" s="138">
        <v>0</v>
      </c>
      <c r="F189" s="138">
        <v>0</v>
      </c>
      <c r="G189" s="138">
        <v>0</v>
      </c>
      <c r="H189" s="138">
        <v>0</v>
      </c>
    </row>
    <row r="190" ht="22.5" customHeight="1" spans="1:8">
      <c r="A190" s="138">
        <v>0.0387054242647836</v>
      </c>
      <c r="B190" s="138">
        <v>0.0387112211978933</v>
      </c>
      <c r="C190" s="138">
        <v>0</v>
      </c>
      <c r="D190" s="138">
        <v>0</v>
      </c>
      <c r="E190" s="138">
        <v>0</v>
      </c>
      <c r="F190" s="138">
        <v>0</v>
      </c>
      <c r="G190" s="138">
        <v>0</v>
      </c>
      <c r="H190" s="138">
        <v>0</v>
      </c>
    </row>
    <row r="191" ht="22.5" customHeight="1" spans="1:8">
      <c r="A191" s="138">
        <v>0.0389142119542657</v>
      </c>
      <c r="B191" s="138">
        <v>0.0389389128801097</v>
      </c>
      <c r="C191" s="138">
        <v>0</v>
      </c>
      <c r="D191" s="138">
        <v>0</v>
      </c>
      <c r="E191" s="138">
        <v>0</v>
      </c>
      <c r="F191" s="138">
        <v>0</v>
      </c>
      <c r="G191" s="138">
        <v>0</v>
      </c>
      <c r="H191" s="138">
        <v>0</v>
      </c>
    </row>
    <row r="192" ht="22.5" customHeight="1" spans="1:8">
      <c r="A192" s="138">
        <v>0.0391699600695713</v>
      </c>
      <c r="B192" s="138">
        <v>0.0391708739422634</v>
      </c>
      <c r="C192" s="138">
        <v>0</v>
      </c>
      <c r="D192" s="138">
        <v>0</v>
      </c>
      <c r="E192" s="138">
        <v>0</v>
      </c>
      <c r="F192" s="138">
        <v>0</v>
      </c>
      <c r="G192" s="138">
        <v>0</v>
      </c>
      <c r="H192" s="138">
        <v>0</v>
      </c>
    </row>
    <row r="193" ht="22.5" customHeight="1" spans="1:8">
      <c r="A193" s="138">
        <v>0.0393839530160224</v>
      </c>
      <c r="B193" s="138">
        <v>0.0394045218973339</v>
      </c>
      <c r="C193" s="138">
        <v>0</v>
      </c>
      <c r="D193" s="138">
        <v>0</v>
      </c>
      <c r="E193" s="138">
        <v>0</v>
      </c>
      <c r="F193" s="138">
        <v>0</v>
      </c>
      <c r="G193" s="138">
        <v>0</v>
      </c>
      <c r="H193" s="138">
        <v>0</v>
      </c>
    </row>
    <row r="194" ht="22.5" customHeight="1" spans="1:8">
      <c r="A194" s="138">
        <v>0.0396394000492322</v>
      </c>
      <c r="B194" s="138">
        <v>0.0396414180950559</v>
      </c>
      <c r="C194" s="138">
        <v>0</v>
      </c>
      <c r="D194" s="138">
        <v>0</v>
      </c>
      <c r="E194" s="138">
        <v>0</v>
      </c>
      <c r="F194" s="138">
        <v>0</v>
      </c>
      <c r="G194" s="138">
        <v>0</v>
      </c>
      <c r="H194" s="138">
        <v>0</v>
      </c>
    </row>
    <row r="195" ht="22.5" customHeight="1" spans="1:8">
      <c r="A195" s="138">
        <v>0.0398712958740094</v>
      </c>
      <c r="B195" s="138">
        <v>0.0398811793377826</v>
      </c>
      <c r="C195" s="138">
        <v>0</v>
      </c>
      <c r="D195" s="138">
        <v>0</v>
      </c>
      <c r="E195" s="138">
        <v>0</v>
      </c>
      <c r="F195" s="138">
        <v>0</v>
      </c>
      <c r="G195" s="138">
        <v>0</v>
      </c>
      <c r="H195" s="138">
        <v>0</v>
      </c>
    </row>
    <row r="196" ht="22.5" customHeight="1" spans="1:8">
      <c r="A196" s="138">
        <v>0.0401270007882664</v>
      </c>
      <c r="B196" s="138">
        <v>0.0401255082223582</v>
      </c>
      <c r="C196" s="138">
        <v>0</v>
      </c>
      <c r="D196" s="138">
        <v>0</v>
      </c>
      <c r="E196" s="138">
        <v>0</v>
      </c>
      <c r="F196" s="138">
        <v>0</v>
      </c>
      <c r="G196" s="138">
        <v>0</v>
      </c>
      <c r="H196" s="138">
        <v>0</v>
      </c>
    </row>
    <row r="197" ht="22.5" customHeight="1" spans="1:8">
      <c r="A197" s="138">
        <v>0.0403702404560135</v>
      </c>
      <c r="B197" s="138">
        <v>0.0403712040805356</v>
      </c>
      <c r="C197" s="138">
        <v>0</v>
      </c>
      <c r="D197" s="138">
        <v>0</v>
      </c>
      <c r="E197" s="138">
        <v>0</v>
      </c>
      <c r="F197" s="138">
        <v>0</v>
      </c>
      <c r="G197" s="138">
        <v>0</v>
      </c>
      <c r="H197" s="138">
        <v>0</v>
      </c>
    </row>
    <row r="198" ht="22.5" customHeight="1" spans="1:8">
      <c r="A198" s="138">
        <v>0.0406217554157628</v>
      </c>
      <c r="B198" s="138">
        <v>0.0405699064921687</v>
      </c>
      <c r="C198" s="138">
        <v>0</v>
      </c>
      <c r="D198" s="138">
        <v>0</v>
      </c>
      <c r="E198" s="138">
        <v>0</v>
      </c>
      <c r="F198" s="138">
        <v>0</v>
      </c>
      <c r="G198" s="138">
        <v>0</v>
      </c>
      <c r="H198" s="138">
        <v>0</v>
      </c>
    </row>
    <row r="199" ht="22.5" customHeight="1" spans="1:8">
      <c r="A199" s="138">
        <v>0.0407540104570711</v>
      </c>
      <c r="B199" s="138">
        <v>0.0407841757884198</v>
      </c>
      <c r="C199" s="138">
        <v>0</v>
      </c>
      <c r="D199" s="138">
        <v>0</v>
      </c>
      <c r="E199" s="138">
        <v>0</v>
      </c>
      <c r="F199" s="138">
        <v>0</v>
      </c>
      <c r="G199" s="138">
        <v>0</v>
      </c>
      <c r="H199" s="138">
        <v>0</v>
      </c>
    </row>
    <row r="200" ht="22.5" customHeight="1" spans="1:8">
      <c r="A200" s="138">
        <v>0.0409841442379582</v>
      </c>
      <c r="B200" s="138">
        <v>0.0409856330486611</v>
      </c>
      <c r="C200" s="138">
        <v>0</v>
      </c>
      <c r="D200" s="138">
        <v>0</v>
      </c>
      <c r="E200" s="138">
        <v>0</v>
      </c>
      <c r="F200" s="138">
        <v>0</v>
      </c>
      <c r="G200" s="138">
        <v>0</v>
      </c>
      <c r="H200" s="138">
        <v>0</v>
      </c>
    </row>
    <row r="201" ht="22.5" customHeight="1" spans="1:8">
      <c r="A201" s="138">
        <v>0.0412269861165533</v>
      </c>
      <c r="B201" s="138">
        <v>0.0412229935331289</v>
      </c>
      <c r="C201" s="138">
        <v>0</v>
      </c>
      <c r="D201" s="138">
        <v>0</v>
      </c>
      <c r="E201" s="138">
        <v>0</v>
      </c>
      <c r="F201" s="138">
        <v>0</v>
      </c>
      <c r="G201" s="138">
        <v>0</v>
      </c>
      <c r="H201" s="138">
        <v>0</v>
      </c>
    </row>
    <row r="202" ht="22.5" customHeight="1" spans="1:8">
      <c r="A202" s="138">
        <v>0.0414526671797612</v>
      </c>
      <c r="B202" s="138">
        <v>0.0414610390117363</v>
      </c>
      <c r="C202" s="138">
        <v>0</v>
      </c>
      <c r="D202" s="138">
        <v>0</v>
      </c>
      <c r="E202" s="138">
        <v>0</v>
      </c>
      <c r="F202" s="138">
        <v>0</v>
      </c>
      <c r="G202" s="138">
        <v>0</v>
      </c>
      <c r="H202" s="138">
        <v>0</v>
      </c>
    </row>
    <row r="203" ht="22.5" customHeight="1" spans="1:8">
      <c r="A203" s="138">
        <v>0.0417026622212517</v>
      </c>
      <c r="B203" s="138">
        <v>0.0416984145248431</v>
      </c>
      <c r="C203" s="138">
        <v>0</v>
      </c>
      <c r="D203" s="138">
        <v>0</v>
      </c>
      <c r="E203" s="138">
        <v>0</v>
      </c>
      <c r="F203" s="138">
        <v>0</v>
      </c>
      <c r="G203" s="138">
        <v>0</v>
      </c>
      <c r="H203" s="138">
        <v>0</v>
      </c>
    </row>
    <row r="204" ht="22.5" customHeight="1" spans="1:8">
      <c r="A204" s="138">
        <v>0.0419362961538178</v>
      </c>
      <c r="B204" s="138">
        <v>0.0419363671315413</v>
      </c>
      <c r="C204" s="138">
        <v>0</v>
      </c>
      <c r="D204" s="138">
        <v>0</v>
      </c>
      <c r="E204" s="138">
        <v>0</v>
      </c>
      <c r="F204" s="138">
        <v>0</v>
      </c>
      <c r="G204" s="138">
        <v>0</v>
      </c>
      <c r="H204" s="138">
        <v>0</v>
      </c>
    </row>
    <row r="205" ht="22.5" customHeight="1" spans="1:8">
      <c r="A205" s="138">
        <v>0.0421703481051886</v>
      </c>
      <c r="B205" s="138">
        <v>0.0421818663317159</v>
      </c>
      <c r="C205" s="138">
        <v>0</v>
      </c>
      <c r="D205" s="138">
        <v>0</v>
      </c>
      <c r="E205" s="138">
        <v>0</v>
      </c>
      <c r="F205" s="138">
        <v>0</v>
      </c>
      <c r="G205" s="138">
        <v>0</v>
      </c>
      <c r="H205" s="138">
        <v>0</v>
      </c>
    </row>
    <row r="206" ht="22.5" customHeight="1" spans="1:8">
      <c r="A206" s="138">
        <v>0.0424317544675144</v>
      </c>
      <c r="B206" s="138">
        <v>0.0424304609707955</v>
      </c>
      <c r="C206" s="138">
        <v>0</v>
      </c>
      <c r="D206" s="138">
        <v>0</v>
      </c>
      <c r="E206" s="138">
        <v>0</v>
      </c>
      <c r="F206" s="138">
        <v>0</v>
      </c>
      <c r="G206" s="138">
        <v>0</v>
      </c>
      <c r="H206" s="138">
        <v>0</v>
      </c>
    </row>
    <row r="207" ht="22.5" customHeight="1" spans="1:8">
      <c r="A207" s="138">
        <v>0.0426793113998904</v>
      </c>
      <c r="B207" s="138">
        <v>0.0426795371331238</v>
      </c>
      <c r="C207" s="138">
        <v>0</v>
      </c>
      <c r="D207" s="138">
        <v>0</v>
      </c>
      <c r="E207" s="138">
        <v>0</v>
      </c>
      <c r="F207" s="138">
        <v>0</v>
      </c>
      <c r="G207" s="138">
        <v>0</v>
      </c>
      <c r="H207" s="138">
        <v>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145" zoomScaleNormal="145" topLeftCell="C1" workbookViewId="0">
      <selection activeCell="F3" sqref="F3"/>
    </sheetView>
  </sheetViews>
  <sheetFormatPr defaultColWidth="8.88888888888889" defaultRowHeight="14.4"/>
  <cols>
    <col min="1" max="1" width="15.4907407407407" customWidth="1"/>
  </cols>
  <sheetData>
    <row r="1" ht="20" customHeight="1" spans="1:11">
      <c r="A1" t="s">
        <v>89</v>
      </c>
      <c r="B1">
        <v>0.1</v>
      </c>
      <c r="C1">
        <v>0.2</v>
      </c>
      <c r="D1">
        <v>0.3</v>
      </c>
      <c r="E1">
        <v>0.4</v>
      </c>
      <c r="F1">
        <v>0.5</v>
      </c>
      <c r="G1">
        <v>0.6</v>
      </c>
      <c r="H1">
        <v>0.7</v>
      </c>
      <c r="I1">
        <v>0.8</v>
      </c>
      <c r="J1">
        <v>0.9</v>
      </c>
      <c r="K1">
        <v>1</v>
      </c>
    </row>
    <row r="2" ht="20" customHeight="1" spans="1:11">
      <c r="A2" t="s">
        <v>90</v>
      </c>
      <c r="B2" s="134">
        <f>11/21</f>
        <v>0.523809523809524</v>
      </c>
      <c r="C2" s="134">
        <f>15/22</f>
        <v>0.681818181818182</v>
      </c>
      <c r="D2" s="134">
        <f>13/18</f>
        <v>0.722222222222222</v>
      </c>
      <c r="E2" s="134">
        <f>18/18</f>
        <v>1</v>
      </c>
      <c r="F2" s="134">
        <f>16/17</f>
        <v>0.941176470588235</v>
      </c>
      <c r="G2" s="134">
        <f>19/20</f>
        <v>0.95</v>
      </c>
      <c r="H2" s="135">
        <f>12/14</f>
        <v>0.857142857142857</v>
      </c>
      <c r="I2" s="135">
        <f>15/17</f>
        <v>0.882352941176471</v>
      </c>
      <c r="J2" s="135">
        <f>6/6</f>
        <v>1</v>
      </c>
      <c r="K2" s="135">
        <f>6/6</f>
        <v>1</v>
      </c>
    </row>
    <row r="3" ht="20" customHeight="1" spans="1:11">
      <c r="A3" t="s">
        <v>91</v>
      </c>
      <c r="C3" s="134"/>
      <c r="D3" s="134"/>
      <c r="E3" s="134"/>
      <c r="F3" s="134"/>
      <c r="G3" s="134"/>
      <c r="H3" s="134"/>
      <c r="I3" s="134"/>
      <c r="J3" s="134"/>
      <c r="K3" s="134">
        <f>20/33</f>
        <v>0.606060606060606</v>
      </c>
    </row>
    <row r="5" spans="1:11">
      <c r="A5" s="136" t="s">
        <v>92</v>
      </c>
      <c r="B5" s="136"/>
    </row>
    <row r="6" spans="1:11">
      <c r="A6" s="136"/>
      <c r="B6" s="136"/>
    </row>
    <row r="7" spans="1:11">
      <c r="A7" s="136"/>
      <c r="B7" s="136"/>
    </row>
    <row r="8" spans="1:11">
      <c r="A8" s="136"/>
      <c r="B8" s="136"/>
    </row>
    <row r="9" spans="1:11">
      <c r="A9" s="136"/>
      <c r="B9" s="136"/>
    </row>
  </sheetData>
  <sortState ref="A2:K3">
    <sortCondition ref="K1"/>
  </sortState>
  <mergeCells count="1">
    <mergeCell ref="A5:B9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18"/>
  <sheetViews>
    <sheetView zoomScale="55" zoomScaleNormal="55" topLeftCell="B146" workbookViewId="0">
      <selection activeCell="E204" sqref="E204"/>
    </sheetView>
  </sheetViews>
  <sheetFormatPr defaultColWidth="9" defaultRowHeight="13.8"/>
  <cols>
    <col min="1" max="11" width="16.7777777777778" style="22" customWidth="1"/>
    <col min="12" max="12" width="16.7777777777778" style="22" hidden="1" customWidth="1"/>
    <col min="13" max="23" width="16.7777777777778" style="22" customWidth="1"/>
    <col min="24" max="25" width="17.0648148148148" style="22" customWidth="1"/>
    <col min="26" max="26" width="9" style="22"/>
    <col min="27" max="27" width="10" style="22"/>
    <col min="28" max="28" width="10.6666666666667" style="22"/>
    <col min="29" max="16383" width="9" style="22"/>
  </cols>
  <sheetData>
    <row r="1" ht="51" customHeight="1" spans="1:25">
      <c r="A1" s="103" t="s">
        <v>93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5"/>
      <c r="X1" s="106" t="s">
        <v>94</v>
      </c>
      <c r="Y1" s="107"/>
    </row>
    <row r="2" ht="50" customHeight="1" spans="1:25">
      <c r="A2" s="93" t="s">
        <v>95</v>
      </c>
      <c r="B2" s="93" t="s">
        <v>96</v>
      </c>
      <c r="C2" s="31" t="s">
        <v>5</v>
      </c>
      <c r="D2" s="32" t="s">
        <v>66</v>
      </c>
      <c r="E2" s="32" t="s">
        <v>9</v>
      </c>
      <c r="F2" s="32" t="s">
        <v>11</v>
      </c>
      <c r="G2" s="34" t="s">
        <v>68</v>
      </c>
      <c r="H2" s="34" t="s">
        <v>69</v>
      </c>
      <c r="I2" s="34" t="s">
        <v>70</v>
      </c>
      <c r="J2" s="36" t="s">
        <v>97</v>
      </c>
      <c r="K2" s="36" t="s">
        <v>98</v>
      </c>
      <c r="L2" s="38" t="s">
        <v>99</v>
      </c>
      <c r="M2" s="39" t="s">
        <v>67</v>
      </c>
      <c r="N2" s="39" t="s">
        <v>6</v>
      </c>
      <c r="O2" s="39" t="s">
        <v>48</v>
      </c>
      <c r="P2" s="39" t="s">
        <v>74</v>
      </c>
      <c r="Q2" s="39" t="s">
        <v>75</v>
      </c>
      <c r="R2" s="49" t="s">
        <v>100</v>
      </c>
      <c r="S2" s="39" t="s">
        <v>78</v>
      </c>
      <c r="T2" s="39" t="s">
        <v>79</v>
      </c>
      <c r="U2" s="52" t="s">
        <v>101</v>
      </c>
      <c r="V2" s="52" t="s">
        <v>102</v>
      </c>
      <c r="W2" s="39" t="s">
        <v>80</v>
      </c>
      <c r="X2" s="108"/>
      <c r="Y2" s="109"/>
    </row>
    <row r="3" ht="25" customHeight="1" spans="1:25">
      <c r="A3" s="110" t="s">
        <v>103</v>
      </c>
      <c r="B3" s="110" t="s">
        <v>62</v>
      </c>
      <c r="C3" s="54">
        <v>1</v>
      </c>
      <c r="D3" s="55">
        <v>0.288000638960155</v>
      </c>
      <c r="E3" s="55">
        <v>-16.807789365467</v>
      </c>
      <c r="F3" s="55">
        <v>1.56320345330512</v>
      </c>
      <c r="G3" s="59">
        <v>0.0302</v>
      </c>
      <c r="H3" s="61">
        <v>1000</v>
      </c>
      <c r="I3" s="59">
        <v>9.801</v>
      </c>
      <c r="J3" s="62">
        <v>4e-6</v>
      </c>
      <c r="K3" s="64">
        <v>0.00101</v>
      </c>
      <c r="L3" s="65">
        <f t="shared" ref="L3:L24" si="0">O3*(1+E3/9.801)-7.5*M3+18*P3</f>
        <v>-2.10614295021115</v>
      </c>
      <c r="M3" s="66">
        <f>F3/1000</f>
        <v>0.00156320345330512</v>
      </c>
      <c r="N3" s="65">
        <f t="shared" ref="N3:N23" si="1">H3*2*M3*D3^2/G3</f>
        <v>8.58668361288856</v>
      </c>
      <c r="O3" s="65">
        <f t="shared" ref="O3:O23" si="2">H3*I3*(M3*2)^2/G3</f>
        <v>3.17215535920555</v>
      </c>
      <c r="P3" s="69">
        <f t="shared" ref="P3:P23" si="3">K3*D3/G3</f>
        <v>0.00963180944866743</v>
      </c>
      <c r="Q3" s="69">
        <f t="shared" ref="Q3:Q23" si="4">K3/SQRT(H3*G3*M3*2)</f>
        <v>0.00328696554412751</v>
      </c>
      <c r="R3" s="65">
        <f>SQRT(H3*8*(M3^3)/G3)</f>
        <v>0.0318100814185568</v>
      </c>
      <c r="S3" s="65">
        <f t="shared" ref="S3:S23" si="5">K3*(2*M3)^2/(H3*(D3*J3)^2)</f>
        <v>7.43884468911656</v>
      </c>
      <c r="T3" s="65">
        <f>R3/S3</f>
        <v>0.00427621260396748</v>
      </c>
      <c r="U3" s="65">
        <f t="shared" ref="U3:U23" si="6">K3*(2*M3)^3/(H3*(D3)^2*(J3)^3)</f>
        <v>5814.21385331373</v>
      </c>
      <c r="V3" s="69">
        <f>R3/U3</f>
        <v>5.47108899347193e-6</v>
      </c>
      <c r="W3" s="69">
        <f t="shared" ref="W3:W23" si="7">0.5*H3*(4/3)*PI()*M3^3*D3^2</f>
        <v>6.63578083128233e-7</v>
      </c>
      <c r="X3" s="4"/>
      <c r="Y3" s="6"/>
    </row>
    <row r="4" ht="25" customHeight="1" spans="1:25">
      <c r="A4" s="111"/>
      <c r="B4" s="111"/>
      <c r="C4" s="54">
        <v>2</v>
      </c>
      <c r="D4" s="55">
        <v>0.305701160961114</v>
      </c>
      <c r="E4" s="55">
        <v>-19.5766426469007</v>
      </c>
      <c r="F4" s="55">
        <v>1.54510775179051</v>
      </c>
      <c r="G4" s="59">
        <v>0.0302</v>
      </c>
      <c r="H4" s="61">
        <v>1000</v>
      </c>
      <c r="I4" s="59">
        <v>9.801</v>
      </c>
      <c r="J4" s="62">
        <v>4e-6</v>
      </c>
      <c r="K4" s="64">
        <v>0.00101</v>
      </c>
      <c r="L4" s="65">
        <f t="shared" si="0"/>
        <v>-2.91868056721328</v>
      </c>
      <c r="M4" s="66">
        <f t="shared" ref="M3:M23" si="8">F4/1000</f>
        <v>0.00154510775179051</v>
      </c>
      <c r="N4" s="65">
        <f t="shared" si="1"/>
        <v>9.56260022918224</v>
      </c>
      <c r="O4" s="65">
        <f t="shared" si="2"/>
        <v>3.099138465095</v>
      </c>
      <c r="P4" s="69">
        <f t="shared" si="3"/>
        <v>0.0102237805486995</v>
      </c>
      <c r="Q4" s="69">
        <f t="shared" si="4"/>
        <v>0.00330615734748005</v>
      </c>
      <c r="R4" s="65">
        <f t="shared" ref="R3:R23" si="9">SQRT(H4*8*(M4^3)/G4)</f>
        <v>0.0312593309935441</v>
      </c>
      <c r="S4" s="65">
        <f t="shared" si="5"/>
        <v>6.4503718147563</v>
      </c>
      <c r="T4" s="65">
        <f t="shared" ref="T3:T24" si="10">R4/S4</f>
        <v>0.00484612854750996</v>
      </c>
      <c r="U4" s="65">
        <f t="shared" si="6"/>
        <v>4983.25974645549</v>
      </c>
      <c r="V4" s="69">
        <f t="shared" ref="V3:V23" si="11">R4/U4</f>
        <v>6.272868079128e-6</v>
      </c>
      <c r="W4" s="69">
        <f t="shared" si="7"/>
        <v>7.21986544647644e-7</v>
      </c>
      <c r="X4" s="4"/>
      <c r="Y4" s="6"/>
    </row>
    <row r="5" ht="25" customHeight="1" spans="1:25">
      <c r="A5" s="111"/>
      <c r="B5" s="111"/>
      <c r="C5" s="54">
        <v>3</v>
      </c>
      <c r="D5" s="55">
        <v>0.403494651772477</v>
      </c>
      <c r="E5" s="55">
        <v>-18.9839661928814</v>
      </c>
      <c r="F5" s="55">
        <v>1.6483625286319</v>
      </c>
      <c r="G5" s="59">
        <v>0.0302</v>
      </c>
      <c r="H5" s="61">
        <v>1000</v>
      </c>
      <c r="I5" s="59">
        <v>9.801</v>
      </c>
      <c r="J5" s="62">
        <v>4e-6</v>
      </c>
      <c r="K5" s="64">
        <v>0.00101</v>
      </c>
      <c r="L5" s="65">
        <f t="shared" si="0"/>
        <v>-3.07423626920392</v>
      </c>
      <c r="M5" s="66">
        <f t="shared" si="8"/>
        <v>0.0016483625286319</v>
      </c>
      <c r="N5" s="65">
        <f t="shared" si="1"/>
        <v>17.7726157473111</v>
      </c>
      <c r="O5" s="65">
        <f t="shared" si="2"/>
        <v>3.52719040421772</v>
      </c>
      <c r="P5" s="69">
        <f t="shared" si="3"/>
        <v>0.0134943575592782</v>
      </c>
      <c r="Q5" s="69">
        <f t="shared" si="4"/>
        <v>0.00320093266048912</v>
      </c>
      <c r="R5" s="65">
        <f t="shared" si="9"/>
        <v>0.0344445584691453</v>
      </c>
      <c r="S5" s="65">
        <f t="shared" si="5"/>
        <v>4.21396849109355</v>
      </c>
      <c r="T5" s="65">
        <f t="shared" si="10"/>
        <v>0.00817390033692605</v>
      </c>
      <c r="U5" s="65">
        <f t="shared" si="6"/>
        <v>3473.07387877706</v>
      </c>
      <c r="V5" s="69">
        <f t="shared" si="11"/>
        <v>9.91760027899953e-6</v>
      </c>
      <c r="W5" s="69">
        <f t="shared" si="7"/>
        <v>1.52718756435507e-6</v>
      </c>
      <c r="X5" s="4"/>
      <c r="Y5" s="6"/>
    </row>
    <row r="6" ht="25" customHeight="1" spans="1:25">
      <c r="A6" s="111"/>
      <c r="B6" s="111"/>
      <c r="C6" s="54">
        <v>4</v>
      </c>
      <c r="D6" s="55">
        <v>0.30892619704462</v>
      </c>
      <c r="E6" s="55">
        <v>-21.1321351458282</v>
      </c>
      <c r="F6" s="55">
        <v>1.4990007014024</v>
      </c>
      <c r="G6" s="59">
        <v>0.0302</v>
      </c>
      <c r="H6" s="61">
        <v>1000</v>
      </c>
      <c r="I6" s="59">
        <v>9.801</v>
      </c>
      <c r="J6" s="62">
        <v>4e-6</v>
      </c>
      <c r="K6" s="64">
        <v>0.00101</v>
      </c>
      <c r="L6" s="65">
        <f t="shared" si="0"/>
        <v>-3.19760360001677</v>
      </c>
      <c r="M6" s="66">
        <f t="shared" si="8"/>
        <v>0.0014990007014024</v>
      </c>
      <c r="N6" s="65">
        <f t="shared" si="1"/>
        <v>9.47402148172661</v>
      </c>
      <c r="O6" s="65">
        <f t="shared" si="2"/>
        <v>2.91693740537625</v>
      </c>
      <c r="P6" s="69">
        <f t="shared" si="3"/>
        <v>0.0103316377157307</v>
      </c>
      <c r="Q6" s="69">
        <f t="shared" si="4"/>
        <v>0.00335661851997399</v>
      </c>
      <c r="R6" s="65">
        <f t="shared" si="9"/>
        <v>0.0298706226903521</v>
      </c>
      <c r="S6" s="65">
        <f t="shared" si="5"/>
        <v>5.94505091268957</v>
      </c>
      <c r="T6" s="65">
        <f t="shared" si="10"/>
        <v>0.0050244519566004</v>
      </c>
      <c r="U6" s="65">
        <f t="shared" si="6"/>
        <v>4455.81774399732</v>
      </c>
      <c r="V6" s="69">
        <f t="shared" si="11"/>
        <v>6.70373529765495e-6</v>
      </c>
      <c r="W6" s="69">
        <f t="shared" si="7"/>
        <v>6.73245715367951e-7</v>
      </c>
      <c r="X6" s="4"/>
      <c r="Y6" s="6"/>
    </row>
    <row r="7" ht="25" customHeight="1" spans="1:25">
      <c r="A7" s="111"/>
      <c r="B7" s="111"/>
      <c r="C7" s="54">
        <v>5</v>
      </c>
      <c r="D7" s="55">
        <v>0.375399200272031</v>
      </c>
      <c r="E7" s="55">
        <v>-14.2293116489042</v>
      </c>
      <c r="F7" s="55">
        <v>1.44487015160013</v>
      </c>
      <c r="G7" s="59">
        <v>0.0302</v>
      </c>
      <c r="H7" s="61">
        <v>1000</v>
      </c>
      <c r="I7" s="59">
        <v>9.801</v>
      </c>
      <c r="J7" s="62">
        <v>4e-6</v>
      </c>
      <c r="K7" s="64">
        <v>0.00101</v>
      </c>
      <c r="L7" s="65">
        <f t="shared" si="0"/>
        <v>-1.00932319681192</v>
      </c>
      <c r="M7" s="66">
        <f t="shared" si="8"/>
        <v>0.00144487015160013</v>
      </c>
      <c r="N7" s="65">
        <f t="shared" si="1"/>
        <v>13.4846152147477</v>
      </c>
      <c r="O7" s="65">
        <f t="shared" si="2"/>
        <v>2.71007354286196</v>
      </c>
      <c r="P7" s="69">
        <f t="shared" si="3"/>
        <v>0.0125547414660514</v>
      </c>
      <c r="Q7" s="69">
        <f t="shared" si="4"/>
        <v>0.00341891650457948</v>
      </c>
      <c r="R7" s="65">
        <f t="shared" si="9"/>
        <v>0.0282673275370276</v>
      </c>
      <c r="S7" s="65">
        <f t="shared" si="5"/>
        <v>3.74052304836916</v>
      </c>
      <c r="T7" s="65">
        <f t="shared" si="10"/>
        <v>0.00755705209445291</v>
      </c>
      <c r="U7" s="65">
        <f t="shared" si="6"/>
        <v>2702.28505198047</v>
      </c>
      <c r="V7" s="69">
        <f t="shared" si="11"/>
        <v>1.04605276620654e-5</v>
      </c>
      <c r="W7" s="69">
        <f t="shared" si="7"/>
        <v>8.90290538774941e-7</v>
      </c>
      <c r="X7" s="4"/>
      <c r="Y7" s="6"/>
    </row>
    <row r="8" ht="25" customHeight="1" spans="1:25">
      <c r="A8" s="111"/>
      <c r="B8" s="111"/>
      <c r="C8" s="54">
        <v>6</v>
      </c>
      <c r="D8" s="55">
        <v>0.46038295904576</v>
      </c>
      <c r="E8" s="55">
        <v>-12.4653892243224</v>
      </c>
      <c r="F8" s="55">
        <v>1.43575679958388</v>
      </c>
      <c r="G8" s="59">
        <v>0.0302</v>
      </c>
      <c r="H8" s="61">
        <v>1000</v>
      </c>
      <c r="I8" s="59">
        <v>9.801</v>
      </c>
      <c r="J8" s="62">
        <v>4e-6</v>
      </c>
      <c r="K8" s="64">
        <v>0.00101</v>
      </c>
      <c r="L8" s="65">
        <f t="shared" si="0"/>
        <v>-0.461089364136352</v>
      </c>
      <c r="M8" s="66">
        <f t="shared" si="8"/>
        <v>0.00143575679958388</v>
      </c>
      <c r="N8" s="65">
        <f t="shared" si="1"/>
        <v>20.1531257302145</v>
      </c>
      <c r="O8" s="65">
        <f t="shared" si="2"/>
        <v>2.67599440471401</v>
      </c>
      <c r="P8" s="69">
        <f t="shared" si="3"/>
        <v>0.0153969135310006</v>
      </c>
      <c r="Q8" s="69">
        <f t="shared" si="4"/>
        <v>0.00342974999080417</v>
      </c>
      <c r="R8" s="65">
        <f t="shared" si="9"/>
        <v>0.0280003103245464</v>
      </c>
      <c r="S8" s="65">
        <f t="shared" si="5"/>
        <v>2.45575290234762</v>
      </c>
      <c r="T8" s="65">
        <f t="shared" si="10"/>
        <v>0.0114019249647548</v>
      </c>
      <c r="U8" s="65">
        <f t="shared" si="6"/>
        <v>1762.93196382172</v>
      </c>
      <c r="V8" s="69">
        <f t="shared" si="11"/>
        <v>1.58828082417014e-5</v>
      </c>
      <c r="W8" s="69">
        <f t="shared" si="7"/>
        <v>1.3138317074706e-6</v>
      </c>
      <c r="X8" s="4"/>
      <c r="Y8" s="6"/>
    </row>
    <row r="9" ht="25" customHeight="1" spans="1:25">
      <c r="A9" s="111"/>
      <c r="B9" s="111"/>
      <c r="C9" s="54">
        <v>7</v>
      </c>
      <c r="D9" s="55">
        <v>0.360030528595507</v>
      </c>
      <c r="E9" s="55">
        <v>-15.3195421708314</v>
      </c>
      <c r="F9" s="55">
        <v>1.3459563421992</v>
      </c>
      <c r="G9" s="59">
        <v>0.0302</v>
      </c>
      <c r="H9" s="61">
        <v>1000</v>
      </c>
      <c r="I9" s="59">
        <v>9.801</v>
      </c>
      <c r="J9" s="62">
        <v>4e-6</v>
      </c>
      <c r="K9" s="64">
        <v>0.00101</v>
      </c>
      <c r="L9" s="65">
        <f t="shared" si="0"/>
        <v>-1.1175176962779</v>
      </c>
      <c r="M9" s="66">
        <f t="shared" si="8"/>
        <v>0.0013459563421992</v>
      </c>
      <c r="N9" s="65">
        <f t="shared" si="1"/>
        <v>11.5540084845228</v>
      </c>
      <c r="O9" s="65">
        <f t="shared" si="2"/>
        <v>2.3517187621876</v>
      </c>
      <c r="P9" s="69">
        <f t="shared" si="3"/>
        <v>0.0120407560887901</v>
      </c>
      <c r="Q9" s="69">
        <f t="shared" si="4"/>
        <v>0.00354231695507838</v>
      </c>
      <c r="R9" s="65">
        <f t="shared" si="9"/>
        <v>0.025414875224408</v>
      </c>
      <c r="S9" s="65">
        <f t="shared" si="5"/>
        <v>3.52894323630646</v>
      </c>
      <c r="T9" s="65">
        <f t="shared" si="10"/>
        <v>0.00720183735542548</v>
      </c>
      <c r="U9" s="65">
        <f t="shared" si="6"/>
        <v>2374.90176508383</v>
      </c>
      <c r="V9" s="69">
        <f t="shared" si="11"/>
        <v>1.07014427283105e-5</v>
      </c>
      <c r="W9" s="69">
        <f t="shared" si="7"/>
        <v>6.61957625598416e-7</v>
      </c>
      <c r="X9" s="4"/>
      <c r="Y9" s="6"/>
    </row>
    <row r="10" ht="25" customHeight="1" spans="1:25">
      <c r="A10" s="111"/>
      <c r="B10" s="111"/>
      <c r="C10" s="54">
        <v>8</v>
      </c>
      <c r="D10" s="55">
        <v>0.381427083576573</v>
      </c>
      <c r="E10" s="55">
        <v>-11.882242008582</v>
      </c>
      <c r="F10" s="55">
        <v>1.4601683847812</v>
      </c>
      <c r="G10" s="59">
        <v>0.0302</v>
      </c>
      <c r="H10" s="61">
        <v>1000</v>
      </c>
      <c r="I10" s="59">
        <v>9.801</v>
      </c>
      <c r="J10" s="62">
        <v>4e-6</v>
      </c>
      <c r="K10" s="64">
        <v>0.00101</v>
      </c>
      <c r="L10" s="65">
        <f t="shared" si="0"/>
        <v>-0.369072155883279</v>
      </c>
      <c r="M10" s="66">
        <f t="shared" si="8"/>
        <v>0.0014601683847812</v>
      </c>
      <c r="N10" s="65">
        <f t="shared" si="1"/>
        <v>14.068540599858</v>
      </c>
      <c r="O10" s="65">
        <f t="shared" si="2"/>
        <v>2.76776567794363</v>
      </c>
      <c r="P10" s="69">
        <f t="shared" si="3"/>
        <v>0.0127563362388192</v>
      </c>
      <c r="Q10" s="69">
        <f t="shared" si="4"/>
        <v>0.0034009592946705</v>
      </c>
      <c r="R10" s="65">
        <f t="shared" si="9"/>
        <v>0.0287174539593096</v>
      </c>
      <c r="S10" s="65">
        <f t="shared" si="5"/>
        <v>3.70036197790002</v>
      </c>
      <c r="T10" s="65">
        <f t="shared" si="10"/>
        <v>0.00776071479785525</v>
      </c>
      <c r="U10" s="65">
        <f t="shared" si="6"/>
        <v>2701.57578618802</v>
      </c>
      <c r="V10" s="69">
        <f t="shared" si="11"/>
        <v>1.06298901945041e-5</v>
      </c>
      <c r="W10" s="69">
        <f t="shared" si="7"/>
        <v>9.48616099626904e-7</v>
      </c>
      <c r="X10" s="4"/>
      <c r="Y10" s="6"/>
    </row>
    <row r="11" ht="25" customHeight="1" spans="1:25">
      <c r="A11" s="111"/>
      <c r="B11" s="111"/>
      <c r="C11" s="54">
        <v>9</v>
      </c>
      <c r="D11" s="55">
        <v>0.449709287993055</v>
      </c>
      <c r="E11" s="55">
        <v>-15.1260850526811</v>
      </c>
      <c r="F11" s="55">
        <v>1.36917403574902</v>
      </c>
      <c r="G11" s="59">
        <v>0.0302</v>
      </c>
      <c r="H11" s="61">
        <v>1000</v>
      </c>
      <c r="I11" s="59">
        <v>9.801</v>
      </c>
      <c r="J11" s="62">
        <v>4e-6</v>
      </c>
      <c r="K11" s="64">
        <v>0.00101</v>
      </c>
      <c r="L11" s="65">
        <f t="shared" si="0"/>
        <v>-1.06174902121802</v>
      </c>
      <c r="M11" s="66">
        <f t="shared" si="8"/>
        <v>0.00136917403574902</v>
      </c>
      <c r="N11" s="65">
        <f t="shared" si="1"/>
        <v>18.3377235863719</v>
      </c>
      <c r="O11" s="65">
        <f t="shared" si="2"/>
        <v>2.43355265313893</v>
      </c>
      <c r="P11" s="69">
        <f t="shared" si="3"/>
        <v>0.0150399463865227</v>
      </c>
      <c r="Q11" s="69">
        <f t="shared" si="4"/>
        <v>0.00351215421493562</v>
      </c>
      <c r="R11" s="65">
        <f t="shared" si="9"/>
        <v>0.0260753114383446</v>
      </c>
      <c r="S11" s="65">
        <f t="shared" si="5"/>
        <v>2.34053412504498</v>
      </c>
      <c r="T11" s="65">
        <f t="shared" si="10"/>
        <v>0.0111407525142764</v>
      </c>
      <c r="U11" s="65">
        <f t="shared" si="6"/>
        <v>1602.29927689807</v>
      </c>
      <c r="V11" s="69">
        <f t="shared" si="11"/>
        <v>1.62736835835216e-5</v>
      </c>
      <c r="W11" s="69">
        <f t="shared" si="7"/>
        <v>1.08717208518789e-6</v>
      </c>
      <c r="X11" s="4"/>
      <c r="Y11" s="6"/>
    </row>
    <row r="12" ht="25" customHeight="1" spans="1:25">
      <c r="A12" s="111"/>
      <c r="B12" s="111"/>
      <c r="C12" s="54">
        <v>10</v>
      </c>
      <c r="D12" s="55">
        <v>0.456369880305615</v>
      </c>
      <c r="E12" s="55">
        <v>-12.4415418612981</v>
      </c>
      <c r="F12" s="55">
        <v>1.39952188008319</v>
      </c>
      <c r="G12" s="59">
        <v>0.0302</v>
      </c>
      <c r="H12" s="61">
        <v>1000</v>
      </c>
      <c r="I12" s="59">
        <v>9.801</v>
      </c>
      <c r="J12" s="62">
        <v>4e-6</v>
      </c>
      <c r="K12" s="64">
        <v>0.00101</v>
      </c>
      <c r="L12" s="65">
        <f t="shared" si="0"/>
        <v>-0.420791322437765</v>
      </c>
      <c r="M12" s="66">
        <f t="shared" si="8"/>
        <v>0.00139952188008319</v>
      </c>
      <c r="N12" s="65">
        <f t="shared" si="1"/>
        <v>19.3035281468344</v>
      </c>
      <c r="O12" s="65">
        <f t="shared" si="2"/>
        <v>2.54262798559502</v>
      </c>
      <c r="P12" s="69">
        <f t="shared" si="3"/>
        <v>0.0152627012949891</v>
      </c>
      <c r="Q12" s="69">
        <f t="shared" si="4"/>
        <v>0.00347386596879442</v>
      </c>
      <c r="R12" s="65">
        <f t="shared" si="9"/>
        <v>0.0269470396211316</v>
      </c>
      <c r="S12" s="65">
        <f t="shared" si="5"/>
        <v>2.37458007743308</v>
      </c>
      <c r="T12" s="65">
        <f t="shared" si="10"/>
        <v>0.0113481284026696</v>
      </c>
      <c r="U12" s="65">
        <f t="shared" si="6"/>
        <v>1661.63838718861</v>
      </c>
      <c r="V12" s="69">
        <f t="shared" si="11"/>
        <v>1.62171503913823e-5</v>
      </c>
      <c r="W12" s="69">
        <f t="shared" si="7"/>
        <v>1.19572590811916e-6</v>
      </c>
      <c r="X12" s="4"/>
      <c r="Y12" s="6"/>
    </row>
    <row r="13" ht="25" customHeight="1" spans="1:25">
      <c r="A13" s="111"/>
      <c r="B13" s="111"/>
      <c r="C13" s="54">
        <v>11</v>
      </c>
      <c r="D13" s="55">
        <v>0.839488626875709</v>
      </c>
      <c r="E13" s="55">
        <v>-33.3288531850998</v>
      </c>
      <c r="F13" s="55">
        <v>1.41311904509994</v>
      </c>
      <c r="G13" s="59">
        <v>0.0302</v>
      </c>
      <c r="H13" s="61">
        <v>1000</v>
      </c>
      <c r="I13" s="59">
        <v>9.801</v>
      </c>
      <c r="J13" s="62">
        <v>4e-6</v>
      </c>
      <c r="K13" s="64">
        <v>0.00101</v>
      </c>
      <c r="L13" s="65">
        <f t="shared" si="0"/>
        <v>-5.72813774445985</v>
      </c>
      <c r="M13" s="66">
        <f t="shared" si="8"/>
        <v>0.00141311904509994</v>
      </c>
      <c r="N13" s="65">
        <f t="shared" si="1"/>
        <v>65.9525263249546</v>
      </c>
      <c r="O13" s="65">
        <f t="shared" si="2"/>
        <v>2.59227419530496</v>
      </c>
      <c r="P13" s="69">
        <f t="shared" si="3"/>
        <v>0.0280756130180287</v>
      </c>
      <c r="Q13" s="69">
        <f t="shared" si="4"/>
        <v>0.00345711263750019</v>
      </c>
      <c r="R13" s="65">
        <f t="shared" si="9"/>
        <v>0.0273407010589668</v>
      </c>
      <c r="S13" s="65">
        <f t="shared" si="5"/>
        <v>0.715466408007482</v>
      </c>
      <c r="T13" s="65">
        <f t="shared" si="10"/>
        <v>0.0382138151462743</v>
      </c>
      <c r="U13" s="65">
        <f t="shared" si="6"/>
        <v>505.519603642309</v>
      </c>
      <c r="V13" s="69">
        <f t="shared" si="11"/>
        <v>5.40843537262945e-5</v>
      </c>
      <c r="W13" s="69">
        <f t="shared" si="7"/>
        <v>4.1650910152266e-6</v>
      </c>
      <c r="X13" s="4"/>
      <c r="Y13" s="6"/>
    </row>
    <row r="14" ht="25" customHeight="1" spans="1:25">
      <c r="A14" s="111"/>
      <c r="B14" s="111"/>
      <c r="C14" s="54">
        <v>23</v>
      </c>
      <c r="D14" s="55">
        <v>0.515224834674623</v>
      </c>
      <c r="E14" s="55">
        <v>-29.9789765760212</v>
      </c>
      <c r="F14" s="55">
        <v>1.12748012513518</v>
      </c>
      <c r="G14" s="59">
        <v>0.0302</v>
      </c>
      <c r="H14" s="61">
        <v>1000</v>
      </c>
      <c r="I14" s="59">
        <v>9.801</v>
      </c>
      <c r="J14" s="62">
        <v>4e-6</v>
      </c>
      <c r="K14" s="64">
        <v>0.00101</v>
      </c>
      <c r="L14" s="65">
        <f t="shared" si="0"/>
        <v>-3.09571141697419</v>
      </c>
      <c r="M14" s="66">
        <f t="shared" si="8"/>
        <v>0.00112748012513518</v>
      </c>
      <c r="N14" s="65">
        <f t="shared" si="1"/>
        <v>19.8209983251457</v>
      </c>
      <c r="O14" s="65">
        <f t="shared" si="2"/>
        <v>1.65021764909484</v>
      </c>
      <c r="P14" s="69">
        <f t="shared" si="3"/>
        <v>0.0172310292391182</v>
      </c>
      <c r="Q14" s="69">
        <f t="shared" si="4"/>
        <v>0.00387033410532832</v>
      </c>
      <c r="R14" s="65">
        <f t="shared" si="9"/>
        <v>0.0194851998517928</v>
      </c>
      <c r="S14" s="65">
        <f t="shared" si="5"/>
        <v>1.20916507681169</v>
      </c>
      <c r="T14" s="65">
        <f t="shared" si="10"/>
        <v>0.0161145903280394</v>
      </c>
      <c r="U14" s="65">
        <f t="shared" si="6"/>
        <v>681.654796056368</v>
      </c>
      <c r="V14" s="69">
        <f t="shared" si="11"/>
        <v>2.85851430438428e-5</v>
      </c>
      <c r="W14" s="69">
        <f t="shared" si="7"/>
        <v>7.96854217899883e-7</v>
      </c>
      <c r="X14" s="4"/>
      <c r="Y14" s="6"/>
    </row>
    <row r="15" ht="25" customHeight="1" spans="1:25">
      <c r="A15" s="111"/>
      <c r="B15" s="111"/>
      <c r="C15" s="54">
        <v>34</v>
      </c>
      <c r="D15" s="55">
        <v>0.413764589074592</v>
      </c>
      <c r="E15" s="55">
        <v>-22.4763455062503</v>
      </c>
      <c r="F15" s="55">
        <v>1.12344815011812</v>
      </c>
      <c r="G15" s="59">
        <v>0.0302</v>
      </c>
      <c r="H15" s="61">
        <v>1000</v>
      </c>
      <c r="I15" s="59">
        <v>9.801</v>
      </c>
      <c r="J15" s="62">
        <v>4e-6</v>
      </c>
      <c r="K15" s="64">
        <v>0.00101</v>
      </c>
      <c r="L15" s="65">
        <f t="shared" si="0"/>
        <v>-1.87828633782038</v>
      </c>
      <c r="M15" s="66">
        <f t="shared" si="8"/>
        <v>0.00112344815011812</v>
      </c>
      <c r="N15" s="65">
        <f t="shared" si="1"/>
        <v>12.7374568614026</v>
      </c>
      <c r="O15" s="65">
        <f t="shared" si="2"/>
        <v>1.6384360856402</v>
      </c>
      <c r="P15" s="69">
        <f t="shared" si="3"/>
        <v>0.0138378223498456</v>
      </c>
      <c r="Q15" s="69">
        <f t="shared" si="4"/>
        <v>0.00387727306112227</v>
      </c>
      <c r="R15" s="65">
        <f t="shared" si="9"/>
        <v>0.019380771989941</v>
      </c>
      <c r="S15" s="65">
        <f t="shared" si="5"/>
        <v>1.86149043664732</v>
      </c>
      <c r="T15" s="65">
        <f t="shared" si="10"/>
        <v>0.0104114271061457</v>
      </c>
      <c r="U15" s="65">
        <f t="shared" si="6"/>
        <v>1045.643993757</v>
      </c>
      <c r="V15" s="69">
        <f t="shared" si="11"/>
        <v>1.85347710173381e-5</v>
      </c>
      <c r="W15" s="69">
        <f t="shared" si="7"/>
        <v>5.08422022621902e-7</v>
      </c>
      <c r="X15" s="4"/>
      <c r="Y15" s="6"/>
    </row>
    <row r="16" ht="25" customHeight="1" spans="1:25">
      <c r="A16" s="111"/>
      <c r="B16" s="111"/>
      <c r="C16" s="54">
        <v>35</v>
      </c>
      <c r="D16" s="55">
        <v>0.39823539947186</v>
      </c>
      <c r="E16" s="55">
        <v>-22.7517607063105</v>
      </c>
      <c r="F16" s="55">
        <v>1.12528803677558</v>
      </c>
      <c r="G16" s="59">
        <v>0.0302</v>
      </c>
      <c r="H16" s="61">
        <v>1000</v>
      </c>
      <c r="I16" s="59">
        <v>9.801</v>
      </c>
      <c r="J16" s="62">
        <v>4e-6</v>
      </c>
      <c r="K16" s="64">
        <v>0.00101</v>
      </c>
      <c r="L16" s="65">
        <f t="shared" si="0"/>
        <v>-1.9407867950223</v>
      </c>
      <c r="M16" s="66">
        <f t="shared" si="8"/>
        <v>0.00112528803677558</v>
      </c>
      <c r="N16" s="65">
        <f t="shared" si="1"/>
        <v>11.8186121014361</v>
      </c>
      <c r="O16" s="65">
        <f t="shared" si="2"/>
        <v>1.64380705922199</v>
      </c>
      <c r="P16" s="69">
        <f t="shared" si="3"/>
        <v>0.0133184686578337</v>
      </c>
      <c r="Q16" s="69">
        <f t="shared" si="4"/>
        <v>0.00387410202352677</v>
      </c>
      <c r="R16" s="65">
        <f t="shared" si="9"/>
        <v>0.0194284017172898</v>
      </c>
      <c r="S16" s="65">
        <f t="shared" si="5"/>
        <v>2.01608603631507</v>
      </c>
      <c r="T16" s="65">
        <f t="shared" si="10"/>
        <v>0.00963669276376733</v>
      </c>
      <c r="U16" s="65">
        <f t="shared" si="6"/>
        <v>1134.33874888783</v>
      </c>
      <c r="V16" s="69">
        <f t="shared" si="11"/>
        <v>1.71275130434701e-5</v>
      </c>
      <c r="W16" s="69">
        <f t="shared" si="7"/>
        <v>4.73292304856492e-7</v>
      </c>
      <c r="X16" s="4"/>
      <c r="Y16" s="6"/>
    </row>
    <row r="17" ht="25" customHeight="1" spans="1:25">
      <c r="A17" s="111"/>
      <c r="B17" s="111"/>
      <c r="C17" s="54">
        <v>36</v>
      </c>
      <c r="D17" s="55">
        <v>0.351669338204214</v>
      </c>
      <c r="E17" s="55">
        <v>-21.1230303559552</v>
      </c>
      <c r="F17" s="55">
        <v>1.13200164611805</v>
      </c>
      <c r="G17" s="59">
        <v>0.0302</v>
      </c>
      <c r="H17" s="61">
        <v>1000</v>
      </c>
      <c r="I17" s="59">
        <v>9.801</v>
      </c>
      <c r="J17" s="62">
        <v>4e-6</v>
      </c>
      <c r="K17" s="64">
        <v>0.00101</v>
      </c>
      <c r="L17" s="65">
        <f t="shared" si="0"/>
        <v>-1.71842729444023</v>
      </c>
      <c r="M17" s="66">
        <f t="shared" si="8"/>
        <v>0.00113200164611805</v>
      </c>
      <c r="N17" s="65">
        <f t="shared" si="1"/>
        <v>9.27126766249949</v>
      </c>
      <c r="O17" s="65">
        <f t="shared" si="2"/>
        <v>1.66347988748394</v>
      </c>
      <c r="P17" s="69">
        <f t="shared" si="3"/>
        <v>0.0117611268737171</v>
      </c>
      <c r="Q17" s="69">
        <f t="shared" si="4"/>
        <v>0.00386259679034906</v>
      </c>
      <c r="R17" s="65">
        <f t="shared" si="9"/>
        <v>0.0196025292065582</v>
      </c>
      <c r="S17" s="65">
        <f t="shared" si="5"/>
        <v>2.61629367292933</v>
      </c>
      <c r="T17" s="65">
        <f t="shared" si="10"/>
        <v>0.00749248045408077</v>
      </c>
      <c r="U17" s="65">
        <f t="shared" si="6"/>
        <v>1480.82437224212</v>
      </c>
      <c r="V17" s="69">
        <f t="shared" si="11"/>
        <v>1.32375787257458e-5</v>
      </c>
      <c r="W17" s="69">
        <f t="shared" si="7"/>
        <v>3.75723878758349e-7</v>
      </c>
      <c r="X17" s="4"/>
      <c r="Y17" s="6"/>
    </row>
    <row r="18" ht="25" customHeight="1" spans="1:25">
      <c r="A18" s="111"/>
      <c r="B18" s="111"/>
      <c r="C18" s="54">
        <v>39</v>
      </c>
      <c r="D18" s="55">
        <v>0.34844810002651</v>
      </c>
      <c r="E18" s="55">
        <v>-21.4933309330614</v>
      </c>
      <c r="F18" s="55">
        <v>1.12992329148895</v>
      </c>
      <c r="G18" s="59">
        <v>0.0302</v>
      </c>
      <c r="H18" s="61">
        <v>1000</v>
      </c>
      <c r="I18" s="59">
        <v>9.801</v>
      </c>
      <c r="J18" s="62">
        <v>4e-6</v>
      </c>
      <c r="K18" s="64">
        <v>0.00101</v>
      </c>
      <c r="L18" s="65">
        <f t="shared" si="0"/>
        <v>-1.77591996451071</v>
      </c>
      <c r="M18" s="66">
        <f t="shared" si="8"/>
        <v>0.00112992329148895</v>
      </c>
      <c r="N18" s="65">
        <f t="shared" si="1"/>
        <v>9.08548708338167</v>
      </c>
      <c r="O18" s="65">
        <f t="shared" si="2"/>
        <v>1.65737719790822</v>
      </c>
      <c r="P18" s="69">
        <f t="shared" si="3"/>
        <v>0.0116533967227409</v>
      </c>
      <c r="Q18" s="69">
        <f t="shared" si="4"/>
        <v>0.00386614754366697</v>
      </c>
      <c r="R18" s="65">
        <f t="shared" si="9"/>
        <v>0.0195485686381971</v>
      </c>
      <c r="S18" s="65">
        <f t="shared" si="5"/>
        <v>2.65511357301293</v>
      </c>
      <c r="T18" s="65">
        <f t="shared" si="10"/>
        <v>0.00736261109012148</v>
      </c>
      <c r="U18" s="65">
        <f t="shared" si="6"/>
        <v>1500.03733384788</v>
      </c>
      <c r="V18" s="69">
        <f t="shared" si="11"/>
        <v>1.30320547342987e-5</v>
      </c>
      <c r="W18" s="69">
        <f t="shared" si="7"/>
        <v>3.66844234776734e-7</v>
      </c>
      <c r="X18" s="4"/>
      <c r="Y18" s="6"/>
    </row>
    <row r="19" ht="25" customHeight="1" spans="1:25">
      <c r="A19" s="111"/>
      <c r="B19" s="111"/>
      <c r="C19" s="54">
        <v>44</v>
      </c>
      <c r="D19" s="55">
        <v>0.18248599114776</v>
      </c>
      <c r="E19" s="55">
        <v>-14.2504330683497</v>
      </c>
      <c r="F19" s="55">
        <v>1.75057525713118</v>
      </c>
      <c r="G19" s="59">
        <v>0.0302</v>
      </c>
      <c r="H19" s="61">
        <v>1000</v>
      </c>
      <c r="I19" s="59">
        <v>9.801</v>
      </c>
      <c r="J19" s="62">
        <v>4e-6</v>
      </c>
      <c r="K19" s="64">
        <v>0.00101</v>
      </c>
      <c r="L19" s="65">
        <f t="shared" si="0"/>
        <v>-1.70928161943804</v>
      </c>
      <c r="M19" s="66">
        <f t="shared" si="8"/>
        <v>0.00175057525713118</v>
      </c>
      <c r="N19" s="65">
        <f t="shared" si="1"/>
        <v>3.86067194738948</v>
      </c>
      <c r="O19" s="65">
        <f t="shared" si="2"/>
        <v>3.97818530812634</v>
      </c>
      <c r="P19" s="69">
        <f t="shared" si="3"/>
        <v>0.00610300831321979</v>
      </c>
      <c r="Q19" s="69">
        <f t="shared" si="4"/>
        <v>0.003106079101532</v>
      </c>
      <c r="R19" s="65">
        <f t="shared" si="9"/>
        <v>0.0376975130924511</v>
      </c>
      <c r="S19" s="65">
        <f t="shared" si="5"/>
        <v>23.2361350862059</v>
      </c>
      <c r="T19" s="65">
        <f t="shared" si="10"/>
        <v>0.00162236589486994</v>
      </c>
      <c r="U19" s="65">
        <f t="shared" si="6"/>
        <v>20338.3015766348</v>
      </c>
      <c r="V19" s="69">
        <f t="shared" si="11"/>
        <v>1.85352316418393e-6</v>
      </c>
      <c r="W19" s="69">
        <f t="shared" si="7"/>
        <v>3.7416230508182e-7</v>
      </c>
      <c r="X19" s="4"/>
      <c r="Y19" s="6"/>
    </row>
    <row r="20" ht="25" customHeight="1" spans="1:25">
      <c r="A20" s="111"/>
      <c r="B20" s="111"/>
      <c r="C20" s="54">
        <v>45</v>
      </c>
      <c r="D20" s="55">
        <v>1.75763280241481</v>
      </c>
      <c r="E20" s="55">
        <v>-95.4574380371422</v>
      </c>
      <c r="F20" s="55">
        <v>1.73275075410634</v>
      </c>
      <c r="G20" s="59">
        <v>0.0302</v>
      </c>
      <c r="H20" s="61">
        <v>1000</v>
      </c>
      <c r="I20" s="59">
        <v>9.801</v>
      </c>
      <c r="J20" s="62">
        <v>4e-6</v>
      </c>
      <c r="K20" s="64">
        <v>0.00101</v>
      </c>
      <c r="L20" s="65">
        <f t="shared" si="0"/>
        <v>-33.0181088690528</v>
      </c>
      <c r="M20" s="66">
        <f t="shared" si="8"/>
        <v>0.00173275075410634</v>
      </c>
      <c r="N20" s="65">
        <f t="shared" si="1"/>
        <v>354.499353538623</v>
      </c>
      <c r="O20" s="65">
        <f t="shared" si="2"/>
        <v>3.8975853176908</v>
      </c>
      <c r="P20" s="69">
        <f t="shared" si="3"/>
        <v>0.0587817592860582</v>
      </c>
      <c r="Q20" s="69">
        <f t="shared" si="4"/>
        <v>0.00312201407172482</v>
      </c>
      <c r="R20" s="65">
        <f t="shared" si="9"/>
        <v>0.0371232223695984</v>
      </c>
      <c r="S20" s="65">
        <f t="shared" si="5"/>
        <v>0.245401536279182</v>
      </c>
      <c r="T20" s="65">
        <f t="shared" si="10"/>
        <v>0.151275427743717</v>
      </c>
      <c r="U20" s="65">
        <f t="shared" si="6"/>
        <v>212.609848523303</v>
      </c>
      <c r="V20" s="69">
        <f t="shared" si="11"/>
        <v>0.000174607256566149</v>
      </c>
      <c r="W20" s="69">
        <f t="shared" si="7"/>
        <v>3.36607045195473e-5</v>
      </c>
      <c r="X20" s="4"/>
      <c r="Y20" s="6"/>
    </row>
    <row r="21" ht="25" customHeight="1" spans="1:25">
      <c r="A21" s="111"/>
      <c r="B21" s="111"/>
      <c r="C21" s="54">
        <v>46</v>
      </c>
      <c r="D21" s="55">
        <v>0.368767369066553</v>
      </c>
      <c r="E21" s="55">
        <v>-9.5297995869277</v>
      </c>
      <c r="F21" s="55">
        <v>1.90436999185702</v>
      </c>
      <c r="G21" s="59">
        <v>0.0302</v>
      </c>
      <c r="H21" s="61">
        <v>1000</v>
      </c>
      <c r="I21" s="59">
        <v>9.801</v>
      </c>
      <c r="J21" s="62">
        <v>4e-6</v>
      </c>
      <c r="K21" s="64">
        <v>0.00101</v>
      </c>
      <c r="L21" s="65">
        <f t="shared" si="0"/>
        <v>0.337980789078819</v>
      </c>
      <c r="M21" s="66">
        <f t="shared" si="8"/>
        <v>0.00190436999185702</v>
      </c>
      <c r="N21" s="65">
        <f t="shared" si="1"/>
        <v>17.1506013362995</v>
      </c>
      <c r="O21" s="65">
        <f t="shared" si="2"/>
        <v>4.70788771797932</v>
      </c>
      <c r="P21" s="69">
        <f t="shared" si="3"/>
        <v>0.0123329484356695</v>
      </c>
      <c r="Q21" s="69">
        <f t="shared" si="4"/>
        <v>0.00297801746048052</v>
      </c>
      <c r="R21" s="65">
        <f t="shared" si="9"/>
        <v>0.0427728822527658</v>
      </c>
      <c r="S21" s="65">
        <f t="shared" si="5"/>
        <v>6.73378229769459</v>
      </c>
      <c r="T21" s="65">
        <f t="shared" si="10"/>
        <v>0.00635198471851543</v>
      </c>
      <c r="U21" s="65">
        <f t="shared" si="6"/>
        <v>6411.8064697138</v>
      </c>
      <c r="V21" s="69">
        <f t="shared" si="11"/>
        <v>6.67095653226649e-6</v>
      </c>
      <c r="W21" s="69">
        <f t="shared" si="7"/>
        <v>1.96705983980724e-6</v>
      </c>
      <c r="X21" s="4"/>
      <c r="Y21" s="6"/>
    </row>
    <row r="22" ht="25" customHeight="1" spans="1:25">
      <c r="A22" s="111"/>
      <c r="B22" s="111"/>
      <c r="C22" s="54">
        <v>47</v>
      </c>
      <c r="D22" s="55">
        <v>0.362662844019943</v>
      </c>
      <c r="E22" s="55">
        <v>-15.8177025636706</v>
      </c>
      <c r="F22" s="55">
        <v>2.01633771782216</v>
      </c>
      <c r="G22" s="59">
        <v>0.0302</v>
      </c>
      <c r="H22" s="61">
        <v>1000</v>
      </c>
      <c r="I22" s="59">
        <v>9.801</v>
      </c>
      <c r="J22" s="62">
        <v>4e-6</v>
      </c>
      <c r="K22" s="64">
        <v>0.00101</v>
      </c>
      <c r="L22" s="65">
        <f t="shared" si="0"/>
        <v>-3.03675304518028</v>
      </c>
      <c r="M22" s="66">
        <f t="shared" si="8"/>
        <v>0.00201633771782216</v>
      </c>
      <c r="N22" s="65">
        <f t="shared" si="1"/>
        <v>17.5627473108163</v>
      </c>
      <c r="O22" s="65">
        <f t="shared" si="2"/>
        <v>5.27776423608644</v>
      </c>
      <c r="P22" s="69">
        <f t="shared" si="3"/>
        <v>0.0121287904788127</v>
      </c>
      <c r="Q22" s="69">
        <f t="shared" si="4"/>
        <v>0.00289415154015791</v>
      </c>
      <c r="R22" s="65">
        <f t="shared" si="9"/>
        <v>0.0466000554269861</v>
      </c>
      <c r="S22" s="65">
        <f t="shared" si="5"/>
        <v>7.80515990266437</v>
      </c>
      <c r="T22" s="65">
        <f t="shared" si="10"/>
        <v>0.00597041649474454</v>
      </c>
      <c r="U22" s="65">
        <f t="shared" si="6"/>
        <v>7868.91915268766</v>
      </c>
      <c r="V22" s="69">
        <f t="shared" si="11"/>
        <v>5.92204018401557e-6</v>
      </c>
      <c r="W22" s="69">
        <f t="shared" si="7"/>
        <v>2.2581592295742e-6</v>
      </c>
      <c r="X22" s="4"/>
      <c r="Y22" s="6"/>
    </row>
    <row r="23" ht="25" customHeight="1" spans="1:25">
      <c r="A23" s="111"/>
      <c r="B23" s="111"/>
      <c r="C23" s="54">
        <v>48</v>
      </c>
      <c r="D23" s="55">
        <v>0.450193968613005</v>
      </c>
      <c r="E23" s="55">
        <v>-2.57509198377522</v>
      </c>
      <c r="F23" s="55">
        <v>2.16749446777331</v>
      </c>
      <c r="G23" s="59">
        <v>0.0302</v>
      </c>
      <c r="H23" s="61">
        <v>1000</v>
      </c>
      <c r="I23" s="59">
        <v>9.801</v>
      </c>
      <c r="J23" s="62">
        <v>4e-6</v>
      </c>
      <c r="K23" s="64">
        <v>0.00101</v>
      </c>
      <c r="L23" s="65">
        <f t="shared" si="0"/>
        <v>4.75111870697865</v>
      </c>
      <c r="M23" s="66">
        <f t="shared" si="8"/>
        <v>0.00216749446777331</v>
      </c>
      <c r="N23" s="65">
        <f t="shared" si="1"/>
        <v>29.0924565946736</v>
      </c>
      <c r="O23" s="65">
        <f t="shared" si="2"/>
        <v>6.09873036516308</v>
      </c>
      <c r="P23" s="69">
        <f t="shared" si="3"/>
        <v>0.0150561559039449</v>
      </c>
      <c r="Q23" s="69">
        <f t="shared" si="4"/>
        <v>0.00279141177170379</v>
      </c>
      <c r="R23" s="65">
        <f t="shared" si="9"/>
        <v>0.0519371983218181</v>
      </c>
      <c r="S23" s="65">
        <f t="shared" si="5"/>
        <v>5.85299338324411</v>
      </c>
      <c r="T23" s="65">
        <f t="shared" si="10"/>
        <v>0.00887361302517501</v>
      </c>
      <c r="U23" s="65">
        <f t="shared" si="6"/>
        <v>6343.1653890477</v>
      </c>
      <c r="V23" s="69">
        <f t="shared" si="11"/>
        <v>8.18789912233637e-6</v>
      </c>
      <c r="W23" s="69">
        <f t="shared" si="7"/>
        <v>4.3224696373897e-6</v>
      </c>
      <c r="X23" s="4"/>
      <c r="Y23" s="6"/>
    </row>
    <row r="24" ht="25" customHeight="1" spans="1:25">
      <c r="A24" s="111"/>
      <c r="B24" s="111"/>
      <c r="C24" s="54">
        <v>49</v>
      </c>
      <c r="D24" s="55">
        <v>0.204631832448739</v>
      </c>
      <c r="E24" s="55">
        <v>-4.56304512411118</v>
      </c>
      <c r="F24" s="55">
        <v>1.68994957274352</v>
      </c>
      <c r="G24" s="59">
        <v>0.0302</v>
      </c>
      <c r="H24" s="61">
        <v>1000</v>
      </c>
      <c r="I24" s="59">
        <v>9.801</v>
      </c>
      <c r="J24" s="62">
        <v>4e-6</v>
      </c>
      <c r="K24" s="64">
        <v>0.00101</v>
      </c>
      <c r="L24" s="65">
        <f t="shared" si="0"/>
        <v>2.09186601849312</v>
      </c>
      <c r="M24" s="66">
        <f t="shared" ref="M24:M39" si="12">F24/1000</f>
        <v>0.00168994957274352</v>
      </c>
      <c r="N24" s="65">
        <f t="shared" ref="N24:N39" si="13">H24*2*M24*D24^2/G24</f>
        <v>4.68644133631692</v>
      </c>
      <c r="O24" s="65">
        <f t="shared" ref="O24:O39" si="14">H24*I24*(M24*2)^2/G24</f>
        <v>3.70741266252123</v>
      </c>
      <c r="P24" s="69">
        <f t="shared" ref="P24:P39" si="15">K24*D24/G24</f>
        <v>0.0068436473765969</v>
      </c>
      <c r="Q24" s="69">
        <f t="shared" ref="Q24:Q39" si="16">K24/SQRT(H24*G24*M24*2)</f>
        <v>0.00316130233155562</v>
      </c>
      <c r="R24" s="65">
        <f t="shared" ref="R24:R39" si="17">SQRT(H24*8*(M24^3)/G24)</f>
        <v>0.0357562644426897</v>
      </c>
      <c r="S24" s="65">
        <f t="shared" ref="S24:S39" si="18">K24*(2*M24)^2/(H24*(D24*J24)^2)</f>
        <v>17.2211633878488</v>
      </c>
      <c r="T24" s="65">
        <f t="shared" si="10"/>
        <v>0.002076297845703</v>
      </c>
      <c r="U24" s="65">
        <f t="shared" ref="U24:U39" si="19">K24*(2*M24)^3/(H24*(D24)^2*(J24)^3)</f>
        <v>14551.4488547207</v>
      </c>
      <c r="V24" s="69">
        <f t="shared" ref="V24:V39" si="20">R24/U24</f>
        <v>2.4572305342014e-6</v>
      </c>
      <c r="W24" s="69">
        <f t="shared" ref="W24:W39" si="21">0.5*H24*(4/3)*PI()*M24^3*D24^2</f>
        <v>4.23278527096446e-7</v>
      </c>
      <c r="X24" s="4"/>
      <c r="Y24" s="6"/>
    </row>
    <row r="25" ht="25" customHeight="1" spans="1:25">
      <c r="A25" s="111"/>
      <c r="B25" s="111"/>
      <c r="C25" s="54">
        <v>50</v>
      </c>
      <c r="D25" s="55">
        <v>0.634555126504022</v>
      </c>
      <c r="E25" s="55">
        <v>-3.54335492802703</v>
      </c>
      <c r="F25" s="55">
        <v>2.15011440859963</v>
      </c>
      <c r="G25" s="59">
        <v>0.0302</v>
      </c>
      <c r="H25" s="61">
        <v>1000</v>
      </c>
      <c r="I25" s="59">
        <v>9.801</v>
      </c>
      <c r="J25" s="62">
        <v>4e-6</v>
      </c>
      <c r="K25" s="64">
        <v>0.00101</v>
      </c>
      <c r="L25" s="65">
        <f t="shared" ref="L24:L44" si="22">O25*(1+E25/9.801)-7.5*M25+18*P25</f>
        <v>4.19752923719719</v>
      </c>
      <c r="M25" s="66">
        <f t="shared" si="12"/>
        <v>0.00215011440859963</v>
      </c>
      <c r="N25" s="65">
        <f t="shared" si="13"/>
        <v>57.3354646504331</v>
      </c>
      <c r="O25" s="65">
        <f t="shared" si="14"/>
        <v>6.00131712564687</v>
      </c>
      <c r="P25" s="69">
        <f t="shared" si="15"/>
        <v>0.0212218767473199</v>
      </c>
      <c r="Q25" s="69">
        <f t="shared" si="16"/>
        <v>0.00280267099946471</v>
      </c>
      <c r="R25" s="65">
        <f t="shared" si="17"/>
        <v>0.0513137644565032</v>
      </c>
      <c r="S25" s="65">
        <f t="shared" si="18"/>
        <v>2.8989839263738</v>
      </c>
      <c r="T25" s="65">
        <f t="shared" ref="T24:T39" si="23">R25/S25</f>
        <v>0.0177006033009259</v>
      </c>
      <c r="U25" s="65">
        <f t="shared" si="19"/>
        <v>3116.57355519752</v>
      </c>
      <c r="V25" s="69">
        <f t="shared" si="20"/>
        <v>1.64648013427846e-5</v>
      </c>
      <c r="W25" s="69">
        <f t="shared" si="21"/>
        <v>8.38266356817404e-6</v>
      </c>
      <c r="X25" s="4"/>
      <c r="Y25" s="6"/>
    </row>
    <row r="26" ht="25" customHeight="1" spans="1:25">
      <c r="A26" s="111"/>
      <c r="B26" s="111"/>
      <c r="C26" s="54">
        <v>51</v>
      </c>
      <c r="D26" s="55">
        <v>0.819239556223383</v>
      </c>
      <c r="E26" s="55">
        <v>-5.33377152921793</v>
      </c>
      <c r="F26" s="55">
        <v>2.20188660414056</v>
      </c>
      <c r="G26" s="59">
        <v>0.0302</v>
      </c>
      <c r="H26" s="61">
        <v>1000</v>
      </c>
      <c r="I26" s="59">
        <v>9.801</v>
      </c>
      <c r="J26" s="62">
        <v>4e-6</v>
      </c>
      <c r="K26" s="64">
        <v>0.00101</v>
      </c>
      <c r="L26" s="65">
        <f t="shared" si="22"/>
        <v>3.3453306458765</v>
      </c>
      <c r="M26" s="66">
        <f t="shared" si="12"/>
        <v>0.00220188660414056</v>
      </c>
      <c r="N26" s="65">
        <f t="shared" si="13"/>
        <v>97.8678007905309</v>
      </c>
      <c r="O26" s="65">
        <f t="shared" si="14"/>
        <v>6.29380576901394</v>
      </c>
      <c r="P26" s="69">
        <f t="shared" si="15"/>
        <v>0.0273984089995237</v>
      </c>
      <c r="Q26" s="69">
        <f t="shared" si="16"/>
        <v>0.00276952589293596</v>
      </c>
      <c r="R26" s="65">
        <f t="shared" si="17"/>
        <v>0.0531782383167906</v>
      </c>
      <c r="S26" s="65">
        <f t="shared" si="18"/>
        <v>1.82401940277538</v>
      </c>
      <c r="T26" s="65">
        <f t="shared" si="23"/>
        <v>0.0291544257894822</v>
      </c>
      <c r="U26" s="65">
        <f t="shared" si="19"/>
        <v>2008.14194433179</v>
      </c>
      <c r="V26" s="69">
        <f t="shared" si="20"/>
        <v>2.64813144642949e-5</v>
      </c>
      <c r="W26" s="69">
        <f t="shared" si="21"/>
        <v>1.5006011980122e-5</v>
      </c>
      <c r="X26" s="4"/>
      <c r="Y26" s="6"/>
    </row>
    <row r="27" ht="25" customHeight="1" spans="1:25">
      <c r="A27" s="111"/>
      <c r="B27" s="111"/>
      <c r="C27" s="54">
        <v>52</v>
      </c>
      <c r="D27" s="55">
        <v>0.610272638304513</v>
      </c>
      <c r="E27" s="55">
        <v>-3.89850946261095</v>
      </c>
      <c r="F27" s="55">
        <v>2.22019576052202</v>
      </c>
      <c r="G27" s="59">
        <v>0.0302</v>
      </c>
      <c r="H27" s="61">
        <v>1000</v>
      </c>
      <c r="I27" s="59">
        <v>9.801</v>
      </c>
      <c r="J27" s="62">
        <v>4e-6</v>
      </c>
      <c r="K27" s="64">
        <v>0.00101</v>
      </c>
      <c r="L27" s="65">
        <f t="shared" si="22"/>
        <v>4.20436231181072</v>
      </c>
      <c r="M27" s="66">
        <f t="shared" si="12"/>
        <v>0.00222019576052202</v>
      </c>
      <c r="N27" s="65">
        <f t="shared" si="13"/>
        <v>54.759833524411</v>
      </c>
      <c r="O27" s="65">
        <f t="shared" si="14"/>
        <v>6.39890961279557</v>
      </c>
      <c r="P27" s="69">
        <f t="shared" si="15"/>
        <v>0.0204097802876675</v>
      </c>
      <c r="Q27" s="69">
        <f t="shared" si="16"/>
        <v>0.00275808260967179</v>
      </c>
      <c r="R27" s="65">
        <f t="shared" si="17"/>
        <v>0.0538428978233355</v>
      </c>
      <c r="S27" s="65">
        <f t="shared" si="18"/>
        <v>3.34192056707154</v>
      </c>
      <c r="T27" s="65">
        <f t="shared" si="23"/>
        <v>0.0161113637331353</v>
      </c>
      <c r="U27" s="65">
        <f t="shared" si="19"/>
        <v>3709.85893750679</v>
      </c>
      <c r="V27" s="69">
        <f t="shared" si="20"/>
        <v>1.45134622987904e-5</v>
      </c>
      <c r="W27" s="69">
        <f t="shared" si="21"/>
        <v>8.53650734135381e-6</v>
      </c>
      <c r="X27" s="4"/>
      <c r="Y27" s="6"/>
    </row>
    <row r="28" ht="25" customHeight="1" spans="1:25">
      <c r="A28" s="111"/>
      <c r="B28" s="111"/>
      <c r="C28" s="54">
        <v>53</v>
      </c>
      <c r="D28" s="55">
        <v>0.847624513445347</v>
      </c>
      <c r="E28" s="55">
        <v>-13.663454497276</v>
      </c>
      <c r="F28" s="55">
        <v>2.09954401146699</v>
      </c>
      <c r="G28" s="59">
        <v>0.0302</v>
      </c>
      <c r="H28" s="61">
        <v>1000</v>
      </c>
      <c r="I28" s="59">
        <v>9.801</v>
      </c>
      <c r="J28" s="62">
        <v>4e-6</v>
      </c>
      <c r="K28" s="64">
        <v>0.00101</v>
      </c>
      <c r="L28" s="65">
        <f t="shared" si="22"/>
        <v>-1.76059088944347</v>
      </c>
      <c r="M28" s="66">
        <f t="shared" si="12"/>
        <v>0.00209954401146699</v>
      </c>
      <c r="N28" s="65">
        <f t="shared" si="13"/>
        <v>99.8975993582069</v>
      </c>
      <c r="O28" s="65">
        <f t="shared" si="14"/>
        <v>5.72233664035863</v>
      </c>
      <c r="P28" s="69">
        <f t="shared" si="15"/>
        <v>0.0283477072377417</v>
      </c>
      <c r="Q28" s="69">
        <f t="shared" si="16"/>
        <v>0.00283622325112467</v>
      </c>
      <c r="R28" s="65">
        <f t="shared" si="17"/>
        <v>0.0495141121940944</v>
      </c>
      <c r="S28" s="65">
        <f t="shared" si="18"/>
        <v>1.5491887413594</v>
      </c>
      <c r="T28" s="65">
        <f t="shared" si="23"/>
        <v>0.0319613168313152</v>
      </c>
      <c r="U28" s="65">
        <f t="shared" si="19"/>
        <v>1626.29497227661</v>
      </c>
      <c r="V28" s="69">
        <f t="shared" si="20"/>
        <v>3.04459603197204e-5</v>
      </c>
      <c r="W28" s="69">
        <f t="shared" si="21"/>
        <v>1.39264549487805e-5</v>
      </c>
      <c r="X28" s="4"/>
      <c r="Y28" s="6"/>
    </row>
    <row r="29" ht="25" customHeight="1" spans="1:25">
      <c r="A29" s="111"/>
      <c r="B29" s="111"/>
      <c r="C29" s="54">
        <v>54</v>
      </c>
      <c r="D29" s="55">
        <v>0.594689333958517</v>
      </c>
      <c r="E29" s="76" t="s">
        <v>34</v>
      </c>
      <c r="F29" s="55">
        <v>2.09149505591736</v>
      </c>
      <c r="G29" s="59">
        <v>0.0302</v>
      </c>
      <c r="H29" s="61">
        <v>1000</v>
      </c>
      <c r="I29" s="59">
        <v>9.801</v>
      </c>
      <c r="J29" s="62">
        <v>4e-6</v>
      </c>
      <c r="K29" s="64">
        <v>0.00101</v>
      </c>
      <c r="L29" s="65" t="e">
        <f t="shared" si="22"/>
        <v>#VALUE!</v>
      </c>
      <c r="M29" s="66">
        <f t="shared" si="12"/>
        <v>0.00209149505591736</v>
      </c>
      <c r="N29" s="65">
        <f t="shared" si="13"/>
        <v>48.9846707818248</v>
      </c>
      <c r="O29" s="65">
        <f t="shared" si="14"/>
        <v>5.67854565921208</v>
      </c>
      <c r="P29" s="69">
        <f t="shared" si="15"/>
        <v>0.0198886167979504</v>
      </c>
      <c r="Q29" s="69">
        <f t="shared" si="16"/>
        <v>0.00284167550247441</v>
      </c>
      <c r="R29" s="65">
        <f t="shared" si="17"/>
        <v>0.0492296542282363</v>
      </c>
      <c r="S29" s="65">
        <f t="shared" si="18"/>
        <v>3.12316384508376</v>
      </c>
      <c r="T29" s="65">
        <f t="shared" si="23"/>
        <v>0.0157627510659518</v>
      </c>
      <c r="U29" s="65">
        <f t="shared" si="19"/>
        <v>3266.04087040627</v>
      </c>
      <c r="V29" s="69">
        <f t="shared" si="20"/>
        <v>1.50731898900311e-5</v>
      </c>
      <c r="W29" s="69">
        <f t="shared" si="21"/>
        <v>6.7765623582677e-6</v>
      </c>
      <c r="X29" s="4"/>
      <c r="Y29" s="6"/>
    </row>
    <row r="30" ht="25" customHeight="1" spans="1:25">
      <c r="A30" s="111"/>
      <c r="B30" s="111"/>
      <c r="C30" s="54">
        <v>55</v>
      </c>
      <c r="D30" s="55">
        <v>0.616903896608032</v>
      </c>
      <c r="E30" s="55">
        <v>-13.97951683482</v>
      </c>
      <c r="F30" s="55">
        <v>2.00797902117415</v>
      </c>
      <c r="G30" s="59">
        <v>0.0302</v>
      </c>
      <c r="H30" s="61">
        <v>1000</v>
      </c>
      <c r="I30" s="59">
        <v>9.801</v>
      </c>
      <c r="J30" s="62">
        <v>4e-6</v>
      </c>
      <c r="K30" s="64">
        <v>0.00101</v>
      </c>
      <c r="L30" s="65">
        <f t="shared" si="22"/>
        <v>-1.87517468381817</v>
      </c>
      <c r="M30" s="66">
        <f t="shared" si="12"/>
        <v>0.00200797902117415</v>
      </c>
      <c r="N30" s="65">
        <f t="shared" si="13"/>
        <v>50.6077758093399</v>
      </c>
      <c r="O30" s="65">
        <f t="shared" si="14"/>
        <v>5.2340971555774</v>
      </c>
      <c r="P30" s="69">
        <f t="shared" si="15"/>
        <v>0.0206315541580832</v>
      </c>
      <c r="Q30" s="69">
        <f t="shared" si="16"/>
        <v>0.00290016908596418</v>
      </c>
      <c r="R30" s="65">
        <f t="shared" si="17"/>
        <v>0.0463105862362868</v>
      </c>
      <c r="S30" s="65">
        <f t="shared" si="18"/>
        <v>2.67512880540913</v>
      </c>
      <c r="T30" s="65">
        <f t="shared" si="23"/>
        <v>0.0173115351091306</v>
      </c>
      <c r="U30" s="65">
        <f t="shared" si="19"/>
        <v>2685.8012601001</v>
      </c>
      <c r="V30" s="69">
        <f t="shared" si="20"/>
        <v>1.72427449954211e-5</v>
      </c>
      <c r="W30" s="69">
        <f t="shared" si="21"/>
        <v>6.45314099016643e-6</v>
      </c>
      <c r="X30" s="4"/>
      <c r="Y30" s="6"/>
    </row>
    <row r="31" ht="25" customHeight="1" spans="1:25">
      <c r="A31" s="111"/>
      <c r="B31" s="111"/>
      <c r="C31" s="54">
        <v>56</v>
      </c>
      <c r="D31" s="55">
        <v>1.17645914580751</v>
      </c>
      <c r="E31" s="55">
        <v>-14.4243720516871</v>
      </c>
      <c r="F31" s="55">
        <v>1.98494818465063</v>
      </c>
      <c r="G31" s="59">
        <v>0.0302</v>
      </c>
      <c r="H31" s="61">
        <v>1000</v>
      </c>
      <c r="I31" s="59">
        <v>9.801</v>
      </c>
      <c r="J31" s="62">
        <v>4e-6</v>
      </c>
      <c r="K31" s="64">
        <v>0.00101</v>
      </c>
      <c r="L31" s="65">
        <f t="shared" si="22"/>
        <v>-1.71941271103697</v>
      </c>
      <c r="M31" s="66">
        <f t="shared" si="12"/>
        <v>0.00198494818465063</v>
      </c>
      <c r="N31" s="65">
        <f t="shared" si="13"/>
        <v>181.939052074865</v>
      </c>
      <c r="O31" s="65">
        <f t="shared" si="14"/>
        <v>5.11471908842709</v>
      </c>
      <c r="P31" s="69">
        <f t="shared" si="15"/>
        <v>0.0393451568630988</v>
      </c>
      <c r="Q31" s="69">
        <f t="shared" si="16"/>
        <v>0.00291694551624121</v>
      </c>
      <c r="R31" s="65">
        <f t="shared" si="17"/>
        <v>0.0455161252223188</v>
      </c>
      <c r="S31" s="65">
        <f t="shared" si="18"/>
        <v>0.718796627202848</v>
      </c>
      <c r="T31" s="65">
        <f t="shared" si="23"/>
        <v>0.0633226750095391</v>
      </c>
      <c r="U31" s="65">
        <f t="shared" si="19"/>
        <v>713.387030149645</v>
      </c>
      <c r="V31" s="69">
        <f t="shared" si="20"/>
        <v>6.38028493632286e-5</v>
      </c>
      <c r="W31" s="69">
        <f t="shared" si="21"/>
        <v>2.26704341582156e-5</v>
      </c>
      <c r="X31" s="4"/>
      <c r="Y31" s="6"/>
    </row>
    <row r="32" ht="25" customHeight="1" spans="1:25">
      <c r="A32" s="111"/>
      <c r="B32" s="111"/>
      <c r="C32" s="54">
        <v>57</v>
      </c>
      <c r="D32" s="55">
        <v>0.720804587198689</v>
      </c>
      <c r="E32" s="55">
        <v>-10.1212507808833</v>
      </c>
      <c r="F32" s="55">
        <v>2.00659867762683</v>
      </c>
      <c r="G32" s="59">
        <v>0.0302</v>
      </c>
      <c r="H32" s="61">
        <v>1000</v>
      </c>
      <c r="I32" s="59">
        <v>9.801</v>
      </c>
      <c r="J32" s="62">
        <v>4e-6</v>
      </c>
      <c r="K32" s="64">
        <v>0.00101</v>
      </c>
      <c r="L32" s="65">
        <f t="shared" si="22"/>
        <v>0.248074596553454</v>
      </c>
      <c r="M32" s="66">
        <f t="shared" si="12"/>
        <v>0.00200659867762683</v>
      </c>
      <c r="N32" s="65">
        <f t="shared" si="13"/>
        <v>69.0428417133407</v>
      </c>
      <c r="O32" s="65">
        <f t="shared" si="14"/>
        <v>5.22690348585162</v>
      </c>
      <c r="P32" s="69">
        <f t="shared" si="15"/>
        <v>0.0241063785784992</v>
      </c>
      <c r="Q32" s="69">
        <f t="shared" si="16"/>
        <v>0.00290116643075157</v>
      </c>
      <c r="R32" s="65">
        <f t="shared" si="17"/>
        <v>0.0462628415653605</v>
      </c>
      <c r="S32" s="65">
        <f t="shared" si="18"/>
        <v>1.95680406646431</v>
      </c>
      <c r="T32" s="65">
        <f t="shared" si="23"/>
        <v>0.0236420407940748</v>
      </c>
      <c r="U32" s="65">
        <f t="shared" si="19"/>
        <v>1963.26022607104</v>
      </c>
      <c r="V32" s="69">
        <f t="shared" si="20"/>
        <v>2.35642942035981e-5</v>
      </c>
      <c r="W32" s="69">
        <f t="shared" si="21"/>
        <v>8.79174862968932e-6</v>
      </c>
      <c r="X32" s="4"/>
      <c r="Y32" s="6"/>
    </row>
    <row r="33" ht="25" customHeight="1" spans="1:25">
      <c r="A33" s="111"/>
      <c r="B33" s="111"/>
      <c r="C33" s="54">
        <v>58</v>
      </c>
      <c r="D33" s="55">
        <v>0.728891351645135</v>
      </c>
      <c r="E33" s="55">
        <v>-12.1237456072811</v>
      </c>
      <c r="F33" s="55">
        <v>1.98118568043834</v>
      </c>
      <c r="G33" s="59">
        <v>0.0302</v>
      </c>
      <c r="H33" s="61">
        <v>1000</v>
      </c>
      <c r="I33" s="59">
        <v>9.801</v>
      </c>
      <c r="J33" s="62">
        <v>4e-6</v>
      </c>
      <c r="K33" s="64">
        <v>0.00101</v>
      </c>
      <c r="L33" s="65">
        <f t="shared" si="22"/>
        <v>-0.783625770182088</v>
      </c>
      <c r="M33" s="66">
        <f t="shared" si="12"/>
        <v>0.00198118568043834</v>
      </c>
      <c r="N33" s="65">
        <f t="shared" si="13"/>
        <v>69.7065883672252</v>
      </c>
      <c r="O33" s="65">
        <f t="shared" si="14"/>
        <v>5.09534738547879</v>
      </c>
      <c r="P33" s="69">
        <f t="shared" si="15"/>
        <v>0.024376829972238</v>
      </c>
      <c r="Q33" s="69">
        <f t="shared" si="16"/>
        <v>0.00291971401344201</v>
      </c>
      <c r="R33" s="65">
        <f t="shared" si="17"/>
        <v>0.0453867716443436</v>
      </c>
      <c r="S33" s="65">
        <f t="shared" si="18"/>
        <v>1.86546089063529</v>
      </c>
      <c r="T33" s="65">
        <f t="shared" si="23"/>
        <v>0.0243300579884507</v>
      </c>
      <c r="U33" s="65">
        <f t="shared" si="19"/>
        <v>1847.9122019722</v>
      </c>
      <c r="V33" s="69">
        <f t="shared" si="20"/>
        <v>2.45611082582301e-5</v>
      </c>
      <c r="W33" s="69">
        <f t="shared" si="21"/>
        <v>8.65286143941666e-6</v>
      </c>
      <c r="X33" s="4"/>
      <c r="Y33" s="6"/>
    </row>
    <row r="34" ht="25" customHeight="1" spans="1:25">
      <c r="A34" s="111"/>
      <c r="B34" s="111"/>
      <c r="C34" s="54">
        <v>59</v>
      </c>
      <c r="D34" s="55">
        <v>0.440889958896289</v>
      </c>
      <c r="E34" s="76" t="s">
        <v>34</v>
      </c>
      <c r="F34" s="55">
        <v>2.25471248226262</v>
      </c>
      <c r="G34" s="59">
        <v>0.0302</v>
      </c>
      <c r="H34" s="61">
        <v>1000</v>
      </c>
      <c r="I34" s="59">
        <v>9.801</v>
      </c>
      <c r="J34" s="62">
        <v>4e-6</v>
      </c>
      <c r="K34" s="64">
        <v>0.00101</v>
      </c>
      <c r="L34" s="65" t="e">
        <f t="shared" si="22"/>
        <v>#VALUE!</v>
      </c>
      <c r="M34" s="66">
        <f t="shared" si="12"/>
        <v>0.00225471248226262</v>
      </c>
      <c r="N34" s="65">
        <f t="shared" si="13"/>
        <v>29.0251610343803</v>
      </c>
      <c r="O34" s="65">
        <f t="shared" si="14"/>
        <v>6.59942010987446</v>
      </c>
      <c r="P34" s="69">
        <f t="shared" si="15"/>
        <v>0.0147449953140812</v>
      </c>
      <c r="Q34" s="69">
        <f t="shared" si="16"/>
        <v>0.0027368898559315</v>
      </c>
      <c r="R34" s="65">
        <f t="shared" si="17"/>
        <v>0.0551033846620138</v>
      </c>
      <c r="S34" s="65">
        <f t="shared" si="18"/>
        <v>6.60363870933694</v>
      </c>
      <c r="T34" s="65">
        <f t="shared" si="23"/>
        <v>0.00834439724633976</v>
      </c>
      <c r="U34" s="65">
        <f t="shared" si="19"/>
        <v>7444.65331314731</v>
      </c>
      <c r="V34" s="69">
        <f t="shared" si="20"/>
        <v>7.40173952287353e-6</v>
      </c>
      <c r="W34" s="69">
        <f t="shared" si="21"/>
        <v>4.66651361340249e-6</v>
      </c>
      <c r="X34" s="4"/>
      <c r="Y34" s="6"/>
    </row>
    <row r="35" ht="25" customHeight="1" spans="1:25">
      <c r="A35" s="111"/>
      <c r="B35" s="111"/>
      <c r="C35" s="54">
        <v>60</v>
      </c>
      <c r="D35" s="55">
        <v>0.456876595583573</v>
      </c>
      <c r="E35" s="76" t="s">
        <v>34</v>
      </c>
      <c r="F35" s="55">
        <v>2.17396943901787</v>
      </c>
      <c r="G35" s="59">
        <v>0.0302</v>
      </c>
      <c r="H35" s="61">
        <v>1000</v>
      </c>
      <c r="I35" s="59">
        <v>9.801</v>
      </c>
      <c r="J35" s="62">
        <v>4e-6</v>
      </c>
      <c r="K35" s="64">
        <v>0.00101</v>
      </c>
      <c r="L35" s="65" t="e">
        <f t="shared" si="22"/>
        <v>#VALUE!</v>
      </c>
      <c r="M35" s="66">
        <f t="shared" si="12"/>
        <v>0.00217396943901787</v>
      </c>
      <c r="N35" s="65">
        <f t="shared" si="13"/>
        <v>30.0520642983501</v>
      </c>
      <c r="O35" s="65">
        <f t="shared" si="14"/>
        <v>6.13522234921878</v>
      </c>
      <c r="P35" s="69">
        <f t="shared" si="15"/>
        <v>0.015279647733093</v>
      </c>
      <c r="Q35" s="69">
        <f t="shared" si="16"/>
        <v>0.00278725168810668</v>
      </c>
      <c r="R35" s="65">
        <f t="shared" si="17"/>
        <v>0.0521701005719814</v>
      </c>
      <c r="S35" s="65">
        <f t="shared" si="18"/>
        <v>5.71702945331962</v>
      </c>
      <c r="T35" s="65">
        <f t="shared" si="23"/>
        <v>0.00912538600648429</v>
      </c>
      <c r="U35" s="65">
        <f t="shared" si="19"/>
        <v>6214.32365674095</v>
      </c>
      <c r="V35" s="69">
        <f t="shared" si="20"/>
        <v>8.39513733974738e-6</v>
      </c>
      <c r="W35" s="69">
        <f t="shared" si="21"/>
        <v>4.49176202912594e-6</v>
      </c>
      <c r="X35" s="4"/>
      <c r="Y35" s="6"/>
    </row>
    <row r="36" ht="25" customHeight="1" spans="1:25">
      <c r="A36" s="111"/>
      <c r="B36" s="111"/>
      <c r="C36" s="54">
        <v>61</v>
      </c>
      <c r="D36" s="55">
        <v>0.958670797549637</v>
      </c>
      <c r="E36" s="55">
        <v>0.239926808823828</v>
      </c>
      <c r="F36" s="55">
        <v>2.15492154926932</v>
      </c>
      <c r="G36" s="59">
        <v>0.0302</v>
      </c>
      <c r="H36" s="61">
        <v>1000</v>
      </c>
      <c r="I36" s="59">
        <v>9.801</v>
      </c>
      <c r="J36" s="62">
        <v>4e-6</v>
      </c>
      <c r="K36" s="64">
        <v>0.00101</v>
      </c>
      <c r="L36" s="65">
        <f t="shared" si="22"/>
        <v>6.73669622019967</v>
      </c>
      <c r="M36" s="66">
        <f t="shared" si="12"/>
        <v>0.00215492154926932</v>
      </c>
      <c r="N36" s="65">
        <f t="shared" si="13"/>
        <v>131.157615843054</v>
      </c>
      <c r="O36" s="65">
        <f t="shared" si="14"/>
        <v>6.02818213844176</v>
      </c>
      <c r="P36" s="69">
        <f t="shared" si="15"/>
        <v>0.032061506805468</v>
      </c>
      <c r="Q36" s="69">
        <f t="shared" si="16"/>
        <v>0.0027995431928282</v>
      </c>
      <c r="R36" s="65">
        <f t="shared" si="17"/>
        <v>0.0514859485320509</v>
      </c>
      <c r="S36" s="65">
        <f t="shared" si="18"/>
        <v>1.27580797920037</v>
      </c>
      <c r="T36" s="65">
        <f t="shared" si="23"/>
        <v>0.0403555624133346</v>
      </c>
      <c r="U36" s="65">
        <f t="shared" si="19"/>
        <v>1374.63305355431</v>
      </c>
      <c r="V36" s="69">
        <f t="shared" si="20"/>
        <v>3.74543216452758e-5</v>
      </c>
      <c r="W36" s="69">
        <f t="shared" si="21"/>
        <v>1.92615841661487e-5</v>
      </c>
      <c r="X36" s="4"/>
      <c r="Y36" s="6"/>
    </row>
    <row r="37" ht="25" customHeight="1" spans="1:25">
      <c r="A37" s="111"/>
      <c r="B37" s="111"/>
      <c r="C37" s="54">
        <v>62</v>
      </c>
      <c r="D37" s="55">
        <v>0.548373697696861</v>
      </c>
      <c r="E37" s="55">
        <v>-3.09583019582868</v>
      </c>
      <c r="F37" s="55">
        <v>2.17410467374145</v>
      </c>
      <c r="G37" s="59">
        <v>0.0302</v>
      </c>
      <c r="H37" s="61">
        <v>1000</v>
      </c>
      <c r="I37" s="59">
        <v>9.801</v>
      </c>
      <c r="J37" s="62">
        <v>4e-6</v>
      </c>
      <c r="K37" s="64">
        <v>0.00101</v>
      </c>
      <c r="L37" s="65">
        <f t="shared" si="22"/>
        <v>4.51162710465988</v>
      </c>
      <c r="M37" s="66">
        <f t="shared" si="12"/>
        <v>0.00217410467374145</v>
      </c>
      <c r="N37" s="65">
        <f t="shared" si="13"/>
        <v>43.2968932069873</v>
      </c>
      <c r="O37" s="65">
        <f t="shared" si="14"/>
        <v>6.13598567264896</v>
      </c>
      <c r="P37" s="69">
        <f t="shared" si="15"/>
        <v>0.0183396501547626</v>
      </c>
      <c r="Q37" s="69">
        <f t="shared" si="16"/>
        <v>0.00278716499976139</v>
      </c>
      <c r="R37" s="65">
        <f t="shared" si="17"/>
        <v>0.0521749686157004</v>
      </c>
      <c r="S37" s="65">
        <f t="shared" si="18"/>
        <v>3.96888988432388</v>
      </c>
      <c r="T37" s="65">
        <f t="shared" si="23"/>
        <v>0.0131459854358213</v>
      </c>
      <c r="U37" s="65">
        <f t="shared" si="19"/>
        <v>4314.39102353686</v>
      </c>
      <c r="V37" s="69">
        <f t="shared" si="20"/>
        <v>1.20932405827528e-5</v>
      </c>
      <c r="W37" s="69">
        <f t="shared" si="21"/>
        <v>6.47221886028436e-6</v>
      </c>
      <c r="X37" s="4"/>
      <c r="Y37" s="6"/>
    </row>
    <row r="38" ht="25" customHeight="1" spans="1:25">
      <c r="A38" s="111"/>
      <c r="B38" s="111"/>
      <c r="C38" s="54">
        <v>63</v>
      </c>
      <c r="D38" s="55">
        <v>0.668532759232426</v>
      </c>
      <c r="E38" s="55">
        <v>-3.33526910502566</v>
      </c>
      <c r="F38" s="55">
        <v>2.16744375255596</v>
      </c>
      <c r="G38" s="59">
        <v>0.0302</v>
      </c>
      <c r="H38" s="61">
        <v>1000</v>
      </c>
      <c r="I38" s="59">
        <v>9.801</v>
      </c>
      <c r="J38" s="62">
        <v>4e-6</v>
      </c>
      <c r="K38" s="64">
        <v>0.00101</v>
      </c>
      <c r="L38" s="65">
        <f t="shared" si="22"/>
        <v>4.40934315155023</v>
      </c>
      <c r="M38" s="66">
        <f t="shared" si="12"/>
        <v>0.00216744375255596</v>
      </c>
      <c r="N38" s="65">
        <f t="shared" si="13"/>
        <v>64.1528973328695</v>
      </c>
      <c r="O38" s="65">
        <f t="shared" si="14"/>
        <v>6.09844497129276</v>
      </c>
      <c r="P38" s="69">
        <f t="shared" si="15"/>
        <v>0.0223582147955215</v>
      </c>
      <c r="Q38" s="69">
        <f t="shared" si="16"/>
        <v>0.00279144442912026</v>
      </c>
      <c r="R38" s="65">
        <f t="shared" si="17"/>
        <v>0.0519353754860972</v>
      </c>
      <c r="S38" s="65">
        <f t="shared" si="18"/>
        <v>2.65406568955823</v>
      </c>
      <c r="T38" s="65">
        <f t="shared" si="23"/>
        <v>0.0195682328777408</v>
      </c>
      <c r="U38" s="65">
        <f t="shared" si="19"/>
        <v>2876.26904885305</v>
      </c>
      <c r="V38" s="69">
        <f t="shared" si="20"/>
        <v>1.80565081374453e-5</v>
      </c>
      <c r="W38" s="69">
        <f t="shared" si="21"/>
        <v>9.53119835697429e-6</v>
      </c>
      <c r="X38" s="4"/>
      <c r="Y38" s="6"/>
    </row>
    <row r="39" ht="25" customHeight="1" spans="1:25">
      <c r="A39" s="111"/>
      <c r="B39" s="111"/>
      <c r="C39" s="54">
        <v>64</v>
      </c>
      <c r="D39" s="55">
        <v>0.543662457590358</v>
      </c>
      <c r="E39" s="55">
        <v>-1.1218535902834</v>
      </c>
      <c r="F39" s="55">
        <v>2.09332557239659</v>
      </c>
      <c r="G39" s="59">
        <v>0.0302</v>
      </c>
      <c r="H39" s="61">
        <v>1000</v>
      </c>
      <c r="I39" s="59">
        <v>9.801</v>
      </c>
      <c r="J39" s="62">
        <v>4e-6</v>
      </c>
      <c r="K39" s="64">
        <v>0.00101</v>
      </c>
      <c r="L39" s="65">
        <f t="shared" si="22"/>
        <v>5.34894498148039</v>
      </c>
      <c r="M39" s="66">
        <f t="shared" si="12"/>
        <v>0.00209332557239659</v>
      </c>
      <c r="N39" s="65">
        <f t="shared" si="13"/>
        <v>40.9749582354826</v>
      </c>
      <c r="O39" s="65">
        <f t="shared" si="14"/>
        <v>5.68848995258772</v>
      </c>
      <c r="P39" s="69">
        <f t="shared" si="15"/>
        <v>0.0181820888134524</v>
      </c>
      <c r="Q39" s="69">
        <f t="shared" si="16"/>
        <v>0.00284043277378209</v>
      </c>
      <c r="R39" s="65">
        <f t="shared" si="17"/>
        <v>0.0492942984701238</v>
      </c>
      <c r="S39" s="65">
        <f t="shared" si="18"/>
        <v>3.74348633587046</v>
      </c>
      <c r="T39" s="65">
        <f t="shared" si="23"/>
        <v>0.0131680188058337</v>
      </c>
      <c r="U39" s="65">
        <f t="shared" si="19"/>
        <v>3918.16783839742</v>
      </c>
      <c r="V39" s="69">
        <f t="shared" si="20"/>
        <v>1.25809563304174e-5</v>
      </c>
      <c r="W39" s="69">
        <f t="shared" si="21"/>
        <v>5.6784216559457e-6</v>
      </c>
      <c r="X39" s="4"/>
      <c r="Y39" s="6"/>
    </row>
    <row r="40" ht="25" customHeight="1" spans="1:25">
      <c r="A40" s="111"/>
      <c r="B40" s="111"/>
      <c r="C40" s="54">
        <v>65</v>
      </c>
      <c r="D40" s="55">
        <v>0.476753154840519</v>
      </c>
      <c r="E40" s="55">
        <v>-4.1506613047098</v>
      </c>
      <c r="F40" s="55">
        <v>2.12906697460238</v>
      </c>
      <c r="G40" s="59">
        <v>0.0302</v>
      </c>
      <c r="H40" s="61">
        <v>1000</v>
      </c>
      <c r="I40" s="59">
        <v>9.801</v>
      </c>
      <c r="J40" s="62">
        <v>4e-6</v>
      </c>
      <c r="K40" s="64">
        <v>0.00101</v>
      </c>
      <c r="L40" s="65">
        <f t="shared" si="22"/>
        <v>3.66342422282085</v>
      </c>
      <c r="M40" s="66">
        <f t="shared" ref="M40:M50" si="24">F40/1000</f>
        <v>0.00212906697460238</v>
      </c>
      <c r="N40" s="65">
        <f t="shared" ref="N40:N50" si="25">H40*2*M40*D40^2/G40</f>
        <v>32.0478963451122</v>
      </c>
      <c r="O40" s="65">
        <f t="shared" ref="O40:O50" si="26">H40*I40*(M40*2)^2/G40</f>
        <v>5.88439861101181</v>
      </c>
      <c r="P40" s="69">
        <f t="shared" ref="P40:P50" si="27">K40*D40/G40</f>
        <v>0.0159443935890372</v>
      </c>
      <c r="Q40" s="69">
        <f t="shared" ref="Q40:Q50" si="28">K40/SQRT(H40*G40*M40*2)</f>
        <v>0.00281649018927655</v>
      </c>
      <c r="R40" s="65">
        <f t="shared" ref="R40:R50" si="29">SQRT(H40*8*(M40^3)/G40)</f>
        <v>0.0505621470149803</v>
      </c>
      <c r="S40" s="65">
        <f t="shared" ref="S40:S50" si="30">K40*(2*M40)^2/(H40*(D40*J40)^2)</f>
        <v>5.03561916760947</v>
      </c>
      <c r="T40" s="65">
        <f t="shared" ref="T40:T50" si="31">R40/S40</f>
        <v>0.010040899705087</v>
      </c>
      <c r="U40" s="65">
        <f t="shared" ref="U40:U50" si="32">K40*(2*M40)^3/(H40*(D40)^2*(J40)^3)</f>
        <v>5360.58523321602</v>
      </c>
      <c r="V40" s="69">
        <f t="shared" ref="V40:V50" si="33">R40/U40</f>
        <v>9.43220652507864e-6</v>
      </c>
      <c r="W40" s="69">
        <f t="shared" ref="W40:W50" si="34">0.5*H40*(4/3)*PI()*M40^3*D40^2</f>
        <v>4.59424059495068e-6</v>
      </c>
      <c r="X40" s="4"/>
      <c r="Y40" s="6"/>
    </row>
    <row r="41" ht="25" customHeight="1" spans="1:25">
      <c r="A41" s="111"/>
      <c r="B41" s="111"/>
      <c r="C41" s="54">
        <v>66</v>
      </c>
      <c r="D41" s="55">
        <v>0.525739871850274</v>
      </c>
      <c r="E41" s="55">
        <v>-5.05538010220109</v>
      </c>
      <c r="F41" s="55">
        <v>2.09968478604059</v>
      </c>
      <c r="G41" s="59">
        <v>0.0302</v>
      </c>
      <c r="H41" s="61">
        <v>1000</v>
      </c>
      <c r="I41" s="59">
        <v>9.801</v>
      </c>
      <c r="J41" s="62">
        <v>4e-6</v>
      </c>
      <c r="K41" s="64">
        <v>0.00101</v>
      </c>
      <c r="L41" s="65">
        <f t="shared" si="22"/>
        <v>3.07185358512427</v>
      </c>
      <c r="M41" s="66">
        <f t="shared" si="24"/>
        <v>0.00209968478604059</v>
      </c>
      <c r="N41" s="65">
        <f t="shared" si="25"/>
        <v>38.4343007346128</v>
      </c>
      <c r="O41" s="65">
        <f t="shared" si="26"/>
        <v>5.72310403223283</v>
      </c>
      <c r="P41" s="69">
        <f t="shared" si="27"/>
        <v>0.0175826910784363</v>
      </c>
      <c r="Q41" s="69">
        <f t="shared" si="28"/>
        <v>0.00283612817142176</v>
      </c>
      <c r="R41" s="65">
        <f t="shared" si="29"/>
        <v>0.0495190921646253</v>
      </c>
      <c r="S41" s="65">
        <f t="shared" si="30"/>
        <v>4.0274277246482</v>
      </c>
      <c r="T41" s="65">
        <f t="shared" si="31"/>
        <v>0.0122954638916458</v>
      </c>
      <c r="U41" s="65">
        <f t="shared" si="32"/>
        <v>4228.16436016095</v>
      </c>
      <c r="V41" s="69">
        <f t="shared" si="33"/>
        <v>1.17117235628797e-5</v>
      </c>
      <c r="W41" s="69">
        <f t="shared" si="34"/>
        <v>5.35874076145345e-6</v>
      </c>
      <c r="X41" s="4"/>
      <c r="Y41" s="6"/>
    </row>
    <row r="42" ht="25" customHeight="1" spans="1:25">
      <c r="A42" s="111"/>
      <c r="B42" s="111"/>
      <c r="C42" s="54">
        <v>67</v>
      </c>
      <c r="D42" s="55">
        <v>0.474403087020266</v>
      </c>
      <c r="E42" s="55">
        <v>-4.63338976189359</v>
      </c>
      <c r="F42" s="55">
        <v>2.06478955683072</v>
      </c>
      <c r="G42" s="59">
        <v>0.0302</v>
      </c>
      <c r="H42" s="61">
        <v>1000</v>
      </c>
      <c r="I42" s="59">
        <v>9.801</v>
      </c>
      <c r="J42" s="62">
        <v>4e-6</v>
      </c>
      <c r="K42" s="64">
        <v>0.00101</v>
      </c>
      <c r="L42" s="65">
        <f t="shared" si="22"/>
        <v>3.18815960155166</v>
      </c>
      <c r="M42" s="66">
        <f t="shared" si="24"/>
        <v>0.00206478955683072</v>
      </c>
      <c r="N42" s="65">
        <f t="shared" si="25"/>
        <v>30.7747023014864</v>
      </c>
      <c r="O42" s="65">
        <f t="shared" si="26"/>
        <v>5.53445712756113</v>
      </c>
      <c r="P42" s="69">
        <f t="shared" si="27"/>
        <v>0.0158657986056447</v>
      </c>
      <c r="Q42" s="69">
        <f t="shared" si="28"/>
        <v>0.00285999324238481</v>
      </c>
      <c r="R42" s="65">
        <f t="shared" si="29"/>
        <v>0.0482897786293596</v>
      </c>
      <c r="S42" s="65">
        <f t="shared" si="30"/>
        <v>4.78319360371101</v>
      </c>
      <c r="T42" s="65">
        <f t="shared" si="31"/>
        <v>0.0100957190174979</v>
      </c>
      <c r="U42" s="65">
        <f t="shared" si="32"/>
        <v>4938.14410062099</v>
      </c>
      <c r="V42" s="69">
        <f t="shared" si="33"/>
        <v>9.77893266081218e-6</v>
      </c>
      <c r="W42" s="69">
        <f t="shared" si="34"/>
        <v>4.14935900051418e-6</v>
      </c>
      <c r="X42" s="4"/>
      <c r="Y42" s="6"/>
    </row>
    <row r="43" ht="25" customHeight="1" spans="1:25">
      <c r="A43" s="111"/>
      <c r="B43" s="111"/>
      <c r="C43" s="54">
        <v>68</v>
      </c>
      <c r="D43" s="55">
        <v>0.480671267552308</v>
      </c>
      <c r="E43" s="55">
        <v>-3.14964695330669</v>
      </c>
      <c r="F43" s="55">
        <v>2.10181737041734</v>
      </c>
      <c r="G43" s="59">
        <v>0.0302</v>
      </c>
      <c r="H43" s="61">
        <v>1000</v>
      </c>
      <c r="I43" s="59">
        <v>9.801</v>
      </c>
      <c r="J43" s="62">
        <v>4e-6</v>
      </c>
      <c r="K43" s="64">
        <v>0.00101</v>
      </c>
      <c r="L43" s="65">
        <f t="shared" si="22"/>
        <v>4.16541640929376</v>
      </c>
      <c r="M43" s="66">
        <f t="shared" si="24"/>
        <v>0.00210181737041734</v>
      </c>
      <c r="N43" s="65">
        <f t="shared" si="25"/>
        <v>32.159875215424</v>
      </c>
      <c r="O43" s="65">
        <f t="shared" si="26"/>
        <v>5.73473549277107</v>
      </c>
      <c r="P43" s="69">
        <f t="shared" si="27"/>
        <v>0.0160754298088686</v>
      </c>
      <c r="Q43" s="69">
        <f t="shared" si="28"/>
        <v>0.0028346889841504</v>
      </c>
      <c r="R43" s="65">
        <f t="shared" si="29"/>
        <v>0.0495945538146652</v>
      </c>
      <c r="S43" s="65">
        <f t="shared" si="30"/>
        <v>4.82786381538307</v>
      </c>
      <c r="T43" s="65">
        <f t="shared" si="31"/>
        <v>0.0102725668558922</v>
      </c>
      <c r="U43" s="65">
        <f t="shared" si="32"/>
        <v>5073.64401459073</v>
      </c>
      <c r="V43" s="69">
        <f t="shared" si="33"/>
        <v>9.77493763299942e-6</v>
      </c>
      <c r="W43" s="69">
        <f t="shared" si="34"/>
        <v>4.49303570419326e-6</v>
      </c>
      <c r="X43" s="4"/>
      <c r="Y43" s="6"/>
    </row>
    <row r="44" ht="25" customHeight="1" spans="1:25">
      <c r="A44" s="111"/>
      <c r="B44" s="111"/>
      <c r="C44" s="54">
        <v>69</v>
      </c>
      <c r="D44" s="55">
        <v>0.372745951747551</v>
      </c>
      <c r="E44" s="55">
        <v>2.09440747549454</v>
      </c>
      <c r="F44" s="55">
        <v>1.94203202032561</v>
      </c>
      <c r="G44" s="59">
        <v>0.0302</v>
      </c>
      <c r="H44" s="61">
        <v>1000</v>
      </c>
      <c r="I44" s="59">
        <v>9.801</v>
      </c>
      <c r="J44" s="62">
        <v>4e-6</v>
      </c>
      <c r="K44" s="64">
        <v>0.00101</v>
      </c>
      <c r="L44" s="65">
        <f t="shared" si="22"/>
        <v>6.15199386935528</v>
      </c>
      <c r="M44" s="66">
        <f t="shared" si="24"/>
        <v>0.00194203202032561</v>
      </c>
      <c r="N44" s="65">
        <f t="shared" si="25"/>
        <v>17.869208238031</v>
      </c>
      <c r="O44" s="65">
        <f t="shared" si="26"/>
        <v>4.89594138999651</v>
      </c>
      <c r="P44" s="69">
        <f t="shared" si="27"/>
        <v>0.0124660069955307</v>
      </c>
      <c r="Q44" s="69">
        <f t="shared" si="28"/>
        <v>0.00294899958422644</v>
      </c>
      <c r="R44" s="65">
        <f t="shared" si="29"/>
        <v>0.0440479906101319</v>
      </c>
      <c r="S44" s="65">
        <f t="shared" si="30"/>
        <v>6.85406603308357</v>
      </c>
      <c r="T44" s="65">
        <f t="shared" si="31"/>
        <v>0.00642654891235636</v>
      </c>
      <c r="U44" s="65">
        <f t="shared" si="32"/>
        <v>6655.40785283721</v>
      </c>
      <c r="V44" s="69">
        <f t="shared" si="33"/>
        <v>6.61837585075333e-6</v>
      </c>
      <c r="W44" s="69">
        <f t="shared" si="34"/>
        <v>2.13134445497007e-6</v>
      </c>
      <c r="X44" s="4"/>
      <c r="Y44" s="6"/>
    </row>
    <row r="45" ht="25" customHeight="1" spans="1:25">
      <c r="A45" s="111"/>
      <c r="B45" s="111"/>
      <c r="C45" s="85">
        <v>70</v>
      </c>
      <c r="D45" s="55">
        <v>0</v>
      </c>
      <c r="E45" s="55">
        <v>0</v>
      </c>
      <c r="F45" s="55">
        <v>0</v>
      </c>
      <c r="G45" s="59">
        <v>0.0302</v>
      </c>
      <c r="H45" s="61">
        <v>1000</v>
      </c>
      <c r="I45" s="59">
        <v>9.801</v>
      </c>
      <c r="J45" s="62">
        <v>4e-6</v>
      </c>
      <c r="K45" s="64">
        <v>0.00101</v>
      </c>
      <c r="L45" s="65"/>
      <c r="M45" s="66">
        <f t="shared" si="24"/>
        <v>0</v>
      </c>
      <c r="N45" s="65">
        <f t="shared" si="25"/>
        <v>0</v>
      </c>
      <c r="O45" s="65">
        <f t="shared" si="26"/>
        <v>0</v>
      </c>
      <c r="P45" s="69">
        <f t="shared" si="27"/>
        <v>0</v>
      </c>
      <c r="Q45" s="69" t="e">
        <f t="shared" si="28"/>
        <v>#DIV/0!</v>
      </c>
      <c r="R45" s="65">
        <f t="shared" si="29"/>
        <v>0</v>
      </c>
      <c r="S45" s="65" t="e">
        <f t="shared" si="30"/>
        <v>#DIV/0!</v>
      </c>
      <c r="T45" s="65" t="e">
        <f t="shared" si="31"/>
        <v>#DIV/0!</v>
      </c>
      <c r="U45" s="65" t="e">
        <f t="shared" si="32"/>
        <v>#DIV/0!</v>
      </c>
      <c r="V45" s="69" t="e">
        <f t="shared" si="33"/>
        <v>#DIV/0!</v>
      </c>
      <c r="W45" s="69">
        <f t="shared" si="34"/>
        <v>0</v>
      </c>
      <c r="X45" s="21" t="s">
        <v>104</v>
      </c>
      <c r="Y45" s="1"/>
    </row>
    <row r="46" ht="25" customHeight="1" spans="1:25">
      <c r="A46" s="111"/>
      <c r="B46" s="111"/>
      <c r="C46" s="54">
        <v>71</v>
      </c>
      <c r="D46" s="55">
        <v>0.296756656458039</v>
      </c>
      <c r="E46" s="55">
        <v>-6.99665336317497</v>
      </c>
      <c r="F46" s="55">
        <v>2.08313405838845</v>
      </c>
      <c r="G46" s="59">
        <v>0.0302</v>
      </c>
      <c r="H46" s="61">
        <v>1000</v>
      </c>
      <c r="I46" s="59">
        <v>9.801</v>
      </c>
      <c r="J46" s="62">
        <v>4e-6</v>
      </c>
      <c r="K46" s="64">
        <v>0.00101</v>
      </c>
      <c r="L46" s="65">
        <f>O46*(1+E46/9.801)-7.5*M46+18*P46</f>
        <v>1.77484987476586</v>
      </c>
      <c r="M46" s="66">
        <f t="shared" si="24"/>
        <v>0.00208313405838845</v>
      </c>
      <c r="N46" s="65">
        <f t="shared" si="25"/>
        <v>12.149018985606</v>
      </c>
      <c r="O46" s="65">
        <f t="shared" si="26"/>
        <v>5.63323509915774</v>
      </c>
      <c r="P46" s="69">
        <f t="shared" si="27"/>
        <v>0.00992464314644435</v>
      </c>
      <c r="Q46" s="69">
        <f t="shared" si="28"/>
        <v>0.00284737255521248</v>
      </c>
      <c r="R46" s="65">
        <f t="shared" si="29"/>
        <v>0.0489347474500706</v>
      </c>
      <c r="S46" s="65">
        <f t="shared" si="30"/>
        <v>12.4421342473602</v>
      </c>
      <c r="T46" s="65">
        <f t="shared" si="31"/>
        <v>0.00393298661445103</v>
      </c>
      <c r="U46" s="65">
        <f t="shared" si="32"/>
        <v>12959.3168048587</v>
      </c>
      <c r="V46" s="69">
        <f t="shared" si="33"/>
        <v>3.77602833443534e-6</v>
      </c>
      <c r="W46" s="69">
        <f t="shared" si="34"/>
        <v>1.66729025075928e-6</v>
      </c>
      <c r="X46" s="4"/>
      <c r="Y46" s="6"/>
    </row>
    <row r="47" ht="25" customHeight="1" spans="1:25">
      <c r="A47" s="111"/>
      <c r="B47" s="111"/>
      <c r="C47" s="54">
        <v>72</v>
      </c>
      <c r="D47" s="55">
        <v>0.465605320147075</v>
      </c>
      <c r="E47" s="55">
        <v>-4.47465861026854</v>
      </c>
      <c r="F47" s="55">
        <v>2.12028775100982</v>
      </c>
      <c r="G47" s="59">
        <v>0.0302</v>
      </c>
      <c r="H47" s="61">
        <v>1000</v>
      </c>
      <c r="I47" s="59">
        <v>9.801</v>
      </c>
      <c r="J47" s="62">
        <v>4e-6</v>
      </c>
      <c r="K47" s="64">
        <v>0.00101</v>
      </c>
      <c r="L47" s="65">
        <f>O47*(1+E47/9.801)-7.5*M47+18*P47</f>
        <v>3.43593676133543</v>
      </c>
      <c r="M47" s="66">
        <f t="shared" si="24"/>
        <v>0.00212028775100982</v>
      </c>
      <c r="N47" s="65">
        <f t="shared" si="25"/>
        <v>30.4406362286586</v>
      </c>
      <c r="O47" s="65">
        <f t="shared" si="26"/>
        <v>5.83596994192761</v>
      </c>
      <c r="P47" s="69">
        <f t="shared" si="27"/>
        <v>0.0155715686539254</v>
      </c>
      <c r="Q47" s="69">
        <f t="shared" si="28"/>
        <v>0.00282231511901522</v>
      </c>
      <c r="R47" s="65">
        <f t="shared" si="29"/>
        <v>0.0502497295463752</v>
      </c>
      <c r="S47" s="65">
        <f t="shared" si="30"/>
        <v>5.23618669942108</v>
      </c>
      <c r="T47" s="65">
        <f t="shared" si="31"/>
        <v>0.00959662678795063</v>
      </c>
      <c r="U47" s="65">
        <f t="shared" si="32"/>
        <v>5551.11126039153</v>
      </c>
      <c r="V47" s="69">
        <f t="shared" si="33"/>
        <v>9.0521928293743e-6</v>
      </c>
      <c r="W47" s="69">
        <f t="shared" si="34"/>
        <v>4.3279167173007e-6</v>
      </c>
      <c r="X47" s="4"/>
      <c r="Y47" s="6"/>
    </row>
    <row r="48" ht="25" customHeight="1" spans="1:25">
      <c r="A48" s="111"/>
      <c r="B48" s="111"/>
      <c r="C48" s="54">
        <v>73</v>
      </c>
      <c r="D48" s="55">
        <v>0.219172785221219</v>
      </c>
      <c r="E48" s="55">
        <v>-0.895379256655757</v>
      </c>
      <c r="F48" s="55">
        <v>2.0990378289909</v>
      </c>
      <c r="G48" s="59">
        <v>0.0302</v>
      </c>
      <c r="H48" s="61">
        <v>1000</v>
      </c>
      <c r="I48" s="59">
        <v>9.801</v>
      </c>
      <c r="J48" s="62">
        <v>4e-6</v>
      </c>
      <c r="K48" s="64">
        <v>0.00101</v>
      </c>
      <c r="L48" s="65">
        <f>O48*(1+E48/9.801)-7.5*M48+18*P48</f>
        <v>5.3132568672963</v>
      </c>
      <c r="M48" s="66">
        <f t="shared" si="24"/>
        <v>0.0020990378289909</v>
      </c>
      <c r="N48" s="65">
        <f t="shared" si="25"/>
        <v>6.67754112661533</v>
      </c>
      <c r="O48" s="65">
        <f t="shared" si="26"/>
        <v>5.71957775809919</v>
      </c>
      <c r="P48" s="69">
        <f t="shared" si="27"/>
        <v>0.0073299507640209</v>
      </c>
      <c r="Q48" s="69">
        <f t="shared" si="28"/>
        <v>0.00283656520779337</v>
      </c>
      <c r="R48" s="65">
        <f t="shared" si="29"/>
        <v>0.0494962071167893</v>
      </c>
      <c r="S48" s="65">
        <f t="shared" si="30"/>
        <v>23.1594723381339</v>
      </c>
      <c r="T48" s="65">
        <f t="shared" si="31"/>
        <v>0.00213719062309075</v>
      </c>
      <c r="U48" s="65">
        <f t="shared" si="32"/>
        <v>24306.3042686056</v>
      </c>
      <c r="V48" s="69">
        <f t="shared" si="33"/>
        <v>2.03635265031711e-6</v>
      </c>
      <c r="W48" s="69">
        <f t="shared" si="34"/>
        <v>9.30449192898794e-7</v>
      </c>
      <c r="X48" s="4"/>
      <c r="Y48" s="6"/>
    </row>
    <row r="49" ht="25" customHeight="1" spans="1:25">
      <c r="A49" s="111"/>
      <c r="B49" s="111"/>
      <c r="C49" s="54">
        <v>77</v>
      </c>
      <c r="D49" s="55">
        <v>0</v>
      </c>
      <c r="E49" s="55">
        <v>0</v>
      </c>
      <c r="F49" s="55">
        <v>0</v>
      </c>
      <c r="G49" s="59">
        <v>0.0302</v>
      </c>
      <c r="H49" s="61">
        <v>1000</v>
      </c>
      <c r="I49" s="59">
        <v>9.801</v>
      </c>
      <c r="J49" s="62">
        <v>4e-6</v>
      </c>
      <c r="K49" s="64">
        <v>0.00101</v>
      </c>
      <c r="L49" s="65"/>
      <c r="M49" s="66">
        <f t="shared" si="24"/>
        <v>0</v>
      </c>
      <c r="N49" s="65">
        <f t="shared" si="25"/>
        <v>0</v>
      </c>
      <c r="O49" s="65">
        <f t="shared" si="26"/>
        <v>0</v>
      </c>
      <c r="P49" s="69">
        <f t="shared" si="27"/>
        <v>0</v>
      </c>
      <c r="Q49" s="69" t="e">
        <f t="shared" si="28"/>
        <v>#DIV/0!</v>
      </c>
      <c r="R49" s="65">
        <f t="shared" si="29"/>
        <v>0</v>
      </c>
      <c r="S49" s="65" t="e">
        <f t="shared" si="30"/>
        <v>#DIV/0!</v>
      </c>
      <c r="T49" s="65" t="e">
        <f t="shared" si="31"/>
        <v>#DIV/0!</v>
      </c>
      <c r="U49" s="65" t="e">
        <f t="shared" si="32"/>
        <v>#DIV/0!</v>
      </c>
      <c r="V49" s="69" t="e">
        <f t="shared" si="33"/>
        <v>#DIV/0!</v>
      </c>
      <c r="W49" s="69">
        <f t="shared" si="34"/>
        <v>0</v>
      </c>
      <c r="X49" s="112" t="s">
        <v>105</v>
      </c>
      <c r="Y49" s="6"/>
    </row>
    <row r="50" ht="25" customHeight="1" spans="1:25">
      <c r="A50" s="111"/>
      <c r="B50" s="111"/>
      <c r="C50" s="54">
        <v>78</v>
      </c>
      <c r="D50" s="55">
        <v>0</v>
      </c>
      <c r="E50" s="55">
        <v>0</v>
      </c>
      <c r="F50" s="55">
        <v>0</v>
      </c>
      <c r="G50" s="59">
        <v>0.0302</v>
      </c>
      <c r="H50" s="61">
        <v>1000</v>
      </c>
      <c r="I50" s="59">
        <v>9.801</v>
      </c>
      <c r="J50" s="62">
        <v>4e-6</v>
      </c>
      <c r="K50" s="64">
        <v>0.00101</v>
      </c>
      <c r="L50" s="65"/>
      <c r="M50" s="66">
        <f t="shared" si="24"/>
        <v>0</v>
      </c>
      <c r="N50" s="65">
        <f t="shared" si="25"/>
        <v>0</v>
      </c>
      <c r="O50" s="65">
        <f t="shared" si="26"/>
        <v>0</v>
      </c>
      <c r="P50" s="69">
        <f t="shared" si="27"/>
        <v>0</v>
      </c>
      <c r="Q50" s="69" t="e">
        <f t="shared" si="28"/>
        <v>#DIV/0!</v>
      </c>
      <c r="R50" s="65">
        <f t="shared" si="29"/>
        <v>0</v>
      </c>
      <c r="S50" s="65" t="e">
        <f t="shared" si="30"/>
        <v>#DIV/0!</v>
      </c>
      <c r="T50" s="65" t="e">
        <f t="shared" si="31"/>
        <v>#DIV/0!</v>
      </c>
      <c r="U50" s="65" t="e">
        <f t="shared" si="32"/>
        <v>#DIV/0!</v>
      </c>
      <c r="V50" s="69" t="e">
        <f t="shared" si="33"/>
        <v>#DIV/0!</v>
      </c>
      <c r="W50" s="69">
        <f t="shared" si="34"/>
        <v>0</v>
      </c>
      <c r="X50" s="112" t="s">
        <v>105</v>
      </c>
      <c r="Y50" s="6"/>
    </row>
    <row r="51" ht="25" customHeight="1" spans="1:25">
      <c r="A51" s="111"/>
      <c r="B51" s="111"/>
      <c r="C51" s="54">
        <v>79</v>
      </c>
      <c r="D51" s="55">
        <v>2.78044712984688</v>
      </c>
      <c r="E51" s="55">
        <v>-16.8027793320279</v>
      </c>
      <c r="F51" s="55">
        <v>1.67688454397818</v>
      </c>
      <c r="G51" s="59">
        <v>0.0302</v>
      </c>
      <c r="H51" s="61">
        <v>1000</v>
      </c>
      <c r="I51" s="59">
        <v>9.801</v>
      </c>
      <c r="J51" s="62">
        <v>4e-6</v>
      </c>
      <c r="K51" s="64">
        <v>0.00101</v>
      </c>
      <c r="L51" s="65">
        <f t="shared" ref="L51:L69" si="35">O51*(1+E51/9.801)-7.5*M51+18*P51</f>
        <v>-0.946545321461963</v>
      </c>
      <c r="M51" s="66">
        <f t="shared" ref="M51:M69" si="36">F51/1000</f>
        <v>0.00167688454397818</v>
      </c>
      <c r="N51" s="65">
        <f t="shared" ref="N51:N69" si="37">H51*2*M51*D51^2/G51</f>
        <v>858.530043063024</v>
      </c>
      <c r="O51" s="65">
        <f t="shared" ref="O51:O69" si="38">H51*I51*(M51*2)^2/G51</f>
        <v>3.65031010931607</v>
      </c>
      <c r="P51" s="69">
        <f t="shared" ref="P51:P69" si="39">K51*D51/G51</f>
        <v>0.0929884636140844</v>
      </c>
      <c r="Q51" s="69">
        <f t="shared" ref="Q51:Q69" si="40">K51/SQRT(H51*G51*M51*2)</f>
        <v>0.0031735936870873</v>
      </c>
      <c r="R51" s="65">
        <f t="shared" ref="R51:R69" si="41">SQRT(H51*8*(M51^3)/G51)</f>
        <v>0.0353424184629434</v>
      </c>
      <c r="S51" s="65">
        <f t="shared" ref="S51:S69" si="42">K51*(2*M51)^2/(H51*(D51*J51)^2)</f>
        <v>0.0918413847622108</v>
      </c>
      <c r="T51" s="65">
        <f t="shared" ref="T51:T69" si="43">R51/S51</f>
        <v>0.384820182692687</v>
      </c>
      <c r="U51" s="65">
        <f t="shared" ref="U51:U69" si="44">K51*(2*M51)^3/(H51*(D51)^2*(J51)^3)</f>
        <v>77.0036993026523</v>
      </c>
      <c r="V51" s="69">
        <f t="shared" ref="V51:V69" si="45">R51/U51</f>
        <v>0.000458970397305653</v>
      </c>
      <c r="W51" s="69">
        <f t="shared" ref="W51:W69" si="46">0.5*H51*(4/3)*PI()*M51^3*D51^2</f>
        <v>7.63479502505139e-5</v>
      </c>
      <c r="X51" s="4"/>
      <c r="Y51" s="6"/>
    </row>
    <row r="52" ht="25" customHeight="1" spans="1:25">
      <c r="A52" s="111"/>
      <c r="B52" s="111"/>
      <c r="C52" s="54">
        <v>80</v>
      </c>
      <c r="D52" s="55">
        <v>2.3288174291217</v>
      </c>
      <c r="E52" s="55">
        <v>-11.3347530101029</v>
      </c>
      <c r="F52" s="55">
        <v>1.59186175839385</v>
      </c>
      <c r="G52" s="59">
        <v>0.0302</v>
      </c>
      <c r="H52" s="61">
        <v>1000</v>
      </c>
      <c r="I52" s="59">
        <v>9.801</v>
      </c>
      <c r="J52" s="62">
        <v>4e-6</v>
      </c>
      <c r="K52" s="64">
        <v>0.00101</v>
      </c>
      <c r="L52" s="65">
        <f t="shared" si="35"/>
        <v>0.875201234921772</v>
      </c>
      <c r="M52" s="66">
        <f t="shared" si="36"/>
        <v>0.00159186175839385</v>
      </c>
      <c r="N52" s="65">
        <f t="shared" si="37"/>
        <v>571.740935491015</v>
      </c>
      <c r="O52" s="65">
        <f t="shared" si="38"/>
        <v>3.28953216300107</v>
      </c>
      <c r="P52" s="69">
        <f t="shared" si="39"/>
        <v>0.077884291503739</v>
      </c>
      <c r="Q52" s="69">
        <f t="shared" si="40"/>
        <v>0.00325724352634232</v>
      </c>
      <c r="R52" s="65">
        <f t="shared" si="41"/>
        <v>0.0326888427981614</v>
      </c>
      <c r="S52" s="65">
        <f t="shared" si="42"/>
        <v>0.117978045313355</v>
      </c>
      <c r="T52" s="65">
        <f t="shared" si="43"/>
        <v>0.277075643280396</v>
      </c>
      <c r="U52" s="65">
        <f t="shared" si="44"/>
        <v>93.9023693321932</v>
      </c>
      <c r="V52" s="69">
        <f t="shared" si="45"/>
        <v>0.000348115207642099</v>
      </c>
      <c r="W52" s="69">
        <f t="shared" si="46"/>
        <v>4.58189938635544e-5</v>
      </c>
      <c r="X52" s="4"/>
      <c r="Y52" s="6"/>
    </row>
    <row r="53" ht="25" customHeight="1" spans="1:25">
      <c r="A53" s="111"/>
      <c r="B53" s="111"/>
      <c r="C53" s="54">
        <v>82</v>
      </c>
      <c r="D53" s="55">
        <v>0.469614833385657</v>
      </c>
      <c r="E53" s="55">
        <v>-5.78671093976954</v>
      </c>
      <c r="F53" s="55">
        <v>1.68721357171723</v>
      </c>
      <c r="G53" s="59">
        <v>0.0302</v>
      </c>
      <c r="H53" s="61">
        <v>1000</v>
      </c>
      <c r="I53" s="59">
        <v>9.801</v>
      </c>
      <c r="J53" s="62">
        <v>4e-6</v>
      </c>
      <c r="K53" s="64">
        <v>0.00101</v>
      </c>
      <c r="L53" s="65">
        <f t="shared" si="35"/>
        <v>1.78361536625976</v>
      </c>
      <c r="M53" s="66">
        <f t="shared" si="36"/>
        <v>0.00168721357171723</v>
      </c>
      <c r="N53" s="65">
        <f t="shared" si="37"/>
        <v>24.6420438051209</v>
      </c>
      <c r="O53" s="65">
        <f t="shared" si="38"/>
        <v>3.69541789777316</v>
      </c>
      <c r="P53" s="69">
        <f t="shared" si="39"/>
        <v>0.0157056616463415</v>
      </c>
      <c r="Q53" s="69">
        <f t="shared" si="40"/>
        <v>0.00316386449172072</v>
      </c>
      <c r="R53" s="65">
        <f t="shared" si="41"/>
        <v>0.0356694663768173</v>
      </c>
      <c r="S53" s="65">
        <f t="shared" si="42"/>
        <v>3.25925162216031</v>
      </c>
      <c r="T53" s="65">
        <f t="shared" si="43"/>
        <v>0.0109440664643053</v>
      </c>
      <c r="U53" s="65">
        <f t="shared" si="44"/>
        <v>2749.52678527514</v>
      </c>
      <c r="V53" s="69">
        <f t="shared" si="45"/>
        <v>1.29729474060199e-5</v>
      </c>
      <c r="W53" s="69">
        <f t="shared" si="46"/>
        <v>2.21846410665397e-6</v>
      </c>
      <c r="X53" s="4"/>
      <c r="Y53" s="6"/>
    </row>
    <row r="54" ht="25" customHeight="1" spans="1:25">
      <c r="A54" s="111"/>
      <c r="B54" s="111"/>
      <c r="C54" s="54">
        <v>83</v>
      </c>
      <c r="D54" s="55">
        <v>0.463889762356957</v>
      </c>
      <c r="E54" s="55">
        <v>-7.64236562577639</v>
      </c>
      <c r="F54" s="55">
        <v>1.61908724819553</v>
      </c>
      <c r="G54" s="59">
        <v>0.0302</v>
      </c>
      <c r="H54" s="61">
        <v>1000</v>
      </c>
      <c r="I54" s="59">
        <v>9.801</v>
      </c>
      <c r="J54" s="62">
        <v>4e-6</v>
      </c>
      <c r="K54" s="64">
        <v>0.00101</v>
      </c>
      <c r="L54" s="65">
        <f t="shared" si="35"/>
        <v>1.01661407164856</v>
      </c>
      <c r="M54" s="66">
        <f t="shared" si="36"/>
        <v>0.00161908724819553</v>
      </c>
      <c r="N54" s="65">
        <f t="shared" si="37"/>
        <v>23.0739996274934</v>
      </c>
      <c r="O54" s="65">
        <f t="shared" si="38"/>
        <v>3.40301561758373</v>
      </c>
      <c r="P54" s="69">
        <f t="shared" si="39"/>
        <v>0.0155141940390903</v>
      </c>
      <c r="Q54" s="69">
        <f t="shared" si="40"/>
        <v>0.00322974160687786</v>
      </c>
      <c r="R54" s="65">
        <f t="shared" si="41"/>
        <v>0.033531030486357</v>
      </c>
      <c r="S54" s="65">
        <f t="shared" si="42"/>
        <v>3.07590069955486</v>
      </c>
      <c r="T54" s="65">
        <f t="shared" si="43"/>
        <v>0.0109012070809729</v>
      </c>
      <c r="U54" s="65">
        <f t="shared" si="44"/>
        <v>2490.0757996825</v>
      </c>
      <c r="V54" s="69">
        <f t="shared" si="45"/>
        <v>1.34658673806767e-5</v>
      </c>
      <c r="W54" s="69">
        <f t="shared" si="46"/>
        <v>1.91292942178419e-6</v>
      </c>
      <c r="X54" s="4"/>
      <c r="Y54" s="6"/>
    </row>
    <row r="55" ht="25" customHeight="1" spans="1:25">
      <c r="A55" s="111"/>
      <c r="B55" s="111"/>
      <c r="C55" s="54">
        <v>84</v>
      </c>
      <c r="D55" s="55">
        <v>0.48755023058988</v>
      </c>
      <c r="E55" s="55">
        <v>-4.20243660650433</v>
      </c>
      <c r="F55" s="55">
        <v>1.69196013366231</v>
      </c>
      <c r="G55" s="59">
        <v>0.0302</v>
      </c>
      <c r="H55" s="61">
        <v>1000</v>
      </c>
      <c r="I55" s="59">
        <v>9.801</v>
      </c>
      <c r="J55" s="62">
        <v>4e-6</v>
      </c>
      <c r="K55" s="64">
        <v>0.00101</v>
      </c>
      <c r="L55" s="65">
        <f t="shared" si="35"/>
        <v>2.40361309484509</v>
      </c>
      <c r="M55" s="66">
        <f t="shared" si="36"/>
        <v>0.00169196013366231</v>
      </c>
      <c r="N55" s="65">
        <f t="shared" si="37"/>
        <v>26.6349515388322</v>
      </c>
      <c r="O55" s="65">
        <f t="shared" si="38"/>
        <v>3.7162394502436</v>
      </c>
      <c r="P55" s="69">
        <f t="shared" si="39"/>
        <v>0.0163054878442311</v>
      </c>
      <c r="Q55" s="69">
        <f t="shared" si="40"/>
        <v>0.00315942348106532</v>
      </c>
      <c r="R55" s="65">
        <f t="shared" si="41"/>
        <v>0.035820093145365</v>
      </c>
      <c r="S55" s="65">
        <f t="shared" si="42"/>
        <v>3.04090534429612</v>
      </c>
      <c r="T55" s="65">
        <f t="shared" si="43"/>
        <v>0.0117794173411393</v>
      </c>
      <c r="U55" s="65">
        <f t="shared" si="44"/>
        <v>2572.54530639485</v>
      </c>
      <c r="V55" s="69">
        <f t="shared" si="45"/>
        <v>1.39239892321131e-5</v>
      </c>
      <c r="W55" s="69">
        <f t="shared" si="46"/>
        <v>2.41139148843403e-6</v>
      </c>
      <c r="X55" s="4"/>
      <c r="Y55" s="6"/>
    </row>
    <row r="56" ht="25" customHeight="1" spans="1:25">
      <c r="A56" s="111"/>
      <c r="B56" s="111"/>
      <c r="C56" s="54">
        <v>85</v>
      </c>
      <c r="D56" s="55">
        <v>0.468761713975318</v>
      </c>
      <c r="E56" s="55">
        <v>-6.16957054829511</v>
      </c>
      <c r="F56" s="55">
        <v>1.62796582940207</v>
      </c>
      <c r="G56" s="59">
        <v>0.0302</v>
      </c>
      <c r="H56" s="61">
        <v>1000</v>
      </c>
      <c r="I56" s="59">
        <v>9.801</v>
      </c>
      <c r="J56" s="62">
        <v>4e-6</v>
      </c>
      <c r="K56" s="64">
        <v>0.00101</v>
      </c>
      <c r="L56" s="65">
        <f t="shared" si="35"/>
        <v>1.54471747207825</v>
      </c>
      <c r="M56" s="66">
        <f t="shared" si="36"/>
        <v>0.00162796582940207</v>
      </c>
      <c r="N56" s="65">
        <f t="shared" si="37"/>
        <v>23.6904115142342</v>
      </c>
      <c r="O56" s="65">
        <f t="shared" si="38"/>
        <v>3.44044015118003</v>
      </c>
      <c r="P56" s="69">
        <f t="shared" si="39"/>
        <v>0.0156771301693732</v>
      </c>
      <c r="Q56" s="69">
        <f t="shared" si="40"/>
        <v>0.00322092240221368</v>
      </c>
      <c r="R56" s="65">
        <f t="shared" si="41"/>
        <v>0.0338072191909714</v>
      </c>
      <c r="S56" s="65">
        <f t="shared" si="42"/>
        <v>3.04542343383066</v>
      </c>
      <c r="T56" s="65">
        <f t="shared" si="43"/>
        <v>0.0111009913483352</v>
      </c>
      <c r="U56" s="65">
        <f t="shared" si="44"/>
        <v>2478.92264316831</v>
      </c>
      <c r="V56" s="69">
        <f t="shared" si="45"/>
        <v>1.36378677584559e-5</v>
      </c>
      <c r="W56" s="69">
        <f t="shared" si="46"/>
        <v>1.98563187316548e-6</v>
      </c>
      <c r="X56" s="4"/>
      <c r="Y56" s="6"/>
    </row>
    <row r="57" ht="25" customHeight="1" spans="1:25">
      <c r="A57" s="111"/>
      <c r="B57" s="111"/>
      <c r="C57" s="54">
        <v>86</v>
      </c>
      <c r="D57" s="55">
        <v>0.3814797298776</v>
      </c>
      <c r="E57" s="55">
        <v>-11.2238360658546</v>
      </c>
      <c r="F57" s="55">
        <v>1.61690596426855</v>
      </c>
      <c r="G57" s="59">
        <v>0.0302</v>
      </c>
      <c r="H57" s="61">
        <v>1000</v>
      </c>
      <c r="I57" s="59">
        <v>9.801</v>
      </c>
      <c r="J57" s="62">
        <v>4e-6</v>
      </c>
      <c r="K57" s="64">
        <v>0.00101</v>
      </c>
      <c r="L57" s="65">
        <f t="shared" si="35"/>
        <v>-0.2751752383866</v>
      </c>
      <c r="M57" s="66">
        <f t="shared" si="36"/>
        <v>0.00161690596426855</v>
      </c>
      <c r="N57" s="65">
        <f t="shared" si="37"/>
        <v>15.5829884442118</v>
      </c>
      <c r="O57" s="65">
        <f t="shared" si="38"/>
        <v>3.39385250043867</v>
      </c>
      <c r="P57" s="69">
        <f t="shared" si="39"/>
        <v>0.0127580969263701</v>
      </c>
      <c r="Q57" s="69">
        <f t="shared" si="40"/>
        <v>0.00323191941103189</v>
      </c>
      <c r="R57" s="65">
        <f t="shared" si="41"/>
        <v>0.0334632922671332</v>
      </c>
      <c r="S57" s="65">
        <f t="shared" si="42"/>
        <v>4.53615593656088</v>
      </c>
      <c r="T57" s="65">
        <f t="shared" si="43"/>
        <v>0.00737701541462079</v>
      </c>
      <c r="U57" s="65">
        <f t="shared" si="44"/>
        <v>3667.26879433874</v>
      </c>
      <c r="V57" s="69">
        <f t="shared" si="45"/>
        <v>9.12485398364892e-6</v>
      </c>
      <c r="W57" s="69">
        <f t="shared" si="46"/>
        <v>1.28841518765845e-6</v>
      </c>
      <c r="X57" s="4"/>
      <c r="Y57" s="6"/>
    </row>
    <row r="58" ht="25" customHeight="1" spans="1:25">
      <c r="A58" s="111"/>
      <c r="B58" s="111"/>
      <c r="C58" s="54">
        <v>87</v>
      </c>
      <c r="D58" s="55">
        <v>0.372436977074136</v>
      </c>
      <c r="E58" s="55">
        <v>-10.6875417094222</v>
      </c>
      <c r="F58" s="55">
        <v>1.69065542682392</v>
      </c>
      <c r="G58" s="59">
        <v>0.0302</v>
      </c>
      <c r="H58" s="61">
        <v>1000</v>
      </c>
      <c r="I58" s="59">
        <v>9.801</v>
      </c>
      <c r="J58" s="62">
        <v>4e-6</v>
      </c>
      <c r="K58" s="64">
        <v>0.00101</v>
      </c>
      <c r="L58" s="65">
        <f t="shared" si="35"/>
        <v>-0.124109066694062</v>
      </c>
      <c r="M58" s="66">
        <f t="shared" si="36"/>
        <v>0.00169065542682392</v>
      </c>
      <c r="N58" s="65">
        <f t="shared" si="37"/>
        <v>15.5304393374087</v>
      </c>
      <c r="O58" s="65">
        <f t="shared" si="38"/>
        <v>3.71051031573697</v>
      </c>
      <c r="P58" s="69">
        <f t="shared" si="39"/>
        <v>0.0124556737365853</v>
      </c>
      <c r="Q58" s="69">
        <f t="shared" si="40"/>
        <v>0.00316064233571336</v>
      </c>
      <c r="R58" s="65">
        <f t="shared" si="41"/>
        <v>0.0357786686677543</v>
      </c>
      <c r="S58" s="65">
        <f t="shared" si="42"/>
        <v>5.20314587881229</v>
      </c>
      <c r="T58" s="65">
        <f t="shared" si="43"/>
        <v>0.00687635317192403</v>
      </c>
      <c r="U58" s="65">
        <f t="shared" si="44"/>
        <v>4398.36340828525</v>
      </c>
      <c r="V58" s="69">
        <f t="shared" si="45"/>
        <v>8.13454127059114e-6</v>
      </c>
      <c r="W58" s="69">
        <f t="shared" si="46"/>
        <v>1.40387845238521e-6</v>
      </c>
      <c r="X58" s="4"/>
      <c r="Y58" s="6"/>
    </row>
    <row r="59" ht="25" customHeight="1" spans="1:25">
      <c r="A59" s="111"/>
      <c r="B59" s="111"/>
      <c r="C59" s="54">
        <v>89</v>
      </c>
      <c r="D59" s="55">
        <v>0.339182587956996</v>
      </c>
      <c r="E59" s="55">
        <v>-6.38178582781118</v>
      </c>
      <c r="F59" s="55">
        <v>1.69910654954558</v>
      </c>
      <c r="G59" s="59">
        <v>0.0302</v>
      </c>
      <c r="H59" s="61">
        <v>1000</v>
      </c>
      <c r="I59" s="59">
        <v>9.801</v>
      </c>
      <c r="J59" s="62">
        <v>4e-6</v>
      </c>
      <c r="K59" s="64">
        <v>0.00101</v>
      </c>
      <c r="L59" s="65">
        <f t="shared" si="35"/>
        <v>1.49887655445994</v>
      </c>
      <c r="M59" s="66">
        <f t="shared" si="36"/>
        <v>0.00169910654954558</v>
      </c>
      <c r="N59" s="65">
        <f t="shared" si="37"/>
        <v>12.9452596490475</v>
      </c>
      <c r="O59" s="65">
        <f t="shared" si="38"/>
        <v>3.74769867772342</v>
      </c>
      <c r="P59" s="69">
        <f t="shared" si="39"/>
        <v>0.0113435236369724</v>
      </c>
      <c r="Q59" s="69">
        <f t="shared" si="40"/>
        <v>0.00315277223677611</v>
      </c>
      <c r="R59" s="65">
        <f t="shared" si="41"/>
        <v>0.0360472752685829</v>
      </c>
      <c r="S59" s="65">
        <f t="shared" si="42"/>
        <v>6.33629679131445</v>
      </c>
      <c r="T59" s="65">
        <f t="shared" si="43"/>
        <v>0.00568901307116723</v>
      </c>
      <c r="U59" s="65">
        <f t="shared" si="44"/>
        <v>5383.02168899351</v>
      </c>
      <c r="V59" s="69">
        <f t="shared" si="45"/>
        <v>6.69647594812549e-6</v>
      </c>
      <c r="W59" s="69">
        <f t="shared" si="46"/>
        <v>1.18191856548256e-6</v>
      </c>
      <c r="X59" s="4"/>
      <c r="Y59" s="6"/>
    </row>
    <row r="60" ht="25" customHeight="1" spans="1:25">
      <c r="A60" s="111"/>
      <c r="B60" s="111"/>
      <c r="C60" s="54">
        <v>90</v>
      </c>
      <c r="D60" s="55">
        <v>0.339096173313432</v>
      </c>
      <c r="E60" s="55">
        <v>-8.9544238663873</v>
      </c>
      <c r="F60" s="55">
        <v>1.81571211357364</v>
      </c>
      <c r="G60" s="59">
        <v>0.0302</v>
      </c>
      <c r="H60" s="61">
        <v>1000</v>
      </c>
      <c r="I60" s="59">
        <v>9.801</v>
      </c>
      <c r="J60" s="62">
        <v>4e-6</v>
      </c>
      <c r="K60" s="64">
        <v>0.00101</v>
      </c>
      <c r="L60" s="65">
        <f t="shared" si="35"/>
        <v>0.560182579889291</v>
      </c>
      <c r="M60" s="66">
        <f t="shared" si="36"/>
        <v>0.00181571211357364</v>
      </c>
      <c r="N60" s="65">
        <f t="shared" si="37"/>
        <v>13.8266134454377</v>
      </c>
      <c r="O60" s="65">
        <f t="shared" si="38"/>
        <v>4.27974033223633</v>
      </c>
      <c r="P60" s="69">
        <f t="shared" si="39"/>
        <v>0.0113406336108135</v>
      </c>
      <c r="Q60" s="69">
        <f t="shared" si="40"/>
        <v>0.00304985652323836</v>
      </c>
      <c r="R60" s="65">
        <f t="shared" si="41"/>
        <v>0.0398209859263832</v>
      </c>
      <c r="S60" s="65">
        <f t="shared" si="42"/>
        <v>7.23951690914214</v>
      </c>
      <c r="T60" s="65">
        <f t="shared" si="43"/>
        <v>0.00550050320016475</v>
      </c>
      <c r="U60" s="65">
        <f t="shared" si="44"/>
        <v>6572.43927417529</v>
      </c>
      <c r="V60" s="69">
        <f t="shared" si="45"/>
        <v>6.05878339307743e-6</v>
      </c>
      <c r="W60" s="69">
        <f t="shared" si="46"/>
        <v>1.44160196044748e-6</v>
      </c>
      <c r="X60" s="4"/>
      <c r="Y60" s="6"/>
    </row>
    <row r="61" ht="25" customHeight="1" spans="1:25">
      <c r="A61" s="111"/>
      <c r="B61" s="111"/>
      <c r="C61" s="54">
        <v>91</v>
      </c>
      <c r="D61" s="55">
        <v>0.336909014688701</v>
      </c>
      <c r="E61" s="55">
        <v>-6.4174533896552</v>
      </c>
      <c r="F61" s="55">
        <v>1.80352347097735</v>
      </c>
      <c r="G61" s="59">
        <v>0.0302</v>
      </c>
      <c r="H61" s="61">
        <v>1000</v>
      </c>
      <c r="I61" s="59">
        <v>9.801</v>
      </c>
      <c r="J61" s="62">
        <v>4e-6</v>
      </c>
      <c r="K61" s="64">
        <v>0.00101</v>
      </c>
      <c r="L61" s="65">
        <f t="shared" si="35"/>
        <v>1.64699053784961</v>
      </c>
      <c r="M61" s="66">
        <f t="shared" si="36"/>
        <v>0.00180352347097735</v>
      </c>
      <c r="N61" s="65">
        <f t="shared" si="37"/>
        <v>13.5572034802801</v>
      </c>
      <c r="O61" s="65">
        <f t="shared" si="38"/>
        <v>4.22247449251643</v>
      </c>
      <c r="P61" s="69">
        <f t="shared" si="39"/>
        <v>0.0112674869150857</v>
      </c>
      <c r="Q61" s="69">
        <f t="shared" si="40"/>
        <v>0.00306014499911138</v>
      </c>
      <c r="R61" s="65">
        <f t="shared" si="41"/>
        <v>0.039420689837157</v>
      </c>
      <c r="S61" s="65">
        <f t="shared" si="42"/>
        <v>7.2356860754538</v>
      </c>
      <c r="T61" s="65">
        <f t="shared" si="43"/>
        <v>0.00544809288657325</v>
      </c>
      <c r="U61" s="65">
        <f t="shared" si="44"/>
        <v>6524.86483285246</v>
      </c>
      <c r="V61" s="69">
        <f t="shared" si="45"/>
        <v>6.04161018611071e-6</v>
      </c>
      <c r="W61" s="69">
        <f t="shared" si="46"/>
        <v>1.39459875295982e-6</v>
      </c>
      <c r="X61" s="4"/>
      <c r="Y61" s="6"/>
    </row>
    <row r="62" ht="25" customHeight="1" spans="1:25">
      <c r="A62" s="111"/>
      <c r="B62" s="111"/>
      <c r="C62" s="54">
        <v>92</v>
      </c>
      <c r="D62" s="55">
        <v>0.379752500278888</v>
      </c>
      <c r="E62" s="55">
        <v>-9.46306093155446</v>
      </c>
      <c r="F62" s="55">
        <v>1.78396183621097</v>
      </c>
      <c r="G62" s="59">
        <v>0.0302</v>
      </c>
      <c r="H62" s="61">
        <v>1000</v>
      </c>
      <c r="I62" s="59">
        <v>9.801</v>
      </c>
      <c r="J62" s="62">
        <v>4e-6</v>
      </c>
      <c r="K62" s="64">
        <v>0.00101</v>
      </c>
      <c r="L62" s="65">
        <f t="shared" si="35"/>
        <v>0.357676299666876</v>
      </c>
      <c r="M62" s="66">
        <f t="shared" si="36"/>
        <v>0.00178396183621097</v>
      </c>
      <c r="N62" s="65">
        <f t="shared" si="37"/>
        <v>17.0376579857058</v>
      </c>
      <c r="O62" s="65">
        <f t="shared" si="38"/>
        <v>4.13137442169454</v>
      </c>
      <c r="P62" s="69">
        <f t="shared" si="39"/>
        <v>0.0127003319629694</v>
      </c>
      <c r="Q62" s="69">
        <f t="shared" si="40"/>
        <v>0.00307687692461126</v>
      </c>
      <c r="R62" s="65">
        <f t="shared" si="41"/>
        <v>0.0387810765800056</v>
      </c>
      <c r="S62" s="65">
        <f t="shared" si="42"/>
        <v>5.57225801290337</v>
      </c>
      <c r="T62" s="65">
        <f t="shared" si="43"/>
        <v>0.0069596699381476</v>
      </c>
      <c r="U62" s="65">
        <f t="shared" si="44"/>
        <v>4970.34781827019</v>
      </c>
      <c r="V62" s="69">
        <f t="shared" si="45"/>
        <v>7.80248747128977e-6</v>
      </c>
      <c r="W62" s="69">
        <f t="shared" si="46"/>
        <v>1.7148122436834e-6</v>
      </c>
      <c r="X62" s="4"/>
      <c r="Y62" s="6"/>
    </row>
    <row r="63" ht="25" customHeight="1" spans="1:25">
      <c r="A63" s="111"/>
      <c r="B63" s="111"/>
      <c r="C63" s="54">
        <v>93</v>
      </c>
      <c r="D63" s="55">
        <v>0.324991746975445</v>
      </c>
      <c r="E63" s="55">
        <v>-11.6709998729613</v>
      </c>
      <c r="F63" s="55">
        <v>1.75951889087487</v>
      </c>
      <c r="G63" s="59">
        <v>0.0302</v>
      </c>
      <c r="H63" s="61">
        <v>1000</v>
      </c>
      <c r="I63" s="59">
        <v>9.801</v>
      </c>
      <c r="J63" s="62">
        <v>4e-6</v>
      </c>
      <c r="K63" s="64">
        <v>0.00101</v>
      </c>
      <c r="L63" s="65">
        <f t="shared" si="35"/>
        <v>-0.584356351526963</v>
      </c>
      <c r="M63" s="66">
        <f t="shared" si="36"/>
        <v>0.00175951889087487</v>
      </c>
      <c r="N63" s="65">
        <f t="shared" si="37"/>
        <v>12.3072678204838</v>
      </c>
      <c r="O63" s="65">
        <f t="shared" si="38"/>
        <v>4.01893799135279</v>
      </c>
      <c r="P63" s="69">
        <f t="shared" si="39"/>
        <v>0.0108689292862649</v>
      </c>
      <c r="Q63" s="69">
        <f t="shared" si="40"/>
        <v>0.00309817494518069</v>
      </c>
      <c r="R63" s="65">
        <f t="shared" si="41"/>
        <v>0.0379867748723892</v>
      </c>
      <c r="S63" s="65">
        <f t="shared" si="42"/>
        <v>7.40124167441099</v>
      </c>
      <c r="T63" s="65">
        <f t="shared" si="43"/>
        <v>0.0051324867560702</v>
      </c>
      <c r="U63" s="65">
        <f t="shared" si="44"/>
        <v>6511.31227102824</v>
      </c>
      <c r="V63" s="69">
        <f t="shared" si="45"/>
        <v>5.83396607184844e-6</v>
      </c>
      <c r="W63" s="69">
        <f t="shared" si="46"/>
        <v>1.20499454338249e-6</v>
      </c>
      <c r="X63" s="4"/>
      <c r="Y63" s="6"/>
    </row>
    <row r="64" ht="25" customHeight="1" spans="1:25">
      <c r="A64" s="111"/>
      <c r="B64" s="111"/>
      <c r="C64" s="54">
        <v>94</v>
      </c>
      <c r="D64" s="55">
        <v>0.377916620226099</v>
      </c>
      <c r="E64" s="55">
        <v>-11.0419516669672</v>
      </c>
      <c r="F64" s="55">
        <v>1.76230597140938</v>
      </c>
      <c r="G64" s="59">
        <v>0.0302</v>
      </c>
      <c r="H64" s="61">
        <v>1000</v>
      </c>
      <c r="I64" s="59">
        <v>9.801</v>
      </c>
      <c r="J64" s="62">
        <v>4e-6</v>
      </c>
      <c r="K64" s="64">
        <v>0.00101</v>
      </c>
      <c r="L64" s="65">
        <f t="shared" si="35"/>
        <v>-0.296186867254771</v>
      </c>
      <c r="M64" s="66">
        <f t="shared" si="36"/>
        <v>0.00176230597140938</v>
      </c>
      <c r="N64" s="65">
        <f t="shared" si="37"/>
        <v>16.6684934782528</v>
      </c>
      <c r="O64" s="65">
        <f t="shared" si="38"/>
        <v>4.03168008259807</v>
      </c>
      <c r="P64" s="69">
        <f t="shared" si="39"/>
        <v>0.0126389333254424</v>
      </c>
      <c r="Q64" s="69">
        <f t="shared" si="40"/>
        <v>0.00309572409954836</v>
      </c>
      <c r="R64" s="65">
        <f t="shared" si="41"/>
        <v>0.0380770672662936</v>
      </c>
      <c r="S64" s="65">
        <f t="shared" si="42"/>
        <v>5.49075447350867</v>
      </c>
      <c r="T64" s="65">
        <f t="shared" si="43"/>
        <v>0.00693476050513725</v>
      </c>
      <c r="U64" s="65">
        <f t="shared" si="44"/>
        <v>4838.19469810354</v>
      </c>
      <c r="V64" s="69">
        <f t="shared" si="45"/>
        <v>7.87009817550725e-6</v>
      </c>
      <c r="W64" s="69">
        <f t="shared" si="46"/>
        <v>1.63717285773084e-6</v>
      </c>
      <c r="X64" s="4"/>
      <c r="Y64" s="6"/>
    </row>
    <row r="65" ht="25" customHeight="1" spans="1:25">
      <c r="A65" s="111"/>
      <c r="B65" s="111"/>
      <c r="C65" s="54">
        <v>95</v>
      </c>
      <c r="D65" s="55">
        <v>0.353817721778643</v>
      </c>
      <c r="E65" s="55">
        <v>-11.7113081736646</v>
      </c>
      <c r="F65" s="55">
        <v>1.67515660800102</v>
      </c>
      <c r="G65" s="59">
        <v>0.0302</v>
      </c>
      <c r="H65" s="61">
        <v>1000</v>
      </c>
      <c r="I65" s="59">
        <v>9.801</v>
      </c>
      <c r="J65" s="62">
        <v>4e-6</v>
      </c>
      <c r="K65" s="64">
        <v>0.00101</v>
      </c>
      <c r="L65" s="65">
        <f t="shared" si="35"/>
        <v>-0.509584745961322</v>
      </c>
      <c r="M65" s="66">
        <f t="shared" si="36"/>
        <v>0.00167515660800102</v>
      </c>
      <c r="N65" s="65">
        <f t="shared" si="37"/>
        <v>13.8879335889062</v>
      </c>
      <c r="O65" s="65">
        <f t="shared" si="38"/>
        <v>3.64279110340268</v>
      </c>
      <c r="P65" s="69">
        <f t="shared" si="39"/>
        <v>0.0118329767879612</v>
      </c>
      <c r="Q65" s="69">
        <f t="shared" si="40"/>
        <v>0.00317523005746467</v>
      </c>
      <c r="R65" s="65">
        <f t="shared" si="41"/>
        <v>0.0352878049520701</v>
      </c>
      <c r="S65" s="65">
        <f t="shared" si="42"/>
        <v>5.65995591635092</v>
      </c>
      <c r="T65" s="65">
        <f t="shared" si="43"/>
        <v>0.00623464307383171</v>
      </c>
      <c r="U65" s="65">
        <f t="shared" si="44"/>
        <v>4740.65627713485</v>
      </c>
      <c r="V65" s="69">
        <f t="shared" si="45"/>
        <v>7.44365397725e-6</v>
      </c>
      <c r="W65" s="69">
        <f t="shared" si="46"/>
        <v>1.23249175224603e-6</v>
      </c>
      <c r="X65" s="4"/>
      <c r="Y65" s="6"/>
    </row>
    <row r="66" ht="25" customHeight="1" spans="1:25">
      <c r="A66" s="111"/>
      <c r="B66" s="111"/>
      <c r="C66" s="54">
        <v>96</v>
      </c>
      <c r="D66" s="55">
        <v>0.41452253985044</v>
      </c>
      <c r="E66" s="55">
        <v>-8.91555235160097</v>
      </c>
      <c r="F66" s="55">
        <v>1.63470937535416</v>
      </c>
      <c r="G66" s="59">
        <v>0.0302</v>
      </c>
      <c r="H66" s="61">
        <v>1000</v>
      </c>
      <c r="I66" s="59">
        <v>9.801</v>
      </c>
      <c r="J66" s="62">
        <v>4e-6</v>
      </c>
      <c r="K66" s="64">
        <v>0.00101</v>
      </c>
      <c r="L66" s="65">
        <f t="shared" si="35"/>
        <v>0.550675352490918</v>
      </c>
      <c r="M66" s="66">
        <f t="shared" si="36"/>
        <v>0.00163470937535416</v>
      </c>
      <c r="N66" s="65">
        <f t="shared" si="37"/>
        <v>18.6020114376394</v>
      </c>
      <c r="O66" s="65">
        <f t="shared" si="38"/>
        <v>3.46900195299014</v>
      </c>
      <c r="P66" s="69">
        <f t="shared" si="39"/>
        <v>0.0138631710347333</v>
      </c>
      <c r="Q66" s="69">
        <f t="shared" si="40"/>
        <v>0.00321427201979452</v>
      </c>
      <c r="R66" s="65">
        <f t="shared" si="41"/>
        <v>0.0340174967603917</v>
      </c>
      <c r="S66" s="65">
        <f t="shared" si="42"/>
        <v>3.92686696348604</v>
      </c>
      <c r="T66" s="65">
        <f t="shared" si="43"/>
        <v>0.00866275763266319</v>
      </c>
      <c r="U66" s="65">
        <f t="shared" si="44"/>
        <v>3209.64312048958</v>
      </c>
      <c r="V66" s="69">
        <f t="shared" si="45"/>
        <v>1.05985293328197e-5</v>
      </c>
      <c r="W66" s="69">
        <f t="shared" si="46"/>
        <v>1.57208699405544e-6</v>
      </c>
      <c r="X66" s="1"/>
      <c r="Y66" s="1"/>
    </row>
    <row r="67" ht="25" customHeight="1" spans="1:25">
      <c r="A67" s="111"/>
      <c r="B67" s="111"/>
      <c r="C67" s="54">
        <v>97</v>
      </c>
      <c r="D67" s="55">
        <v>0.382301336465686</v>
      </c>
      <c r="E67" s="55">
        <v>-7.88542558861553</v>
      </c>
      <c r="F67" s="55">
        <v>1.67274845943137</v>
      </c>
      <c r="G67" s="59">
        <v>0.0302</v>
      </c>
      <c r="H67" s="61">
        <v>1000</v>
      </c>
      <c r="I67" s="59">
        <v>9.801</v>
      </c>
      <c r="J67" s="62">
        <v>4e-6</v>
      </c>
      <c r="K67" s="64">
        <v>0.00101</v>
      </c>
      <c r="L67" s="65">
        <f t="shared" si="35"/>
        <v>0.927521169975952</v>
      </c>
      <c r="M67" s="66">
        <f t="shared" si="36"/>
        <v>0.00167274845943137</v>
      </c>
      <c r="N67" s="65">
        <f t="shared" si="37"/>
        <v>16.1906887423071</v>
      </c>
      <c r="O67" s="65">
        <f t="shared" si="38"/>
        <v>3.63232512463612</v>
      </c>
      <c r="P67" s="69">
        <f t="shared" si="39"/>
        <v>0.0127855744976935</v>
      </c>
      <c r="Q67" s="69">
        <f t="shared" si="40"/>
        <v>0.00317751482288777</v>
      </c>
      <c r="R67" s="65">
        <f t="shared" si="41"/>
        <v>0.0352117394706526</v>
      </c>
      <c r="S67" s="65">
        <f t="shared" si="42"/>
        <v>4.83404876425351</v>
      </c>
      <c r="T67" s="65">
        <f t="shared" si="43"/>
        <v>0.00728410928144415</v>
      </c>
      <c r="U67" s="65">
        <f t="shared" si="44"/>
        <v>4043.07381161059</v>
      </c>
      <c r="V67" s="69">
        <f t="shared" si="45"/>
        <v>8.70915078758499e-6</v>
      </c>
      <c r="W67" s="69">
        <f t="shared" si="46"/>
        <v>1.43272276587878e-6</v>
      </c>
      <c r="X67" s="1"/>
      <c r="Y67" s="1"/>
    </row>
    <row r="68" ht="25" customHeight="1" spans="1:25">
      <c r="A68" s="111"/>
      <c r="B68" s="111"/>
      <c r="C68" s="54">
        <v>98</v>
      </c>
      <c r="D68" s="55">
        <v>0.423915434338662</v>
      </c>
      <c r="E68" s="55">
        <v>-10.6875704456549</v>
      </c>
      <c r="F68" s="55">
        <v>1.67841223506656</v>
      </c>
      <c r="G68" s="59">
        <v>0.0302</v>
      </c>
      <c r="H68" s="61">
        <v>1000</v>
      </c>
      <c r="I68" s="59">
        <v>9.801</v>
      </c>
      <c r="J68" s="62">
        <v>4e-6</v>
      </c>
      <c r="K68" s="64">
        <v>0.00101</v>
      </c>
      <c r="L68" s="65">
        <f t="shared" si="35"/>
        <v>-0.0881951455150335</v>
      </c>
      <c r="M68" s="66">
        <f t="shared" si="36"/>
        <v>0.00167841223506656</v>
      </c>
      <c r="N68" s="65">
        <f t="shared" si="37"/>
        <v>19.9746945835606</v>
      </c>
      <c r="O68" s="65">
        <f t="shared" si="38"/>
        <v>3.65696421850038</v>
      </c>
      <c r="P68" s="69">
        <f t="shared" si="39"/>
        <v>0.014177304260995</v>
      </c>
      <c r="Q68" s="69">
        <f t="shared" si="40"/>
        <v>0.00317214905554233</v>
      </c>
      <c r="R68" s="65">
        <f t="shared" si="41"/>
        <v>0.0353907264336955</v>
      </c>
      <c r="S68" s="65">
        <f t="shared" si="42"/>
        <v>3.95822245049762</v>
      </c>
      <c r="T68" s="65">
        <f t="shared" si="43"/>
        <v>0.00894106556069033</v>
      </c>
      <c r="U68" s="65">
        <f t="shared" si="44"/>
        <v>3321.76449501517</v>
      </c>
      <c r="V68" s="69">
        <f t="shared" si="45"/>
        <v>1.06541949276672e-5</v>
      </c>
      <c r="W68" s="69">
        <f t="shared" si="46"/>
        <v>1.77956142036042e-6</v>
      </c>
      <c r="X68" s="1"/>
      <c r="Y68" s="1"/>
    </row>
    <row r="69" ht="25" customHeight="1" spans="1:25">
      <c r="A69" s="111"/>
      <c r="B69" s="111"/>
      <c r="C69" s="54">
        <v>99</v>
      </c>
      <c r="D69" s="55">
        <v>0.578431130716549</v>
      </c>
      <c r="E69" s="55">
        <v>-11.9820300840749</v>
      </c>
      <c r="F69" s="55">
        <v>1.67143125703386</v>
      </c>
      <c r="G69" s="59">
        <v>0.0302</v>
      </c>
      <c r="H69" s="61">
        <v>1000</v>
      </c>
      <c r="I69" s="59">
        <v>9.801</v>
      </c>
      <c r="J69" s="62">
        <v>4e-6</v>
      </c>
      <c r="K69" s="64">
        <v>0.00101</v>
      </c>
      <c r="L69" s="65">
        <f t="shared" si="35"/>
        <v>-0.471361691133714</v>
      </c>
      <c r="M69" s="66">
        <f t="shared" si="36"/>
        <v>0.00167143125703386</v>
      </c>
      <c r="N69" s="65">
        <f t="shared" si="37"/>
        <v>37.0352165921172</v>
      </c>
      <c r="O69" s="65">
        <f t="shared" si="38"/>
        <v>3.62660684277443</v>
      </c>
      <c r="P69" s="69">
        <f t="shared" si="39"/>
        <v>0.0193448821862157</v>
      </c>
      <c r="Q69" s="69">
        <f t="shared" si="40"/>
        <v>0.00317876662605004</v>
      </c>
      <c r="R69" s="65">
        <f t="shared" si="41"/>
        <v>0.0351701565396949</v>
      </c>
      <c r="S69" s="65">
        <f t="shared" si="42"/>
        <v>2.10831308868803</v>
      </c>
      <c r="T69" s="65">
        <f t="shared" si="43"/>
        <v>0.0166816573536432</v>
      </c>
      <c r="U69" s="65">
        <f t="shared" si="44"/>
        <v>1761.95019802339</v>
      </c>
      <c r="V69" s="69">
        <f t="shared" si="45"/>
        <v>1.99609254445159e-5</v>
      </c>
      <c r="W69" s="69">
        <f t="shared" si="46"/>
        <v>3.27210693933072e-6</v>
      </c>
      <c r="X69" s="97"/>
      <c r="Y69" s="97"/>
    </row>
    <row r="70" ht="25" customHeight="1" spans="1:25">
      <c r="A70" s="111"/>
      <c r="B70" s="111"/>
      <c r="C70" s="85">
        <v>100</v>
      </c>
      <c r="D70" s="55">
        <v>0</v>
      </c>
      <c r="E70" s="55">
        <v>0</v>
      </c>
      <c r="F70" s="55">
        <v>0</v>
      </c>
      <c r="G70" s="59">
        <v>0.0302</v>
      </c>
      <c r="H70" s="61">
        <v>1000</v>
      </c>
      <c r="I70" s="59">
        <v>9.801</v>
      </c>
      <c r="J70" s="62">
        <v>4e-6</v>
      </c>
      <c r="K70" s="64">
        <v>0.00101</v>
      </c>
      <c r="L70" s="65"/>
      <c r="M70" s="66">
        <f t="shared" ref="M70:M75" si="47">F70/1000</f>
        <v>0</v>
      </c>
      <c r="N70" s="65">
        <f t="shared" ref="N70:N75" si="48">H70*2*M70*D70^2/G70</f>
        <v>0</v>
      </c>
      <c r="O70" s="65">
        <f t="shared" ref="O70:O75" si="49">H70*I70*(M70*2)^2/G70</f>
        <v>0</v>
      </c>
      <c r="P70" s="69">
        <f t="shared" ref="P70:P75" si="50">K70*D70/G70</f>
        <v>0</v>
      </c>
      <c r="Q70" s="69" t="e">
        <f t="shared" ref="Q70:Q75" si="51">K70/SQRT(H70*G70*M70*2)</f>
        <v>#DIV/0!</v>
      </c>
      <c r="R70" s="65">
        <f t="shared" ref="R70:R75" si="52">SQRT(H70*8*(M70^3)/G70)</f>
        <v>0</v>
      </c>
      <c r="S70" s="65" t="e">
        <f t="shared" ref="S70:S75" si="53">K70*(2*M70)^2/(H70*(D70*J70)^2)</f>
        <v>#DIV/0!</v>
      </c>
      <c r="T70" s="65" t="e">
        <f t="shared" ref="T70:T75" si="54">R70/S70</f>
        <v>#DIV/0!</v>
      </c>
      <c r="U70" s="65" t="e">
        <f t="shared" ref="U70:U75" si="55">K70*(2*M70)^3/(H70*(D70)^2*(J70)^3)</f>
        <v>#DIV/0!</v>
      </c>
      <c r="V70" s="69" t="e">
        <f t="shared" ref="V70:V75" si="56">R70/U70</f>
        <v>#DIV/0!</v>
      </c>
      <c r="W70" s="69">
        <f t="shared" ref="W70:W75" si="57">0.5*H70*(4/3)*PI()*M70^3*D70^2</f>
        <v>0</v>
      </c>
      <c r="X70" s="21" t="s">
        <v>104</v>
      </c>
      <c r="Y70" s="1"/>
    </row>
    <row r="71" ht="25" customHeight="1" spans="1:25">
      <c r="A71" s="111"/>
      <c r="B71" s="111"/>
      <c r="C71" s="85">
        <v>101</v>
      </c>
      <c r="D71" s="55">
        <v>0</v>
      </c>
      <c r="E71" s="55">
        <v>0</v>
      </c>
      <c r="F71" s="55">
        <v>0</v>
      </c>
      <c r="G71" s="59">
        <v>0.0302</v>
      </c>
      <c r="H71" s="61">
        <v>1000</v>
      </c>
      <c r="I71" s="59">
        <v>9.801</v>
      </c>
      <c r="J71" s="62">
        <v>4e-6</v>
      </c>
      <c r="K71" s="64">
        <v>0.00101</v>
      </c>
      <c r="L71" s="65"/>
      <c r="M71" s="66">
        <f t="shared" si="47"/>
        <v>0</v>
      </c>
      <c r="N71" s="65">
        <f t="shared" si="48"/>
        <v>0</v>
      </c>
      <c r="O71" s="65">
        <f t="shared" si="49"/>
        <v>0</v>
      </c>
      <c r="P71" s="69">
        <f t="shared" si="50"/>
        <v>0</v>
      </c>
      <c r="Q71" s="69" t="e">
        <f t="shared" si="51"/>
        <v>#DIV/0!</v>
      </c>
      <c r="R71" s="65">
        <f t="shared" si="52"/>
        <v>0</v>
      </c>
      <c r="S71" s="65" t="e">
        <f t="shared" si="53"/>
        <v>#DIV/0!</v>
      </c>
      <c r="T71" s="65" t="e">
        <f t="shared" si="54"/>
        <v>#DIV/0!</v>
      </c>
      <c r="U71" s="65" t="e">
        <f t="shared" si="55"/>
        <v>#DIV/0!</v>
      </c>
      <c r="V71" s="69" t="e">
        <f t="shared" si="56"/>
        <v>#DIV/0!</v>
      </c>
      <c r="W71" s="69">
        <f t="shared" si="57"/>
        <v>0</v>
      </c>
      <c r="X71" s="21" t="s">
        <v>104</v>
      </c>
      <c r="Y71" s="1"/>
    </row>
    <row r="72" ht="25" customHeight="1" spans="1:25">
      <c r="A72" s="111"/>
      <c r="B72" s="111"/>
      <c r="C72" s="85">
        <v>102</v>
      </c>
      <c r="D72" s="55">
        <v>0</v>
      </c>
      <c r="E72" s="55">
        <v>0</v>
      </c>
      <c r="F72" s="55">
        <v>0</v>
      </c>
      <c r="G72" s="59">
        <v>0.0302</v>
      </c>
      <c r="H72" s="61">
        <v>1000</v>
      </c>
      <c r="I72" s="59">
        <v>9.801</v>
      </c>
      <c r="J72" s="62">
        <v>4e-6</v>
      </c>
      <c r="K72" s="64">
        <v>0.00101</v>
      </c>
      <c r="L72" s="65"/>
      <c r="M72" s="66">
        <f t="shared" si="47"/>
        <v>0</v>
      </c>
      <c r="N72" s="65">
        <f t="shared" si="48"/>
        <v>0</v>
      </c>
      <c r="O72" s="65">
        <f t="shared" si="49"/>
        <v>0</v>
      </c>
      <c r="P72" s="69">
        <f t="shared" si="50"/>
        <v>0</v>
      </c>
      <c r="Q72" s="69" t="e">
        <f t="shared" si="51"/>
        <v>#DIV/0!</v>
      </c>
      <c r="R72" s="65">
        <f t="shared" si="52"/>
        <v>0</v>
      </c>
      <c r="S72" s="65" t="e">
        <f t="shared" si="53"/>
        <v>#DIV/0!</v>
      </c>
      <c r="T72" s="65" t="e">
        <f t="shared" si="54"/>
        <v>#DIV/0!</v>
      </c>
      <c r="U72" s="65" t="e">
        <f t="shared" si="55"/>
        <v>#DIV/0!</v>
      </c>
      <c r="V72" s="69" t="e">
        <f t="shared" si="56"/>
        <v>#DIV/0!</v>
      </c>
      <c r="W72" s="69">
        <f t="shared" si="57"/>
        <v>0</v>
      </c>
      <c r="X72" s="21" t="s">
        <v>104</v>
      </c>
      <c r="Y72" s="1"/>
    </row>
    <row r="73" ht="25" customHeight="1" spans="1:25">
      <c r="A73" s="111"/>
      <c r="B73" s="111"/>
      <c r="C73" s="54">
        <v>103</v>
      </c>
      <c r="D73" s="55"/>
      <c r="E73" s="55"/>
      <c r="F73" s="55"/>
      <c r="G73" s="59">
        <v>0.0302</v>
      </c>
      <c r="H73" s="61">
        <v>1000</v>
      </c>
      <c r="I73" s="59">
        <v>9.801</v>
      </c>
      <c r="J73" s="62">
        <v>4e-6</v>
      </c>
      <c r="K73" s="64">
        <v>0.00101</v>
      </c>
      <c r="L73" s="65"/>
      <c r="M73" s="66"/>
      <c r="N73" s="65"/>
      <c r="O73" s="65"/>
      <c r="P73" s="69"/>
      <c r="Q73" s="69"/>
      <c r="R73" s="65"/>
      <c r="S73" s="65"/>
      <c r="T73" s="65"/>
      <c r="U73" s="65"/>
      <c r="V73" s="69"/>
      <c r="W73" s="69"/>
      <c r="X73" s="97"/>
      <c r="Y73" s="97"/>
    </row>
    <row r="74" ht="25" customHeight="1" spans="1:25">
      <c r="A74" s="111"/>
      <c r="B74" s="111"/>
      <c r="C74" s="85">
        <v>104</v>
      </c>
      <c r="D74" s="55">
        <v>0</v>
      </c>
      <c r="E74" s="55">
        <v>0</v>
      </c>
      <c r="F74" s="55">
        <v>0</v>
      </c>
      <c r="G74" s="59">
        <v>0.0302</v>
      </c>
      <c r="H74" s="61">
        <v>1000</v>
      </c>
      <c r="I74" s="59">
        <v>9.801</v>
      </c>
      <c r="J74" s="62">
        <v>4e-6</v>
      </c>
      <c r="K74" s="64">
        <v>0.00101</v>
      </c>
      <c r="L74" s="65"/>
      <c r="M74" s="66">
        <f t="shared" si="47"/>
        <v>0</v>
      </c>
      <c r="N74" s="65">
        <f t="shared" si="48"/>
        <v>0</v>
      </c>
      <c r="O74" s="65">
        <f t="shared" si="49"/>
        <v>0</v>
      </c>
      <c r="P74" s="69">
        <f t="shared" si="50"/>
        <v>0</v>
      </c>
      <c r="Q74" s="69" t="e">
        <f t="shared" si="51"/>
        <v>#DIV/0!</v>
      </c>
      <c r="R74" s="65">
        <f t="shared" si="52"/>
        <v>0</v>
      </c>
      <c r="S74" s="65" t="e">
        <f t="shared" si="53"/>
        <v>#DIV/0!</v>
      </c>
      <c r="T74" s="65" t="e">
        <f t="shared" si="54"/>
        <v>#DIV/0!</v>
      </c>
      <c r="U74" s="65" t="e">
        <f t="shared" si="55"/>
        <v>#DIV/0!</v>
      </c>
      <c r="V74" s="69" t="e">
        <f t="shared" si="56"/>
        <v>#DIV/0!</v>
      </c>
      <c r="W74" s="69">
        <f t="shared" si="57"/>
        <v>0</v>
      </c>
      <c r="X74" s="21" t="s">
        <v>104</v>
      </c>
      <c r="Y74" s="1"/>
    </row>
    <row r="75" ht="25" customHeight="1" spans="1:25">
      <c r="A75" s="111"/>
      <c r="B75" s="111"/>
      <c r="C75" s="85">
        <v>105</v>
      </c>
      <c r="D75" s="55">
        <v>0</v>
      </c>
      <c r="E75" s="55">
        <v>0</v>
      </c>
      <c r="F75" s="55">
        <v>0</v>
      </c>
      <c r="G75" s="59">
        <v>0.0302</v>
      </c>
      <c r="H75" s="61">
        <v>1000</v>
      </c>
      <c r="I75" s="59">
        <v>9.801</v>
      </c>
      <c r="J75" s="62">
        <v>4e-6</v>
      </c>
      <c r="K75" s="64">
        <v>0.00101</v>
      </c>
      <c r="L75" s="65"/>
      <c r="M75" s="66">
        <f t="shared" si="47"/>
        <v>0</v>
      </c>
      <c r="N75" s="65">
        <f t="shared" si="48"/>
        <v>0</v>
      </c>
      <c r="O75" s="65">
        <f t="shared" si="49"/>
        <v>0</v>
      </c>
      <c r="P75" s="69">
        <f t="shared" si="50"/>
        <v>0</v>
      </c>
      <c r="Q75" s="69" t="e">
        <f t="shared" si="51"/>
        <v>#DIV/0!</v>
      </c>
      <c r="R75" s="65">
        <f t="shared" si="52"/>
        <v>0</v>
      </c>
      <c r="S75" s="65" t="e">
        <f t="shared" si="53"/>
        <v>#DIV/0!</v>
      </c>
      <c r="T75" s="65" t="e">
        <f t="shared" si="54"/>
        <v>#DIV/0!</v>
      </c>
      <c r="U75" s="65" t="e">
        <f t="shared" si="55"/>
        <v>#DIV/0!</v>
      </c>
      <c r="V75" s="69" t="e">
        <f t="shared" si="56"/>
        <v>#DIV/0!</v>
      </c>
      <c r="W75" s="69">
        <f t="shared" si="57"/>
        <v>0</v>
      </c>
      <c r="X75" s="21" t="s">
        <v>104</v>
      </c>
      <c r="Y75" s="1"/>
    </row>
    <row r="76" ht="25" customHeight="1" spans="1:25">
      <c r="A76" s="111"/>
      <c r="B76" s="111"/>
      <c r="C76" s="54">
        <v>106</v>
      </c>
      <c r="D76" s="55"/>
      <c r="E76" s="55"/>
      <c r="F76" s="55"/>
      <c r="G76" s="59">
        <v>0.0302</v>
      </c>
      <c r="H76" s="61">
        <v>1000</v>
      </c>
      <c r="I76" s="59">
        <v>9.801</v>
      </c>
      <c r="J76" s="62">
        <v>4e-6</v>
      </c>
      <c r="K76" s="64">
        <v>0.00101</v>
      </c>
      <c r="L76" s="65"/>
      <c r="M76" s="66"/>
      <c r="N76" s="65"/>
      <c r="O76" s="65"/>
      <c r="P76" s="69"/>
      <c r="Q76" s="69"/>
      <c r="R76" s="65"/>
      <c r="S76" s="65"/>
      <c r="T76" s="65"/>
      <c r="U76" s="65"/>
      <c r="V76" s="69"/>
      <c r="W76" s="69"/>
      <c r="X76" s="97"/>
      <c r="Y76" s="97"/>
    </row>
    <row r="77" ht="25" customHeight="1" spans="1:25">
      <c r="A77" s="111"/>
      <c r="B77" s="111"/>
      <c r="C77" s="54">
        <v>107</v>
      </c>
      <c r="D77" s="55"/>
      <c r="E77" s="55"/>
      <c r="F77" s="55"/>
      <c r="G77" s="59">
        <v>0.0302</v>
      </c>
      <c r="H77" s="61">
        <v>1000</v>
      </c>
      <c r="I77" s="59">
        <v>9.801</v>
      </c>
      <c r="J77" s="62">
        <v>4e-6</v>
      </c>
      <c r="K77" s="64">
        <v>0.00101</v>
      </c>
      <c r="L77" s="65"/>
      <c r="M77" s="66"/>
      <c r="N77" s="65"/>
      <c r="O77" s="65"/>
      <c r="P77" s="69"/>
      <c r="Q77" s="69"/>
      <c r="R77" s="65"/>
      <c r="S77" s="65"/>
      <c r="T77" s="65"/>
      <c r="U77" s="65"/>
      <c r="V77" s="69"/>
      <c r="W77" s="69"/>
      <c r="X77" s="97"/>
      <c r="Y77" s="97"/>
    </row>
    <row r="78" ht="25" customHeight="1" spans="1:25">
      <c r="A78" s="111"/>
      <c r="B78" s="111"/>
      <c r="C78" s="54">
        <v>108</v>
      </c>
      <c r="D78" s="55"/>
      <c r="E78" s="55"/>
      <c r="F78" s="55"/>
      <c r="G78" s="59">
        <v>0.0302</v>
      </c>
      <c r="H78" s="61">
        <v>1000</v>
      </c>
      <c r="I78" s="59">
        <v>9.801</v>
      </c>
      <c r="J78" s="62">
        <v>4e-6</v>
      </c>
      <c r="K78" s="64">
        <v>0.00101</v>
      </c>
      <c r="L78" s="65"/>
      <c r="M78" s="66"/>
      <c r="N78" s="65"/>
      <c r="O78" s="65"/>
      <c r="P78" s="69"/>
      <c r="Q78" s="69"/>
      <c r="R78" s="65"/>
      <c r="S78" s="65"/>
      <c r="T78" s="65"/>
      <c r="U78" s="65"/>
      <c r="V78" s="69"/>
      <c r="W78" s="69"/>
      <c r="X78" s="4"/>
      <c r="Y78" s="6"/>
    </row>
    <row r="79" ht="25" customHeight="1" spans="1:25">
      <c r="A79" s="111"/>
      <c r="B79" s="111"/>
      <c r="C79" s="54">
        <v>109</v>
      </c>
      <c r="D79" s="55"/>
      <c r="E79" s="55"/>
      <c r="F79" s="55"/>
      <c r="G79" s="59">
        <v>0.0302</v>
      </c>
      <c r="H79" s="61">
        <v>1000</v>
      </c>
      <c r="I79" s="59">
        <v>9.801</v>
      </c>
      <c r="J79" s="62">
        <v>4e-6</v>
      </c>
      <c r="K79" s="64">
        <v>0.00101</v>
      </c>
      <c r="L79" s="65"/>
      <c r="M79" s="66"/>
      <c r="N79" s="65"/>
      <c r="O79" s="65"/>
      <c r="P79" s="69"/>
      <c r="Q79" s="69"/>
      <c r="R79" s="65"/>
      <c r="S79" s="65"/>
      <c r="T79" s="65"/>
      <c r="U79" s="65"/>
      <c r="V79" s="69"/>
      <c r="W79" s="69"/>
      <c r="X79" s="97"/>
      <c r="Y79" s="97"/>
    </row>
    <row r="80" ht="25" customHeight="1" spans="1:25">
      <c r="A80" s="111"/>
      <c r="B80" s="111"/>
      <c r="C80" s="54">
        <v>110</v>
      </c>
      <c r="D80" s="55"/>
      <c r="E80" s="55"/>
      <c r="F80" s="55"/>
      <c r="G80" s="59">
        <v>0.0302</v>
      </c>
      <c r="H80" s="61">
        <v>1000</v>
      </c>
      <c r="I80" s="59">
        <v>9.801</v>
      </c>
      <c r="J80" s="62">
        <v>4e-6</v>
      </c>
      <c r="K80" s="64">
        <v>0.00101</v>
      </c>
      <c r="L80" s="65"/>
      <c r="M80" s="66"/>
      <c r="N80" s="65"/>
      <c r="O80" s="65"/>
      <c r="P80" s="69"/>
      <c r="Q80" s="69"/>
      <c r="R80" s="65"/>
      <c r="S80" s="65"/>
      <c r="T80" s="65"/>
      <c r="U80" s="65"/>
      <c r="V80" s="69"/>
      <c r="W80" s="69"/>
      <c r="X80" s="113"/>
      <c r="Y80" s="114"/>
    </row>
    <row r="81" ht="25" customHeight="1" spans="1:25">
      <c r="A81" s="111"/>
      <c r="B81" s="111"/>
      <c r="C81" s="54">
        <v>111</v>
      </c>
      <c r="D81" s="55"/>
      <c r="E81" s="55"/>
      <c r="F81" s="55"/>
      <c r="G81" s="59">
        <v>0.0302</v>
      </c>
      <c r="H81" s="61">
        <v>1000</v>
      </c>
      <c r="I81" s="59">
        <v>9.801</v>
      </c>
      <c r="J81" s="62">
        <v>4e-6</v>
      </c>
      <c r="K81" s="64">
        <v>0.00101</v>
      </c>
      <c r="L81" s="65"/>
      <c r="M81" s="66"/>
      <c r="N81" s="65"/>
      <c r="O81" s="65"/>
      <c r="P81" s="69"/>
      <c r="Q81" s="69"/>
      <c r="R81" s="65"/>
      <c r="S81" s="65"/>
      <c r="T81" s="65"/>
      <c r="U81" s="65"/>
      <c r="V81" s="69"/>
      <c r="W81" s="69"/>
      <c r="X81" s="4"/>
      <c r="Y81" s="6"/>
    </row>
    <row r="82" ht="25" customHeight="1" spans="1:25">
      <c r="A82" s="111"/>
      <c r="B82" s="111"/>
      <c r="C82" s="54">
        <v>112</v>
      </c>
      <c r="D82" s="55"/>
      <c r="E82" s="55"/>
      <c r="F82" s="55"/>
      <c r="G82" s="59">
        <v>0.0302</v>
      </c>
      <c r="H82" s="61">
        <v>1000</v>
      </c>
      <c r="I82" s="59">
        <v>9.801</v>
      </c>
      <c r="J82" s="62">
        <v>4e-6</v>
      </c>
      <c r="K82" s="64">
        <v>0.00101</v>
      </c>
      <c r="L82" s="65"/>
      <c r="M82" s="66"/>
      <c r="N82" s="65"/>
      <c r="O82" s="65"/>
      <c r="P82" s="69"/>
      <c r="Q82" s="69"/>
      <c r="R82" s="65"/>
      <c r="S82" s="65"/>
      <c r="T82" s="65"/>
      <c r="U82" s="65"/>
      <c r="V82" s="69"/>
      <c r="W82" s="69"/>
      <c r="X82" s="4"/>
      <c r="Y82" s="6"/>
    </row>
    <row r="83" ht="25" customHeight="1" spans="1:25">
      <c r="A83" s="111"/>
      <c r="B83" s="111"/>
      <c r="C83" s="54">
        <v>113</v>
      </c>
      <c r="D83" s="55"/>
      <c r="E83" s="55"/>
      <c r="F83" s="55"/>
      <c r="G83" s="59">
        <v>0.0302</v>
      </c>
      <c r="H83" s="61">
        <v>1000</v>
      </c>
      <c r="I83" s="59">
        <v>9.801</v>
      </c>
      <c r="J83" s="62">
        <v>4e-6</v>
      </c>
      <c r="K83" s="64">
        <v>0.00101</v>
      </c>
      <c r="L83" s="65"/>
      <c r="M83" s="66"/>
      <c r="N83" s="65"/>
      <c r="O83" s="65"/>
      <c r="P83" s="69"/>
      <c r="Q83" s="69"/>
      <c r="R83" s="65"/>
      <c r="S83" s="65"/>
      <c r="T83" s="65"/>
      <c r="U83" s="65"/>
      <c r="V83" s="69"/>
      <c r="W83" s="69"/>
      <c r="X83" s="4"/>
      <c r="Y83" s="6"/>
    </row>
    <row r="84" ht="25" customHeight="1" spans="1:25">
      <c r="A84" s="111"/>
      <c r="B84" s="111"/>
      <c r="C84" s="54">
        <v>114</v>
      </c>
      <c r="D84" s="55"/>
      <c r="E84" s="55"/>
      <c r="F84" s="55"/>
      <c r="G84" s="59">
        <v>0.0302</v>
      </c>
      <c r="H84" s="61">
        <v>1000</v>
      </c>
      <c r="I84" s="59">
        <v>9.801</v>
      </c>
      <c r="J84" s="62">
        <v>4e-6</v>
      </c>
      <c r="K84" s="64">
        <v>0.00101</v>
      </c>
      <c r="L84" s="65"/>
      <c r="M84" s="66"/>
      <c r="N84" s="65"/>
      <c r="O84" s="65"/>
      <c r="P84" s="69"/>
      <c r="Q84" s="69"/>
      <c r="R84" s="65"/>
      <c r="S84" s="65"/>
      <c r="T84" s="65"/>
      <c r="U84" s="65"/>
      <c r="V84" s="69"/>
      <c r="W84" s="69"/>
      <c r="X84" s="4"/>
      <c r="Y84" s="6"/>
    </row>
    <row r="85" ht="25" customHeight="1" spans="1:25">
      <c r="A85" s="111"/>
      <c r="B85" s="111"/>
      <c r="C85" s="54">
        <v>115</v>
      </c>
      <c r="D85" s="55"/>
      <c r="E85" s="55"/>
      <c r="F85" s="55"/>
      <c r="G85" s="59">
        <v>0.0302</v>
      </c>
      <c r="H85" s="61">
        <v>1000</v>
      </c>
      <c r="I85" s="59">
        <v>9.801</v>
      </c>
      <c r="J85" s="62">
        <v>4e-6</v>
      </c>
      <c r="K85" s="64">
        <v>0.00101</v>
      </c>
      <c r="L85" s="65"/>
      <c r="M85" s="66"/>
      <c r="N85" s="65"/>
      <c r="O85" s="65"/>
      <c r="P85" s="69"/>
      <c r="Q85" s="69"/>
      <c r="R85" s="65"/>
      <c r="S85" s="65"/>
      <c r="T85" s="65"/>
      <c r="U85" s="65"/>
      <c r="V85" s="69"/>
      <c r="W85" s="69"/>
      <c r="X85" s="4"/>
      <c r="Y85" s="6"/>
    </row>
    <row r="86" ht="25" customHeight="1" spans="1:25">
      <c r="A86" s="111"/>
      <c r="B86" s="111"/>
      <c r="C86" s="54">
        <v>116</v>
      </c>
      <c r="D86" s="55"/>
      <c r="E86" s="55"/>
      <c r="F86" s="55"/>
      <c r="G86" s="59">
        <v>0.0302</v>
      </c>
      <c r="H86" s="61">
        <v>1000</v>
      </c>
      <c r="I86" s="59">
        <v>9.801</v>
      </c>
      <c r="J86" s="62">
        <v>4e-6</v>
      </c>
      <c r="K86" s="64">
        <v>0.00101</v>
      </c>
      <c r="L86" s="65"/>
      <c r="M86" s="66"/>
      <c r="N86" s="65"/>
      <c r="O86" s="65"/>
      <c r="P86" s="69"/>
      <c r="Q86" s="69"/>
      <c r="R86" s="65"/>
      <c r="S86" s="65"/>
      <c r="T86" s="65"/>
      <c r="U86" s="65"/>
      <c r="V86" s="69"/>
      <c r="W86" s="69"/>
      <c r="X86" s="4"/>
      <c r="Y86" s="6"/>
    </row>
    <row r="87" ht="25" customHeight="1" spans="1:25">
      <c r="A87" s="111"/>
      <c r="B87" s="111"/>
      <c r="C87" s="54" t="s">
        <v>106</v>
      </c>
      <c r="D87" s="55"/>
      <c r="E87" s="55"/>
      <c r="F87" s="55"/>
      <c r="G87" s="59">
        <v>0.0302</v>
      </c>
      <c r="H87" s="61">
        <v>1000</v>
      </c>
      <c r="I87" s="59">
        <v>9.801</v>
      </c>
      <c r="J87" s="62">
        <v>4e-6</v>
      </c>
      <c r="K87" s="64">
        <v>0.00101</v>
      </c>
      <c r="L87" s="65"/>
      <c r="M87" s="66"/>
      <c r="N87" s="65"/>
      <c r="O87" s="65"/>
      <c r="P87" s="69"/>
      <c r="Q87" s="69"/>
      <c r="R87" s="65"/>
      <c r="S87" s="65"/>
      <c r="T87" s="65"/>
      <c r="U87" s="65"/>
      <c r="V87" s="69"/>
      <c r="W87" s="69"/>
      <c r="X87" s="4"/>
      <c r="Y87" s="6"/>
    </row>
    <row r="88" ht="25" customHeight="1" spans="1:25">
      <c r="A88" s="111"/>
      <c r="B88" s="111"/>
      <c r="C88" s="54" t="s">
        <v>107</v>
      </c>
      <c r="D88" s="55"/>
      <c r="E88" s="55"/>
      <c r="F88" s="55"/>
      <c r="G88" s="59">
        <v>0.0302</v>
      </c>
      <c r="H88" s="61">
        <v>1000</v>
      </c>
      <c r="I88" s="59">
        <v>9.801</v>
      </c>
      <c r="J88" s="62">
        <v>4e-6</v>
      </c>
      <c r="K88" s="64">
        <v>0.00101</v>
      </c>
      <c r="L88" s="65"/>
      <c r="M88" s="66"/>
      <c r="N88" s="65"/>
      <c r="O88" s="65"/>
      <c r="P88" s="69"/>
      <c r="Q88" s="69"/>
      <c r="R88" s="65"/>
      <c r="S88" s="65"/>
      <c r="T88" s="65"/>
      <c r="U88" s="65"/>
      <c r="V88" s="69"/>
      <c r="W88" s="69"/>
      <c r="X88" s="4"/>
      <c r="Y88" s="6"/>
    </row>
    <row r="89" ht="25" customHeight="1" spans="1:25">
      <c r="A89" s="111"/>
      <c r="B89" s="111"/>
      <c r="C89" s="54">
        <v>118</v>
      </c>
      <c r="D89" s="55"/>
      <c r="E89" s="55"/>
      <c r="F89" s="55"/>
      <c r="G89" s="59">
        <v>0.0302</v>
      </c>
      <c r="H89" s="61">
        <v>1000</v>
      </c>
      <c r="I89" s="59">
        <v>9.801</v>
      </c>
      <c r="J89" s="62">
        <v>4e-6</v>
      </c>
      <c r="K89" s="64">
        <v>0.00101</v>
      </c>
      <c r="L89" s="65"/>
      <c r="M89" s="66"/>
      <c r="N89" s="65"/>
      <c r="O89" s="65"/>
      <c r="P89" s="69"/>
      <c r="Q89" s="69"/>
      <c r="R89" s="65"/>
      <c r="S89" s="65"/>
      <c r="T89" s="65"/>
      <c r="U89" s="65"/>
      <c r="V89" s="69"/>
      <c r="W89" s="69"/>
      <c r="X89" s="4"/>
      <c r="Y89" s="6"/>
    </row>
    <row r="90" ht="25" customHeight="1" spans="1:25">
      <c r="A90" s="111"/>
      <c r="B90" s="111"/>
      <c r="C90" s="54">
        <v>119</v>
      </c>
      <c r="D90" s="55"/>
      <c r="E90" s="55"/>
      <c r="F90" s="55"/>
      <c r="G90" s="59">
        <v>0.0302</v>
      </c>
      <c r="H90" s="61">
        <v>1000</v>
      </c>
      <c r="I90" s="59">
        <v>9.801</v>
      </c>
      <c r="J90" s="62">
        <v>4e-6</v>
      </c>
      <c r="K90" s="64">
        <v>0.00101</v>
      </c>
      <c r="L90" s="65"/>
      <c r="M90" s="66"/>
      <c r="N90" s="65"/>
      <c r="O90" s="65"/>
      <c r="P90" s="69"/>
      <c r="Q90" s="69"/>
      <c r="R90" s="65"/>
      <c r="S90" s="65"/>
      <c r="T90" s="65"/>
      <c r="U90" s="65"/>
      <c r="V90" s="69"/>
      <c r="W90" s="69"/>
      <c r="X90" s="4"/>
      <c r="Y90" s="6"/>
    </row>
    <row r="91" ht="25" customHeight="1" spans="1:25">
      <c r="A91" s="111"/>
      <c r="B91" s="111"/>
      <c r="C91" s="54">
        <v>120</v>
      </c>
      <c r="D91" s="55"/>
      <c r="E91" s="55"/>
      <c r="F91" s="55"/>
      <c r="G91" s="59">
        <v>0.0302</v>
      </c>
      <c r="H91" s="61">
        <v>1000</v>
      </c>
      <c r="I91" s="59">
        <v>9.801</v>
      </c>
      <c r="J91" s="62">
        <v>4e-6</v>
      </c>
      <c r="K91" s="64">
        <v>0.00101</v>
      </c>
      <c r="L91" s="65"/>
      <c r="M91" s="66"/>
      <c r="N91" s="65"/>
      <c r="O91" s="65"/>
      <c r="P91" s="69"/>
      <c r="Q91" s="69"/>
      <c r="R91" s="65"/>
      <c r="S91" s="65"/>
      <c r="T91" s="65"/>
      <c r="U91" s="65"/>
      <c r="V91" s="69"/>
      <c r="W91" s="69"/>
      <c r="X91" s="4"/>
      <c r="Y91" s="6"/>
    </row>
    <row r="92" ht="25" customHeight="1" spans="1:25">
      <c r="A92" s="111"/>
      <c r="B92" s="111"/>
      <c r="C92" s="54">
        <v>121</v>
      </c>
      <c r="D92" s="55"/>
      <c r="E92" s="55"/>
      <c r="F92" s="55"/>
      <c r="G92" s="59">
        <v>0.0302</v>
      </c>
      <c r="H92" s="61">
        <v>1000</v>
      </c>
      <c r="I92" s="59">
        <v>9.801</v>
      </c>
      <c r="J92" s="62">
        <v>4e-6</v>
      </c>
      <c r="K92" s="64">
        <v>0.00101</v>
      </c>
      <c r="L92" s="65"/>
      <c r="M92" s="66"/>
      <c r="N92" s="65"/>
      <c r="O92" s="65"/>
      <c r="P92" s="69"/>
      <c r="Q92" s="69"/>
      <c r="R92" s="65"/>
      <c r="S92" s="65"/>
      <c r="T92" s="65"/>
      <c r="U92" s="65"/>
      <c r="V92" s="69"/>
      <c r="W92" s="69"/>
      <c r="X92" s="4"/>
      <c r="Y92" s="6"/>
    </row>
    <row r="93" ht="25" customHeight="1" spans="1:25">
      <c r="A93" s="111"/>
      <c r="B93" s="111"/>
      <c r="C93" s="54">
        <v>122</v>
      </c>
      <c r="D93" s="55"/>
      <c r="E93" s="55"/>
      <c r="F93" s="55"/>
      <c r="G93" s="59">
        <v>0.0302</v>
      </c>
      <c r="H93" s="61">
        <v>1000</v>
      </c>
      <c r="I93" s="59">
        <v>9.801</v>
      </c>
      <c r="J93" s="62">
        <v>4e-6</v>
      </c>
      <c r="K93" s="64">
        <v>0.00101</v>
      </c>
      <c r="L93" s="65"/>
      <c r="M93" s="66"/>
      <c r="N93" s="65"/>
      <c r="O93" s="65"/>
      <c r="P93" s="69"/>
      <c r="Q93" s="69"/>
      <c r="R93" s="65"/>
      <c r="S93" s="65"/>
      <c r="T93" s="65"/>
      <c r="U93" s="65"/>
      <c r="V93" s="69"/>
      <c r="W93" s="69"/>
      <c r="X93" s="4"/>
      <c r="Y93" s="6"/>
    </row>
    <row r="94" ht="25" customHeight="1" spans="1:25">
      <c r="A94" s="111"/>
      <c r="B94" s="111"/>
      <c r="C94" s="54">
        <v>123</v>
      </c>
      <c r="D94" s="55"/>
      <c r="E94" s="55"/>
      <c r="F94" s="55"/>
      <c r="G94" s="59">
        <v>0.0302</v>
      </c>
      <c r="H94" s="61">
        <v>1000</v>
      </c>
      <c r="I94" s="59">
        <v>9.801</v>
      </c>
      <c r="J94" s="62">
        <v>4e-6</v>
      </c>
      <c r="K94" s="64">
        <v>0.00101</v>
      </c>
      <c r="L94" s="65"/>
      <c r="M94" s="66"/>
      <c r="N94" s="65"/>
      <c r="O94" s="65"/>
      <c r="P94" s="69"/>
      <c r="Q94" s="69"/>
      <c r="R94" s="65"/>
      <c r="S94" s="65"/>
      <c r="T94" s="65"/>
      <c r="U94" s="65"/>
      <c r="V94" s="69"/>
      <c r="W94" s="69"/>
      <c r="X94" s="4"/>
      <c r="Y94" s="6"/>
    </row>
    <row r="95" ht="25" customHeight="1" spans="1:25">
      <c r="A95" s="111"/>
      <c r="B95" s="111"/>
      <c r="C95" s="54">
        <v>124</v>
      </c>
      <c r="D95" s="55"/>
      <c r="E95" s="55"/>
      <c r="F95" s="55"/>
      <c r="G95" s="59">
        <v>0.0302</v>
      </c>
      <c r="H95" s="61">
        <v>1000</v>
      </c>
      <c r="I95" s="59">
        <v>9.801</v>
      </c>
      <c r="J95" s="62">
        <v>4e-6</v>
      </c>
      <c r="K95" s="64">
        <v>0.00101</v>
      </c>
      <c r="L95" s="65"/>
      <c r="M95" s="66"/>
      <c r="N95" s="65"/>
      <c r="O95" s="65"/>
      <c r="P95" s="69"/>
      <c r="Q95" s="69"/>
      <c r="R95" s="65"/>
      <c r="S95" s="65"/>
      <c r="T95" s="65"/>
      <c r="U95" s="65"/>
      <c r="V95" s="69"/>
      <c r="W95" s="69"/>
      <c r="X95" s="4"/>
      <c r="Y95" s="6"/>
    </row>
    <row r="96" ht="25" customHeight="1" spans="1:25">
      <c r="A96" s="111"/>
      <c r="B96" s="111"/>
      <c r="C96" s="54">
        <v>125</v>
      </c>
      <c r="D96" s="55"/>
      <c r="E96" s="55"/>
      <c r="F96" s="55"/>
      <c r="G96" s="59">
        <v>0.0302</v>
      </c>
      <c r="H96" s="61">
        <v>1000</v>
      </c>
      <c r="I96" s="59">
        <v>9.801</v>
      </c>
      <c r="J96" s="62">
        <v>4e-6</v>
      </c>
      <c r="K96" s="64">
        <v>0.00101</v>
      </c>
      <c r="L96" s="65"/>
      <c r="M96" s="66"/>
      <c r="N96" s="65"/>
      <c r="O96" s="65"/>
      <c r="P96" s="69"/>
      <c r="Q96" s="69"/>
      <c r="R96" s="65"/>
      <c r="S96" s="65"/>
      <c r="T96" s="65"/>
      <c r="U96" s="65"/>
      <c r="V96" s="69"/>
      <c r="W96" s="69"/>
      <c r="X96" s="4"/>
      <c r="Y96" s="6"/>
    </row>
    <row r="97" ht="25" customHeight="1" spans="1:25">
      <c r="A97" s="111"/>
      <c r="B97" s="111"/>
      <c r="C97" s="54">
        <v>126</v>
      </c>
      <c r="D97" s="55"/>
      <c r="E97" s="55"/>
      <c r="F97" s="55"/>
      <c r="G97" s="59">
        <v>0.0302</v>
      </c>
      <c r="H97" s="61">
        <v>1000</v>
      </c>
      <c r="I97" s="59">
        <v>9.801</v>
      </c>
      <c r="J97" s="62">
        <v>4e-6</v>
      </c>
      <c r="K97" s="64">
        <v>0.00101</v>
      </c>
      <c r="L97" s="65"/>
      <c r="M97" s="66"/>
      <c r="N97" s="65"/>
      <c r="O97" s="65"/>
      <c r="P97" s="69"/>
      <c r="Q97" s="69"/>
      <c r="R97" s="65"/>
      <c r="S97" s="65"/>
      <c r="T97" s="65"/>
      <c r="U97" s="65"/>
      <c r="V97" s="69"/>
      <c r="W97" s="69"/>
      <c r="X97" s="4"/>
      <c r="Y97" s="6"/>
    </row>
    <row r="98" ht="25" customHeight="1" spans="1:25">
      <c r="A98" s="111"/>
      <c r="B98" s="111"/>
      <c r="C98" s="54">
        <v>127</v>
      </c>
      <c r="D98" s="55"/>
      <c r="E98" s="55"/>
      <c r="F98" s="55"/>
      <c r="G98" s="59">
        <v>0.0302</v>
      </c>
      <c r="H98" s="61">
        <v>1000</v>
      </c>
      <c r="I98" s="59">
        <v>9.801</v>
      </c>
      <c r="J98" s="62">
        <v>4e-6</v>
      </c>
      <c r="K98" s="64">
        <v>0.00101</v>
      </c>
      <c r="L98" s="65"/>
      <c r="M98" s="66"/>
      <c r="N98" s="65"/>
      <c r="O98" s="65"/>
      <c r="P98" s="69"/>
      <c r="Q98" s="69"/>
      <c r="R98" s="65"/>
      <c r="S98" s="65"/>
      <c r="T98" s="65"/>
      <c r="U98" s="65"/>
      <c r="V98" s="69"/>
      <c r="W98" s="69"/>
      <c r="X98" s="4"/>
      <c r="Y98" s="6"/>
    </row>
    <row r="99" ht="25" customHeight="1" spans="1:25">
      <c r="A99" s="111"/>
      <c r="B99" s="111"/>
      <c r="C99" s="54">
        <v>128</v>
      </c>
      <c r="D99" s="55"/>
      <c r="E99" s="55"/>
      <c r="F99" s="55"/>
      <c r="G99" s="59">
        <v>0.0302</v>
      </c>
      <c r="H99" s="61">
        <v>1000</v>
      </c>
      <c r="I99" s="59">
        <v>9.801</v>
      </c>
      <c r="J99" s="62">
        <v>4e-6</v>
      </c>
      <c r="K99" s="64">
        <v>0.00101</v>
      </c>
      <c r="L99" s="65"/>
      <c r="M99" s="66"/>
      <c r="N99" s="65"/>
      <c r="O99" s="65"/>
      <c r="P99" s="69"/>
      <c r="Q99" s="69"/>
      <c r="R99" s="65"/>
      <c r="S99" s="65"/>
      <c r="T99" s="65"/>
      <c r="U99" s="65"/>
      <c r="V99" s="69"/>
      <c r="W99" s="69"/>
      <c r="X99" s="4"/>
      <c r="Y99" s="6"/>
    </row>
    <row r="100" ht="25" customHeight="1" spans="1:25">
      <c r="A100" s="111"/>
      <c r="B100" s="111"/>
      <c r="C100" s="54">
        <v>129</v>
      </c>
      <c r="D100" s="55"/>
      <c r="E100" s="55"/>
      <c r="F100" s="55"/>
      <c r="G100" s="59">
        <v>0.0302</v>
      </c>
      <c r="H100" s="61">
        <v>1000</v>
      </c>
      <c r="I100" s="59">
        <v>9.801</v>
      </c>
      <c r="J100" s="62">
        <v>4e-6</v>
      </c>
      <c r="K100" s="64">
        <v>0.00101</v>
      </c>
      <c r="L100" s="65"/>
      <c r="M100" s="66"/>
      <c r="N100" s="65"/>
      <c r="O100" s="65"/>
      <c r="P100" s="69"/>
      <c r="Q100" s="69"/>
      <c r="R100" s="65"/>
      <c r="S100" s="65"/>
      <c r="T100" s="65"/>
      <c r="U100" s="65"/>
      <c r="V100" s="69"/>
      <c r="W100" s="69"/>
      <c r="X100" s="4"/>
      <c r="Y100" s="6"/>
    </row>
    <row r="101" ht="25" customHeight="1" spans="1:25">
      <c r="A101" s="111"/>
      <c r="B101" s="111"/>
      <c r="C101" s="54">
        <v>130</v>
      </c>
      <c r="D101" s="55"/>
      <c r="E101" s="55"/>
      <c r="F101" s="55"/>
      <c r="G101" s="59">
        <v>0.0302</v>
      </c>
      <c r="H101" s="61">
        <v>1000</v>
      </c>
      <c r="I101" s="59">
        <v>9.801</v>
      </c>
      <c r="J101" s="62">
        <v>4e-6</v>
      </c>
      <c r="K101" s="64">
        <v>0.00101</v>
      </c>
      <c r="L101" s="65"/>
      <c r="M101" s="66"/>
      <c r="N101" s="65"/>
      <c r="O101" s="65"/>
      <c r="P101" s="69"/>
      <c r="Q101" s="69"/>
      <c r="R101" s="65"/>
      <c r="S101" s="65"/>
      <c r="T101" s="65"/>
      <c r="U101" s="65"/>
      <c r="V101" s="69"/>
      <c r="W101" s="69"/>
      <c r="X101" s="4"/>
      <c r="Y101" s="6"/>
    </row>
    <row r="102" ht="25" customHeight="1" spans="1:25">
      <c r="A102" s="111"/>
      <c r="B102" s="111"/>
      <c r="C102" s="54">
        <v>131</v>
      </c>
      <c r="D102" s="55"/>
      <c r="E102" s="55"/>
      <c r="F102" s="55"/>
      <c r="G102" s="59">
        <v>0.0302</v>
      </c>
      <c r="H102" s="61">
        <v>1000</v>
      </c>
      <c r="I102" s="59">
        <v>9.801</v>
      </c>
      <c r="J102" s="62">
        <v>4e-6</v>
      </c>
      <c r="K102" s="64">
        <v>0.00101</v>
      </c>
      <c r="L102" s="65"/>
      <c r="M102" s="66"/>
      <c r="N102" s="65"/>
      <c r="O102" s="65"/>
      <c r="P102" s="69"/>
      <c r="Q102" s="69"/>
      <c r="R102" s="65"/>
      <c r="S102" s="65"/>
      <c r="T102" s="65"/>
      <c r="U102" s="65"/>
      <c r="V102" s="69"/>
      <c r="W102" s="69"/>
      <c r="X102" s="4"/>
      <c r="Y102" s="6"/>
    </row>
    <row r="103" ht="25" customHeight="1" spans="1:25">
      <c r="A103" s="111"/>
      <c r="B103" s="111"/>
      <c r="C103" s="54">
        <v>132</v>
      </c>
      <c r="D103" s="55"/>
      <c r="E103" s="55"/>
      <c r="F103" s="55"/>
      <c r="G103" s="59">
        <v>0.0302</v>
      </c>
      <c r="H103" s="61">
        <v>1000</v>
      </c>
      <c r="I103" s="59">
        <v>9.801</v>
      </c>
      <c r="J103" s="62">
        <v>4e-6</v>
      </c>
      <c r="K103" s="64">
        <v>0.00101</v>
      </c>
      <c r="L103" s="65"/>
      <c r="M103" s="66"/>
      <c r="N103" s="65"/>
      <c r="O103" s="65"/>
      <c r="P103" s="69"/>
      <c r="Q103" s="69"/>
      <c r="R103" s="65"/>
      <c r="S103" s="65"/>
      <c r="T103" s="65"/>
      <c r="U103" s="65"/>
      <c r="V103" s="69"/>
      <c r="W103" s="69"/>
      <c r="X103" s="4"/>
      <c r="Y103" s="6"/>
    </row>
    <row r="104" ht="25" customHeight="1" spans="1:25">
      <c r="A104" s="111"/>
      <c r="B104" s="111"/>
      <c r="C104" s="54">
        <v>133</v>
      </c>
      <c r="D104" s="55"/>
      <c r="E104" s="55"/>
      <c r="F104" s="55"/>
      <c r="G104" s="59">
        <v>0.0302</v>
      </c>
      <c r="H104" s="61">
        <v>1000</v>
      </c>
      <c r="I104" s="59">
        <v>9.801</v>
      </c>
      <c r="J104" s="62">
        <v>4e-6</v>
      </c>
      <c r="K104" s="64">
        <v>0.00101</v>
      </c>
      <c r="L104" s="65"/>
      <c r="M104" s="66"/>
      <c r="N104" s="65"/>
      <c r="O104" s="65"/>
      <c r="P104" s="69"/>
      <c r="Q104" s="69"/>
      <c r="R104" s="65"/>
      <c r="S104" s="65"/>
      <c r="T104" s="65"/>
      <c r="U104" s="65"/>
      <c r="V104" s="69"/>
      <c r="W104" s="69"/>
      <c r="X104" s="4"/>
      <c r="Y104" s="6"/>
    </row>
    <row r="105" ht="25" customHeight="1" spans="1:25">
      <c r="A105" s="111"/>
      <c r="B105" s="111"/>
      <c r="C105" s="54">
        <v>134</v>
      </c>
      <c r="D105" s="55"/>
      <c r="E105" s="55"/>
      <c r="F105" s="55"/>
      <c r="G105" s="59">
        <v>0.0302</v>
      </c>
      <c r="H105" s="61">
        <v>1000</v>
      </c>
      <c r="I105" s="59">
        <v>9.801</v>
      </c>
      <c r="J105" s="62">
        <v>4e-6</v>
      </c>
      <c r="K105" s="64">
        <v>0.00101</v>
      </c>
      <c r="L105" s="65"/>
      <c r="M105" s="66"/>
      <c r="N105" s="65"/>
      <c r="O105" s="65"/>
      <c r="P105" s="69"/>
      <c r="Q105" s="69"/>
      <c r="R105" s="65"/>
      <c r="S105" s="65"/>
      <c r="T105" s="65"/>
      <c r="U105" s="65"/>
      <c r="V105" s="69"/>
      <c r="W105" s="69"/>
      <c r="X105" s="4"/>
      <c r="Y105" s="6"/>
    </row>
    <row r="106" ht="25" customHeight="1" spans="1:25">
      <c r="A106" s="111"/>
      <c r="B106" s="111"/>
      <c r="C106" s="54">
        <v>135</v>
      </c>
      <c r="D106" s="55"/>
      <c r="E106" s="55"/>
      <c r="F106" s="55"/>
      <c r="G106" s="59">
        <v>0.0302</v>
      </c>
      <c r="H106" s="61">
        <v>1000</v>
      </c>
      <c r="I106" s="59">
        <v>9.801</v>
      </c>
      <c r="J106" s="62">
        <v>4e-6</v>
      </c>
      <c r="K106" s="64">
        <v>0.00101</v>
      </c>
      <c r="L106" s="65"/>
      <c r="M106" s="66"/>
      <c r="N106" s="65"/>
      <c r="O106" s="65"/>
      <c r="P106" s="69"/>
      <c r="Q106" s="69"/>
      <c r="R106" s="65"/>
      <c r="S106" s="65"/>
      <c r="T106" s="65"/>
      <c r="U106" s="65"/>
      <c r="V106" s="69"/>
      <c r="W106" s="69"/>
      <c r="X106" s="4"/>
      <c r="Y106" s="6"/>
    </row>
    <row r="107" ht="25" customHeight="1" spans="1:25">
      <c r="A107" s="111"/>
      <c r="B107" s="111"/>
      <c r="C107" s="54">
        <v>136</v>
      </c>
      <c r="D107" s="55"/>
      <c r="E107" s="55"/>
      <c r="F107" s="55"/>
      <c r="G107" s="59">
        <v>0.0302</v>
      </c>
      <c r="H107" s="61">
        <v>1000</v>
      </c>
      <c r="I107" s="59">
        <v>9.801</v>
      </c>
      <c r="J107" s="62">
        <v>4e-6</v>
      </c>
      <c r="K107" s="64">
        <v>0.00101</v>
      </c>
      <c r="L107" s="65"/>
      <c r="M107" s="66"/>
      <c r="N107" s="65"/>
      <c r="O107" s="65"/>
      <c r="P107" s="69"/>
      <c r="Q107" s="69"/>
      <c r="R107" s="65"/>
      <c r="S107" s="65"/>
      <c r="T107" s="65"/>
      <c r="U107" s="65"/>
      <c r="V107" s="69"/>
      <c r="W107" s="69"/>
      <c r="X107" s="4"/>
      <c r="Y107" s="6"/>
    </row>
    <row r="108" ht="25" customHeight="1" spans="1:25">
      <c r="A108" s="111"/>
      <c r="B108" s="111"/>
      <c r="C108" s="54">
        <v>137</v>
      </c>
      <c r="D108" s="55"/>
      <c r="E108" s="55"/>
      <c r="F108" s="55"/>
      <c r="G108" s="59">
        <v>0.0302</v>
      </c>
      <c r="H108" s="61">
        <v>1000</v>
      </c>
      <c r="I108" s="59">
        <v>9.801</v>
      </c>
      <c r="J108" s="62">
        <v>4e-6</v>
      </c>
      <c r="K108" s="64">
        <v>0.00101</v>
      </c>
      <c r="L108" s="65"/>
      <c r="M108" s="66"/>
      <c r="N108" s="65"/>
      <c r="O108" s="65"/>
      <c r="P108" s="69"/>
      <c r="Q108" s="69"/>
      <c r="R108" s="65"/>
      <c r="S108" s="65"/>
      <c r="T108" s="65"/>
      <c r="U108" s="65"/>
      <c r="V108" s="69"/>
      <c r="W108" s="69"/>
      <c r="X108" s="4"/>
      <c r="Y108" s="6"/>
    </row>
    <row r="109" ht="25" customHeight="1" spans="1:25">
      <c r="A109" s="111"/>
      <c r="B109" s="111"/>
      <c r="C109" s="54" t="s">
        <v>108</v>
      </c>
      <c r="D109" s="55">
        <v>0.3</v>
      </c>
      <c r="E109" s="55" t="s">
        <v>109</v>
      </c>
      <c r="F109" s="55">
        <v>1.8</v>
      </c>
      <c r="G109" s="59">
        <v>0.0302</v>
      </c>
      <c r="H109" s="61">
        <v>1000</v>
      </c>
      <c r="I109" s="59">
        <v>9.801</v>
      </c>
      <c r="J109" s="62">
        <v>4e-6</v>
      </c>
      <c r="K109" s="64">
        <v>0.00101</v>
      </c>
      <c r="L109" s="65" t="e">
        <f>O109*(1+E109/9.801)-7.5*M109+18*P109</f>
        <v>#VALUE!</v>
      </c>
      <c r="M109" s="66">
        <f>F109/1000</f>
        <v>0.0018</v>
      </c>
      <c r="N109" s="65">
        <f>H109*2*M109*D109^2/G109</f>
        <v>10.7284768211921</v>
      </c>
      <c r="O109" s="65">
        <f>H109*I109*(M109*2)^2/G109</f>
        <v>4.20599205298013</v>
      </c>
      <c r="P109" s="69">
        <f>K109*D109/G109</f>
        <v>0.0100331125827815</v>
      </c>
      <c r="Q109" s="69">
        <f>K109/SQRT(H109*G109*M109*2)</f>
        <v>0.00306313862708045</v>
      </c>
      <c r="R109" s="65">
        <f>SQRT(H109*8*(M109^3)/G109)</f>
        <v>0.0393052243633293</v>
      </c>
      <c r="S109" s="65">
        <f>K109*(2*M109)^2/(H109*(D109*J109)^2)</f>
        <v>9.09</v>
      </c>
      <c r="T109" s="65">
        <f>R109/S109</f>
        <v>0.00432400708067429</v>
      </c>
      <c r="U109" s="65">
        <f>K109*(2*M109)^3/(H109*(D109)^2*(J109)^3)</f>
        <v>8181</v>
      </c>
      <c r="V109" s="69">
        <f>R109/U109</f>
        <v>4.80445231186032e-6</v>
      </c>
      <c r="W109" s="69">
        <f>0.5*H109*(4/3)*PI()*M109^3*D109^2</f>
        <v>1.09930610134414e-6</v>
      </c>
      <c r="X109" s="4"/>
      <c r="Y109" s="6"/>
    </row>
    <row r="110" ht="25" customHeight="1" spans="1:25">
      <c r="A110" s="111"/>
      <c r="B110" s="115"/>
      <c r="C110" s="54" t="s">
        <v>110</v>
      </c>
      <c r="D110" s="55">
        <v>0.7</v>
      </c>
      <c r="E110" s="55" t="s">
        <v>109</v>
      </c>
      <c r="F110" s="55">
        <v>1.8</v>
      </c>
      <c r="G110" s="59">
        <v>0.0302</v>
      </c>
      <c r="H110" s="61">
        <v>1000</v>
      </c>
      <c r="I110" s="59">
        <v>9.801</v>
      </c>
      <c r="J110" s="62">
        <v>4e-6</v>
      </c>
      <c r="K110" s="64">
        <v>0.00101</v>
      </c>
      <c r="L110" s="65" t="e">
        <f>O110*(1+E110/9.801)-7.5*M110+18*P110</f>
        <v>#VALUE!</v>
      </c>
      <c r="M110" s="66">
        <f>F110/1000</f>
        <v>0.0018</v>
      </c>
      <c r="N110" s="65">
        <f>H110*2*M110*D110^2/G110</f>
        <v>58.4105960264901</v>
      </c>
      <c r="O110" s="65">
        <f>H110*I110*(M110*2)^2/G110</f>
        <v>4.20599205298013</v>
      </c>
      <c r="P110" s="69">
        <f>K110*D110/G110</f>
        <v>0.0234105960264901</v>
      </c>
      <c r="Q110" s="69">
        <f>K110/SQRT(H110*G110*M110*2)</f>
        <v>0.00306313862708045</v>
      </c>
      <c r="R110" s="65">
        <f>SQRT(H110*8*(M110^3)/G110)</f>
        <v>0.0393052243633293</v>
      </c>
      <c r="S110" s="65">
        <f>K110*(2*M110)^2/(H110*(D110*J110)^2)</f>
        <v>1.66959183673469</v>
      </c>
      <c r="T110" s="65">
        <f>R110/S110</f>
        <v>0.0235418163281156</v>
      </c>
      <c r="U110" s="65">
        <f>K110*(2*M110)^3/(H110*(D110)^2*(J110)^3)</f>
        <v>1502.63265306122</v>
      </c>
      <c r="V110" s="69">
        <f>R110/U110</f>
        <v>2.61575736979062e-5</v>
      </c>
      <c r="W110" s="69">
        <f>0.5*H110*(4/3)*PI()*M110^3*D110^2</f>
        <v>5.98511099620699e-6</v>
      </c>
      <c r="X110" s="4"/>
      <c r="Y110" s="6"/>
    </row>
    <row r="111" ht="25" customHeight="1" spans="1:25">
      <c r="A111" s="111"/>
      <c r="B111" s="116" t="s">
        <v>63</v>
      </c>
      <c r="C111" s="80">
        <v>24</v>
      </c>
      <c r="D111" s="55">
        <v>0.434421302012416</v>
      </c>
      <c r="E111" s="55">
        <v>-29.0669323349156</v>
      </c>
      <c r="F111" s="55">
        <v>1.15848988842918</v>
      </c>
      <c r="G111" s="59">
        <v>0.0302</v>
      </c>
      <c r="H111" s="61">
        <v>1000</v>
      </c>
      <c r="I111" s="59">
        <v>9.801</v>
      </c>
      <c r="J111" s="62">
        <v>4e-6</v>
      </c>
      <c r="K111" s="64">
        <v>0.00101</v>
      </c>
      <c r="L111" s="65">
        <f t="shared" ref="L111:L119" si="58">O111*(1+E111/9.801)-7.5*M111+18*P111</f>
        <v>-3.17191255044502</v>
      </c>
      <c r="M111" s="66">
        <f t="shared" ref="M111:M119" si="59">F111/1000</f>
        <v>0.00115848988842918</v>
      </c>
      <c r="N111" s="65">
        <f t="shared" ref="N111:N119" si="60">H111*2*M111*D111^2/G111</f>
        <v>14.4789652575441</v>
      </c>
      <c r="O111" s="65">
        <f t="shared" ref="O111:O119" si="61">H111*I111*(M111*2)^2/G111</f>
        <v>1.74223980800392</v>
      </c>
      <c r="P111" s="69">
        <f t="shared" ref="P111:P119" si="62">K111*D111/G111</f>
        <v>0.0145286594381636</v>
      </c>
      <c r="Q111" s="69">
        <f t="shared" ref="Q111:Q119" si="63">K111/SQRT(H111*G111*M111*2)</f>
        <v>0.00381818336088664</v>
      </c>
      <c r="R111" s="65">
        <f t="shared" ref="R111:R119" si="64">SQRT(H111*8*(M111^3)/G111)</f>
        <v>0.0202945718386956</v>
      </c>
      <c r="S111" s="65">
        <f t="shared" ref="S111:S119" si="65">K111*(2*M111)^2/(H111*(D111*J111)^2)</f>
        <v>1.79565811151625</v>
      </c>
      <c r="T111" s="65">
        <f t="shared" ref="T111:T119" si="66">R111/S111</f>
        <v>0.0113020244268877</v>
      </c>
      <c r="U111" s="65">
        <f t="shared" ref="U111:U119" si="67">K111*(2*M111)^3/(H111*(D111)^2*(J111)^3)</f>
        <v>1040.1258826337</v>
      </c>
      <c r="V111" s="69">
        <f t="shared" ref="V111:V119" si="68">R111/U111</f>
        <v>1.95116496738911e-5</v>
      </c>
      <c r="W111" s="69">
        <f t="shared" ref="W111:W119" si="69">0.5*H111*(4/3)*PI()*M111^3*D111^2</f>
        <v>6.14550507974784e-7</v>
      </c>
      <c r="X111" s="4"/>
      <c r="Y111" s="6"/>
    </row>
    <row r="112" ht="25" customHeight="1" spans="1:25">
      <c r="A112" s="111"/>
      <c r="B112" s="116"/>
      <c r="C112" s="80">
        <v>25</v>
      </c>
      <c r="D112" s="55">
        <v>0.428729248751949</v>
      </c>
      <c r="E112" s="55">
        <v>-28.956501806821</v>
      </c>
      <c r="F112" s="55">
        <v>1.18207714490075</v>
      </c>
      <c r="G112" s="59">
        <v>0.0302</v>
      </c>
      <c r="H112" s="61">
        <v>1000</v>
      </c>
      <c r="I112" s="59">
        <v>9.801</v>
      </c>
      <c r="J112" s="62">
        <v>4e-6</v>
      </c>
      <c r="K112" s="64">
        <v>0.00101</v>
      </c>
      <c r="L112" s="65">
        <f t="shared" si="58"/>
        <v>-3.29595569568445</v>
      </c>
      <c r="M112" s="66">
        <f t="shared" si="59"/>
        <v>0.00118207714490075</v>
      </c>
      <c r="N112" s="65">
        <f t="shared" si="60"/>
        <v>14.3891486459918</v>
      </c>
      <c r="O112" s="65">
        <f t="shared" si="61"/>
        <v>1.8139072577542</v>
      </c>
      <c r="P112" s="69">
        <f t="shared" si="62"/>
        <v>0.0143382960675321</v>
      </c>
      <c r="Q112" s="69">
        <f t="shared" si="63"/>
        <v>0.00377989724817684</v>
      </c>
      <c r="R112" s="65">
        <f t="shared" si="64"/>
        <v>0.0209175228807123</v>
      </c>
      <c r="S112" s="65">
        <f t="shared" si="65"/>
        <v>1.91949417045112</v>
      </c>
      <c r="T112" s="65">
        <f t="shared" si="66"/>
        <v>0.0108974141222822</v>
      </c>
      <c r="U112" s="65">
        <f t="shared" si="67"/>
        <v>1134.49509433025</v>
      </c>
      <c r="V112" s="69">
        <f t="shared" si="68"/>
        <v>1.84377376202416e-5</v>
      </c>
      <c r="W112" s="69">
        <f t="shared" si="69"/>
        <v>6.3586116428126e-7</v>
      </c>
      <c r="X112" s="4"/>
      <c r="Y112" s="6"/>
    </row>
    <row r="113" ht="25" customHeight="1" spans="1:25">
      <c r="A113" s="111"/>
      <c r="B113" s="116"/>
      <c r="C113" s="80">
        <v>27</v>
      </c>
      <c r="D113" s="55">
        <v>0.444544126461706</v>
      </c>
      <c r="E113" s="55">
        <v>-28.0286398967497</v>
      </c>
      <c r="F113" s="55">
        <v>1.16865343065144</v>
      </c>
      <c r="G113" s="59">
        <v>0.0302</v>
      </c>
      <c r="H113" s="61">
        <v>1000</v>
      </c>
      <c r="I113" s="59">
        <v>9.801</v>
      </c>
      <c r="J113" s="62">
        <v>4e-6</v>
      </c>
      <c r="K113" s="64">
        <v>0.00101</v>
      </c>
      <c r="L113" s="65">
        <f t="shared" si="58"/>
        <v>-3.03842867068716</v>
      </c>
      <c r="M113" s="66">
        <f t="shared" si="59"/>
        <v>0.00116865343065144</v>
      </c>
      <c r="N113" s="65">
        <f t="shared" si="60"/>
        <v>15.2946148145581</v>
      </c>
      <c r="O113" s="65">
        <f t="shared" si="61"/>
        <v>1.77294357514968</v>
      </c>
      <c r="P113" s="69">
        <f t="shared" si="62"/>
        <v>0.0148672042293484</v>
      </c>
      <c r="Q113" s="69">
        <f t="shared" si="63"/>
        <v>0.00380154412112755</v>
      </c>
      <c r="R113" s="65">
        <f t="shared" si="64"/>
        <v>0.0205622260610985</v>
      </c>
      <c r="S113" s="65">
        <f t="shared" si="65"/>
        <v>1.74503083753344</v>
      </c>
      <c r="T113" s="65">
        <f t="shared" si="66"/>
        <v>0.0117833024029321</v>
      </c>
      <c r="U113" s="65">
        <f t="shared" si="67"/>
        <v>1019.66813743801</v>
      </c>
      <c r="V113" s="69">
        <f t="shared" si="68"/>
        <v>2.01656061478616e-5</v>
      </c>
      <c r="W113" s="69">
        <f t="shared" si="69"/>
        <v>6.60610666262525e-7</v>
      </c>
      <c r="X113" s="4"/>
      <c r="Y113" s="6"/>
    </row>
    <row r="114" ht="25" customHeight="1" spans="1:25">
      <c r="A114" s="111"/>
      <c r="B114" s="116"/>
      <c r="C114" s="80">
        <v>28</v>
      </c>
      <c r="D114" s="55">
        <v>0.445252299123823</v>
      </c>
      <c r="E114" s="55">
        <v>-28.9981318410377</v>
      </c>
      <c r="F114" s="55">
        <v>1.16632159265942</v>
      </c>
      <c r="G114" s="59">
        <v>0.0302</v>
      </c>
      <c r="H114" s="61">
        <v>1000</v>
      </c>
      <c r="I114" s="59">
        <v>9.801</v>
      </c>
      <c r="J114" s="62">
        <v>4e-6</v>
      </c>
      <c r="K114" s="64">
        <v>0.00101</v>
      </c>
      <c r="L114" s="65">
        <f t="shared" si="58"/>
        <v>-3.19951602526165</v>
      </c>
      <c r="M114" s="66">
        <f t="shared" si="59"/>
        <v>0.00116632159265942</v>
      </c>
      <c r="N114" s="65">
        <f t="shared" si="60"/>
        <v>15.3127682605018</v>
      </c>
      <c r="O114" s="65">
        <f t="shared" si="61"/>
        <v>1.7658754529262</v>
      </c>
      <c r="P114" s="69">
        <f t="shared" si="62"/>
        <v>0.0148908881495053</v>
      </c>
      <c r="Q114" s="69">
        <f t="shared" si="63"/>
        <v>0.00380534245544928</v>
      </c>
      <c r="R114" s="65">
        <f t="shared" si="64"/>
        <v>0.0205007144278151</v>
      </c>
      <c r="S114" s="65">
        <f t="shared" si="65"/>
        <v>1.73254958603017</v>
      </c>
      <c r="T114" s="65">
        <f t="shared" si="66"/>
        <v>0.0118326855364578</v>
      </c>
      <c r="U114" s="65">
        <f t="shared" si="67"/>
        <v>1010.35499627006</v>
      </c>
      <c r="V114" s="69">
        <f t="shared" si="68"/>
        <v>2.02906052857637e-5</v>
      </c>
      <c r="W114" s="69">
        <f t="shared" si="69"/>
        <v>6.58758000977752e-7</v>
      </c>
      <c r="X114" s="4"/>
      <c r="Y114" s="6"/>
    </row>
    <row r="115" ht="25" customHeight="1" spans="1:25">
      <c r="A115" s="111"/>
      <c r="B115" s="116"/>
      <c r="C115" s="80">
        <v>29</v>
      </c>
      <c r="D115" s="55">
        <v>0.44361056425456</v>
      </c>
      <c r="E115" s="55">
        <v>-30.1941618588336</v>
      </c>
      <c r="F115" s="55">
        <v>1.19984002384025</v>
      </c>
      <c r="G115" s="59">
        <v>0.0302</v>
      </c>
      <c r="H115" s="61">
        <v>1000</v>
      </c>
      <c r="I115" s="59">
        <v>9.801</v>
      </c>
      <c r="J115" s="62">
        <v>4e-6</v>
      </c>
      <c r="K115" s="64">
        <v>0.00101</v>
      </c>
      <c r="L115" s="65">
        <f t="shared" si="58"/>
        <v>-3.63047082359157</v>
      </c>
      <c r="M115" s="66">
        <f t="shared" si="59"/>
        <v>0.00119984002384025</v>
      </c>
      <c r="N115" s="65">
        <f t="shared" si="60"/>
        <v>15.6368819536553</v>
      </c>
      <c r="O115" s="65">
        <f t="shared" si="61"/>
        <v>1.86883142087559</v>
      </c>
      <c r="P115" s="69">
        <f t="shared" si="62"/>
        <v>0.014835982446924</v>
      </c>
      <c r="Q115" s="69">
        <f t="shared" si="63"/>
        <v>0.00375181341583967</v>
      </c>
      <c r="R115" s="65">
        <f t="shared" si="64"/>
        <v>0.0213907759728367</v>
      </c>
      <c r="S115" s="65">
        <f t="shared" si="65"/>
        <v>1.84715913575747</v>
      </c>
      <c r="T115" s="65">
        <f t="shared" si="66"/>
        <v>0.0115803644411313</v>
      </c>
      <c r="U115" s="65">
        <f t="shared" si="67"/>
        <v>1108.14773074199</v>
      </c>
      <c r="V115" s="69">
        <f t="shared" si="68"/>
        <v>1.93031807758285e-5</v>
      </c>
      <c r="W115" s="69">
        <f t="shared" si="69"/>
        <v>7.1192199092908e-7</v>
      </c>
      <c r="X115" s="4"/>
      <c r="Y115" s="6"/>
    </row>
    <row r="116" ht="25" customHeight="1" spans="1:25">
      <c r="A116" s="111"/>
      <c r="B116" s="116"/>
      <c r="C116" s="80">
        <v>30</v>
      </c>
      <c r="D116" s="55">
        <v>0.443348194180834</v>
      </c>
      <c r="E116" s="55">
        <v>-29.1367464292118</v>
      </c>
      <c r="F116" s="55">
        <v>1.15587692288015</v>
      </c>
      <c r="G116" s="59">
        <v>0.0302</v>
      </c>
      <c r="H116" s="61">
        <v>1000</v>
      </c>
      <c r="I116" s="59">
        <v>9.801</v>
      </c>
      <c r="J116" s="62">
        <v>4e-6</v>
      </c>
      <c r="K116" s="64">
        <v>0.00101</v>
      </c>
      <c r="L116" s="65">
        <f t="shared" si="58"/>
        <v>-3.16344188761848</v>
      </c>
      <c r="M116" s="66">
        <f t="shared" si="59"/>
        <v>0.00115587692288015</v>
      </c>
      <c r="N116" s="65">
        <f t="shared" si="60"/>
        <v>15.0461204276626</v>
      </c>
      <c r="O116" s="65">
        <f t="shared" si="61"/>
        <v>1.73438945268349</v>
      </c>
      <c r="P116" s="69">
        <f t="shared" si="62"/>
        <v>0.0148272078186305</v>
      </c>
      <c r="Q116" s="69">
        <f t="shared" si="63"/>
        <v>0.0038224966010732</v>
      </c>
      <c r="R116" s="65">
        <f t="shared" si="64"/>
        <v>0.0202259491799846</v>
      </c>
      <c r="S116" s="65">
        <f t="shared" si="65"/>
        <v>1.71630584284201</v>
      </c>
      <c r="T116" s="65">
        <f t="shared" si="66"/>
        <v>0.0117845833039248</v>
      </c>
      <c r="U116" s="65">
        <f t="shared" si="67"/>
        <v>991.919158172725</v>
      </c>
      <c r="V116" s="69">
        <f t="shared" si="68"/>
        <v>2.03907233904465e-5</v>
      </c>
      <c r="W116" s="69">
        <f t="shared" si="69"/>
        <v>6.35745479389712e-7</v>
      </c>
      <c r="X116" s="4"/>
      <c r="Y116" s="6"/>
    </row>
    <row r="117" ht="25" customHeight="1" spans="1:25">
      <c r="A117" s="111"/>
      <c r="B117" s="116"/>
      <c r="C117" s="80">
        <v>31</v>
      </c>
      <c r="D117" s="55">
        <v>0.391491215646472</v>
      </c>
      <c r="E117" s="55">
        <v>-27.5015872864381</v>
      </c>
      <c r="F117" s="55">
        <v>1.10331689080258</v>
      </c>
      <c r="G117" s="59">
        <v>0.0302</v>
      </c>
      <c r="H117" s="61">
        <v>1000</v>
      </c>
      <c r="I117" s="59">
        <v>9.801</v>
      </c>
      <c r="J117" s="62">
        <v>4e-6</v>
      </c>
      <c r="K117" s="64">
        <v>0.00101</v>
      </c>
      <c r="L117" s="65">
        <f t="shared" si="58"/>
        <v>-2.62651882271372</v>
      </c>
      <c r="M117" s="66">
        <f t="shared" si="59"/>
        <v>0.00110331689080258</v>
      </c>
      <c r="N117" s="65">
        <f t="shared" si="60"/>
        <v>11.198693617463</v>
      </c>
      <c r="O117" s="65">
        <f t="shared" si="61"/>
        <v>1.58024334982228</v>
      </c>
      <c r="P117" s="69">
        <f t="shared" si="62"/>
        <v>0.0130929181391701</v>
      </c>
      <c r="Q117" s="69">
        <f t="shared" si="63"/>
        <v>0.00391248577026571</v>
      </c>
      <c r="R117" s="65">
        <f t="shared" si="64"/>
        <v>0.0188621816238238</v>
      </c>
      <c r="S117" s="65">
        <f t="shared" si="65"/>
        <v>2.00547786443295</v>
      </c>
      <c r="T117" s="65">
        <f t="shared" si="66"/>
        <v>0.0094053302498839</v>
      </c>
      <c r="U117" s="65">
        <f t="shared" si="67"/>
        <v>1106.33880097978</v>
      </c>
      <c r="V117" s="69">
        <f t="shared" si="68"/>
        <v>1.70491910860573e-5</v>
      </c>
      <c r="W117" s="69">
        <f t="shared" si="69"/>
        <v>4.3112524855787e-7</v>
      </c>
      <c r="X117" s="4"/>
      <c r="Y117" s="6"/>
    </row>
    <row r="118" ht="25" customHeight="1" spans="1:25">
      <c r="A118" s="111"/>
      <c r="B118" s="116"/>
      <c r="C118" s="80">
        <v>41</v>
      </c>
      <c r="D118" s="55">
        <v>0.366613985528432</v>
      </c>
      <c r="E118" s="55">
        <v>-21.8725491945285</v>
      </c>
      <c r="F118" s="55">
        <v>1.12510297988399</v>
      </c>
      <c r="G118" s="59">
        <v>0.0302</v>
      </c>
      <c r="H118" s="61">
        <v>1000</v>
      </c>
      <c r="I118" s="59">
        <v>9.801</v>
      </c>
      <c r="J118" s="62">
        <v>4e-6</v>
      </c>
      <c r="K118" s="64">
        <v>0.00101</v>
      </c>
      <c r="L118" s="65">
        <f t="shared" si="58"/>
        <v>-1.81169536483531</v>
      </c>
      <c r="M118" s="66">
        <f t="shared" si="59"/>
        <v>0.00112510297988399</v>
      </c>
      <c r="N118" s="65">
        <f t="shared" si="60"/>
        <v>10.0145948528705</v>
      </c>
      <c r="O118" s="65">
        <f t="shared" si="61"/>
        <v>1.64326644597151</v>
      </c>
      <c r="P118" s="69">
        <f t="shared" si="62"/>
        <v>0.0122609313040966</v>
      </c>
      <c r="Q118" s="69">
        <f t="shared" si="63"/>
        <v>0.00387442061649705</v>
      </c>
      <c r="R118" s="65">
        <f t="shared" si="64"/>
        <v>0.019423609328552</v>
      </c>
      <c r="S118" s="65">
        <f t="shared" si="65"/>
        <v>2.37808774930418</v>
      </c>
      <c r="T118" s="65">
        <f t="shared" si="66"/>
        <v>0.00816774289940955</v>
      </c>
      <c r="U118" s="65">
        <f t="shared" si="67"/>
        <v>1337.79680658387</v>
      </c>
      <c r="V118" s="69">
        <f t="shared" si="68"/>
        <v>1.45191027762663e-5</v>
      </c>
      <c r="W118" s="69">
        <f t="shared" si="69"/>
        <v>4.00916098248102e-7</v>
      </c>
      <c r="X118" s="4"/>
      <c r="Y118" s="6"/>
    </row>
    <row r="119" ht="25" customHeight="1" spans="1:25">
      <c r="A119" s="111"/>
      <c r="B119" s="116"/>
      <c r="C119" s="80">
        <v>81</v>
      </c>
      <c r="D119" s="55">
        <v>2.27593010001801</v>
      </c>
      <c r="E119" s="55">
        <v>-27.7152961787266</v>
      </c>
      <c r="F119" s="55">
        <v>1.85144111694553</v>
      </c>
      <c r="G119" s="59">
        <v>0.0302</v>
      </c>
      <c r="H119" s="61">
        <v>1000</v>
      </c>
      <c r="I119" s="59">
        <v>9.801</v>
      </c>
      <c r="J119" s="62">
        <v>4e-6</v>
      </c>
      <c r="K119" s="64">
        <v>0.00101</v>
      </c>
      <c r="L119" s="65">
        <f t="shared" si="58"/>
        <v>-6.77721494430664</v>
      </c>
      <c r="M119" s="66">
        <f t="shared" si="59"/>
        <v>0.00185144111694553</v>
      </c>
      <c r="N119" s="65">
        <f t="shared" si="60"/>
        <v>635.112698555686</v>
      </c>
      <c r="O119" s="65">
        <f t="shared" si="61"/>
        <v>4.44982822350614</v>
      </c>
      <c r="P119" s="69">
        <f t="shared" si="62"/>
        <v>0.0761155430800725</v>
      </c>
      <c r="Q119" s="69">
        <f t="shared" si="63"/>
        <v>0.00302028518451488</v>
      </c>
      <c r="R119" s="65">
        <f t="shared" si="64"/>
        <v>0.0410021262494098</v>
      </c>
      <c r="S119" s="65">
        <f t="shared" si="65"/>
        <v>0.167094960508945</v>
      </c>
      <c r="T119" s="65">
        <f t="shared" si="66"/>
        <v>0.245382183427458</v>
      </c>
      <c r="U119" s="65">
        <f t="shared" si="67"/>
        <v>154.683240160325</v>
      </c>
      <c r="V119" s="69">
        <f t="shared" si="68"/>
        <v>0.000265071550136345</v>
      </c>
      <c r="W119" s="69">
        <f t="shared" si="69"/>
        <v>6.88503521368955e-5</v>
      </c>
      <c r="X119" s="4"/>
      <c r="Y119" s="6"/>
    </row>
    <row r="120" ht="25" customHeight="1" spans="1:25">
      <c r="A120" s="111"/>
      <c r="B120" s="117" t="s">
        <v>64</v>
      </c>
      <c r="C120" s="85">
        <v>12</v>
      </c>
      <c r="D120" s="55">
        <v>0.129183071561122</v>
      </c>
      <c r="E120" s="55">
        <v>-7.57144284928918</v>
      </c>
      <c r="F120" s="55">
        <v>1.32624627183222</v>
      </c>
      <c r="G120" s="59">
        <v>0.0302</v>
      </c>
      <c r="H120" s="61">
        <v>1000</v>
      </c>
      <c r="I120" s="59">
        <v>9.801</v>
      </c>
      <c r="J120" s="62">
        <v>4e-6</v>
      </c>
      <c r="K120" s="64">
        <v>0.00101</v>
      </c>
      <c r="L120" s="65">
        <f t="shared" ref="L112:L139" si="70">O120*(1+E120/9.801)-7.5*M120+18*P120</f>
        <v>0.587241255838747</v>
      </c>
      <c r="M120" s="66">
        <f t="shared" ref="M112:M142" si="71">F120/1000</f>
        <v>0.00132624627183222</v>
      </c>
      <c r="N120" s="65">
        <f t="shared" ref="N112:N142" si="72">H120*2*M120*D120^2/G120</f>
        <v>1.46574506865045</v>
      </c>
      <c r="O120" s="65">
        <f t="shared" ref="O112:O142" si="73">H120*I120*(M120*2)^2/G120</f>
        <v>2.28334633509303</v>
      </c>
      <c r="P120" s="69">
        <f t="shared" ref="P112:P139" si="74">K120*D120/G120</f>
        <v>0.00432036100254083</v>
      </c>
      <c r="Q120" s="69">
        <f t="shared" ref="Q112:Q139" si="75">K120/SQRT(H120*G120*M120*2)</f>
        <v>0.00356854203183766</v>
      </c>
      <c r="R120" s="65">
        <f t="shared" ref="R112:R139" si="76">SQRT(H120*8*(M120^3)/G120)</f>
        <v>0.0248586641062757</v>
      </c>
      <c r="S120" s="65">
        <f t="shared" ref="S112:S139" si="77">K120*(2*M120)^2/(H120*(D120*J120)^2)</f>
        <v>26.6132872586934</v>
      </c>
      <c r="T120" s="65">
        <f t="shared" ref="T112:T139" si="78">R120/S120</f>
        <v>0.000934069657184324</v>
      </c>
      <c r="U120" s="65">
        <f t="shared" ref="U112:U139" si="79">K120*(2*M120)^3/(H120*(D120)^2*(J120)^3)</f>
        <v>17647.886504021</v>
      </c>
      <c r="V120" s="69">
        <f t="shared" ref="V112:V139" si="80">R120/U120</f>
        <v>1.40859156707585e-6</v>
      </c>
      <c r="W120" s="69">
        <f t="shared" ref="W112:W139" si="81">0.5*H120*(4/3)*PI()*M120^3*D120^2</f>
        <v>8.15346769495046e-8</v>
      </c>
      <c r="X120" s="4"/>
      <c r="Y120" s="6"/>
    </row>
    <row r="121" ht="25" customHeight="1" spans="1:25">
      <c r="A121" s="111"/>
      <c r="B121" s="117"/>
      <c r="C121" s="85">
        <v>13</v>
      </c>
      <c r="D121" s="55">
        <v>0.155972329643723</v>
      </c>
      <c r="E121" s="55">
        <v>-8.83349254780775</v>
      </c>
      <c r="F121" s="55">
        <v>1.33352465454805</v>
      </c>
      <c r="G121" s="59">
        <v>0.0302</v>
      </c>
      <c r="H121" s="61">
        <v>1000</v>
      </c>
      <c r="I121" s="59">
        <v>9.801</v>
      </c>
      <c r="J121" s="62">
        <v>4e-6</v>
      </c>
      <c r="K121" s="64">
        <v>0.00101</v>
      </c>
      <c r="L121" s="65">
        <f t="shared" si="70"/>
        <v>0.311773549795917</v>
      </c>
      <c r="M121" s="66">
        <f t="shared" si="71"/>
        <v>0.00133352465454805</v>
      </c>
      <c r="N121" s="65">
        <f t="shared" si="72"/>
        <v>2.14842016517725</v>
      </c>
      <c r="O121" s="65">
        <f t="shared" si="73"/>
        <v>2.30847691788367</v>
      </c>
      <c r="P121" s="69">
        <f t="shared" si="74"/>
        <v>0.00521629314371392</v>
      </c>
      <c r="Q121" s="69">
        <f t="shared" si="75"/>
        <v>0.00355879014908045</v>
      </c>
      <c r="R121" s="65">
        <f t="shared" si="76"/>
        <v>0.0250635795322228</v>
      </c>
      <c r="S121" s="65">
        <f t="shared" si="77"/>
        <v>18.4573081723459</v>
      </c>
      <c r="T121" s="65">
        <f t="shared" si="78"/>
        <v>0.00135792171307921</v>
      </c>
      <c r="U121" s="65">
        <f t="shared" si="79"/>
        <v>12306.6377522072</v>
      </c>
      <c r="V121" s="69">
        <f t="shared" si="80"/>
        <v>2.03659033741589e-6</v>
      </c>
      <c r="W121" s="69">
        <f t="shared" si="81"/>
        <v>1.20825021157823e-7</v>
      </c>
      <c r="X121" s="4"/>
      <c r="Y121" s="6"/>
    </row>
    <row r="122" ht="25" customHeight="1" spans="1:25">
      <c r="A122" s="111"/>
      <c r="B122" s="117"/>
      <c r="C122" s="85">
        <v>14</v>
      </c>
      <c r="D122" s="55">
        <v>0.152545020932436</v>
      </c>
      <c r="E122" s="55">
        <v>-7.89006587958481</v>
      </c>
      <c r="F122" s="55">
        <v>1.34060010780647</v>
      </c>
      <c r="G122" s="59">
        <v>0.0302</v>
      </c>
      <c r="H122" s="61">
        <v>1000</v>
      </c>
      <c r="I122" s="59">
        <v>9.801</v>
      </c>
      <c r="J122" s="62">
        <v>4e-6</v>
      </c>
      <c r="K122" s="64">
        <v>0.00101</v>
      </c>
      <c r="L122" s="65">
        <f t="shared" si="70"/>
        <v>0.536656022252939</v>
      </c>
      <c r="M122" s="66">
        <f t="shared" si="71"/>
        <v>0.00134060010780647</v>
      </c>
      <c r="N122" s="65">
        <f t="shared" si="72"/>
        <v>2.06594319667637</v>
      </c>
      <c r="O122" s="65">
        <f t="shared" si="73"/>
        <v>2.33303867143657</v>
      </c>
      <c r="P122" s="69">
        <f t="shared" si="74"/>
        <v>0.00510167122985961</v>
      </c>
      <c r="Q122" s="69">
        <f t="shared" si="75"/>
        <v>0.00354938638834819</v>
      </c>
      <c r="R122" s="65">
        <f t="shared" si="76"/>
        <v>0.0252633184790584</v>
      </c>
      <c r="S122" s="65">
        <f t="shared" si="77"/>
        <v>19.5013110179264</v>
      </c>
      <c r="T122" s="65">
        <f t="shared" si="78"/>
        <v>0.00129546769731714</v>
      </c>
      <c r="U122" s="65">
        <f t="shared" si="79"/>
        <v>13071.7298264998</v>
      </c>
      <c r="V122" s="69">
        <f t="shared" si="80"/>
        <v>1.93266834721776e-6</v>
      </c>
      <c r="W122" s="69">
        <f t="shared" si="81"/>
        <v>1.17422801394432e-7</v>
      </c>
      <c r="X122" s="4"/>
      <c r="Y122" s="6"/>
    </row>
    <row r="123" ht="25" customHeight="1" spans="1:25">
      <c r="A123" s="111"/>
      <c r="B123" s="117"/>
      <c r="C123" s="85">
        <v>15</v>
      </c>
      <c r="D123" s="55">
        <v>0.149782007149404</v>
      </c>
      <c r="E123" s="55">
        <v>-7.01835498544799</v>
      </c>
      <c r="F123" s="55">
        <v>1.34672573284728</v>
      </c>
      <c r="G123" s="59">
        <v>0.0302</v>
      </c>
      <c r="H123" s="61">
        <v>1000</v>
      </c>
      <c r="I123" s="59">
        <v>9.801</v>
      </c>
      <c r="J123" s="62">
        <v>4e-6</v>
      </c>
      <c r="K123" s="64">
        <v>0.00101</v>
      </c>
      <c r="L123" s="65">
        <f t="shared" si="70"/>
        <v>0.748516717428885</v>
      </c>
      <c r="M123" s="66">
        <f t="shared" si="71"/>
        <v>0.00134672573284728</v>
      </c>
      <c r="N123" s="65">
        <f t="shared" si="72"/>
        <v>2.00088212001439</v>
      </c>
      <c r="O123" s="65">
        <f t="shared" si="73"/>
        <v>2.35440816230826</v>
      </c>
      <c r="P123" s="69">
        <f t="shared" si="74"/>
        <v>0.00500926580201649</v>
      </c>
      <c r="Q123" s="69">
        <f t="shared" si="75"/>
        <v>0.00354130493947469</v>
      </c>
      <c r="R123" s="65">
        <f t="shared" si="76"/>
        <v>0.025436670242034</v>
      </c>
      <c r="S123" s="65">
        <f t="shared" si="77"/>
        <v>20.4126978669569</v>
      </c>
      <c r="T123" s="65">
        <f t="shared" si="78"/>
        <v>0.00124611995963599</v>
      </c>
      <c r="U123" s="65">
        <f t="shared" si="79"/>
        <v>13745.1527471338</v>
      </c>
      <c r="V123" s="69">
        <f t="shared" si="80"/>
        <v>1.85059203851614e-6</v>
      </c>
      <c r="W123" s="69">
        <f t="shared" si="81"/>
        <v>1.14766564518766e-7</v>
      </c>
      <c r="X123" s="4"/>
      <c r="Y123" s="6"/>
    </row>
    <row r="124" ht="25" customHeight="1" spans="1:25">
      <c r="A124" s="111"/>
      <c r="B124" s="117"/>
      <c r="C124" s="85">
        <v>16</v>
      </c>
      <c r="D124" s="55">
        <v>0.167091710704399</v>
      </c>
      <c r="E124" s="55">
        <v>-9.21100308592932</v>
      </c>
      <c r="F124" s="55">
        <v>1.37078087352064</v>
      </c>
      <c r="G124" s="59">
        <v>0.0302</v>
      </c>
      <c r="H124" s="61">
        <v>1000</v>
      </c>
      <c r="I124" s="59">
        <v>9.801</v>
      </c>
      <c r="J124" s="62">
        <v>4e-6</v>
      </c>
      <c r="K124" s="64">
        <v>0.00101</v>
      </c>
      <c r="L124" s="65">
        <f t="shared" si="70"/>
        <v>0.237144275430071</v>
      </c>
      <c r="M124" s="66">
        <f t="shared" si="71"/>
        <v>0.00137078087352064</v>
      </c>
      <c r="N124" s="65">
        <f t="shared" si="72"/>
        <v>2.53455021287435</v>
      </c>
      <c r="O124" s="65">
        <f t="shared" si="73"/>
        <v>2.43926795121342</v>
      </c>
      <c r="P124" s="69">
        <f t="shared" si="74"/>
        <v>0.00558816648382262</v>
      </c>
      <c r="Q124" s="69">
        <f t="shared" si="75"/>
        <v>0.00351009512695278</v>
      </c>
      <c r="R124" s="65">
        <f t="shared" si="76"/>
        <v>0.0261212271708349</v>
      </c>
      <c r="S124" s="65">
        <f t="shared" si="77"/>
        <v>16.9936881329807</v>
      </c>
      <c r="T124" s="65">
        <f t="shared" si="78"/>
        <v>0.00153711348392582</v>
      </c>
      <c r="U124" s="65">
        <f t="shared" si="79"/>
        <v>11647.3113316323</v>
      </c>
      <c r="V124" s="69">
        <f t="shared" si="80"/>
        <v>2.24268300443671e-6</v>
      </c>
      <c r="W124" s="69">
        <f t="shared" si="81"/>
        <v>1.50616493553e-7</v>
      </c>
      <c r="X124" s="4"/>
      <c r="Y124" s="6"/>
    </row>
    <row r="125" ht="25" customHeight="1" spans="1:25">
      <c r="A125" s="111"/>
      <c r="B125" s="117"/>
      <c r="C125" s="85">
        <v>17</v>
      </c>
      <c r="D125" s="55">
        <v>0.216103289001669</v>
      </c>
      <c r="E125" s="55" t="s">
        <v>19</v>
      </c>
      <c r="F125" s="55">
        <v>1.09341072557482</v>
      </c>
      <c r="G125" s="59">
        <v>0.0302</v>
      </c>
      <c r="H125" s="61">
        <v>1000</v>
      </c>
      <c r="I125" s="59">
        <v>9.801</v>
      </c>
      <c r="J125" s="62">
        <v>4e-6</v>
      </c>
      <c r="K125" s="64">
        <v>0.00101</v>
      </c>
      <c r="L125" s="65" t="e">
        <f t="shared" si="70"/>
        <v>#VALUE!</v>
      </c>
      <c r="M125" s="66">
        <f t="shared" si="71"/>
        <v>0.00109341072557482</v>
      </c>
      <c r="N125" s="65">
        <f t="shared" si="72"/>
        <v>3.38165373458118</v>
      </c>
      <c r="O125" s="65">
        <f t="shared" si="73"/>
        <v>1.55199421087085</v>
      </c>
      <c r="P125" s="69">
        <f t="shared" si="74"/>
        <v>0.00722729542687701</v>
      </c>
      <c r="Q125" s="69">
        <f t="shared" si="75"/>
        <v>0.00393016912563961</v>
      </c>
      <c r="R125" s="65">
        <f t="shared" si="76"/>
        <v>0.0186087206567352</v>
      </c>
      <c r="S125" s="65">
        <f t="shared" si="77"/>
        <v>6.46405865251392</v>
      </c>
      <c r="T125" s="65">
        <f t="shared" si="78"/>
        <v>0.0028787982376209</v>
      </c>
      <c r="U125" s="65">
        <f t="shared" si="79"/>
        <v>3533.93553070172</v>
      </c>
      <c r="V125" s="69">
        <f t="shared" si="80"/>
        <v>5.26572159991842e-6</v>
      </c>
      <c r="W125" s="69">
        <f t="shared" si="81"/>
        <v>1.27859015516281e-7</v>
      </c>
      <c r="X125" s="4"/>
      <c r="Y125" s="6"/>
    </row>
    <row r="126" ht="25" customHeight="1" spans="1:25">
      <c r="A126" s="111"/>
      <c r="B126" s="117"/>
      <c r="C126" s="85">
        <v>18</v>
      </c>
      <c r="D126" s="55">
        <v>0.295617121278977</v>
      </c>
      <c r="E126" s="55">
        <v>-20.7263391576132</v>
      </c>
      <c r="F126" s="55">
        <v>1.1318119595143</v>
      </c>
      <c r="G126" s="59">
        <v>0.0302</v>
      </c>
      <c r="H126" s="61">
        <v>1000</v>
      </c>
      <c r="I126" s="59">
        <v>9.801</v>
      </c>
      <c r="J126" s="62">
        <v>4e-6</v>
      </c>
      <c r="K126" s="64">
        <v>0.00101</v>
      </c>
      <c r="L126" s="65">
        <f t="shared" si="70"/>
        <v>-1.68421854988643</v>
      </c>
      <c r="M126" s="66">
        <f t="shared" si="71"/>
        <v>0.0011318119595143</v>
      </c>
      <c r="N126" s="65">
        <f t="shared" si="72"/>
        <v>6.55022922572627</v>
      </c>
      <c r="O126" s="65">
        <f t="shared" si="73"/>
        <v>1.66292244410169</v>
      </c>
      <c r="P126" s="69">
        <f t="shared" si="74"/>
        <v>0.00988653286396579</v>
      </c>
      <c r="Q126" s="69">
        <f t="shared" si="75"/>
        <v>0.00386292045373</v>
      </c>
      <c r="R126" s="65">
        <f t="shared" si="76"/>
        <v>0.0195976022948831</v>
      </c>
      <c r="S126" s="65">
        <f t="shared" si="77"/>
        <v>3.70127004813408</v>
      </c>
      <c r="T126" s="65">
        <f t="shared" si="78"/>
        <v>0.0052948317847715</v>
      </c>
      <c r="U126" s="65">
        <f t="shared" si="79"/>
        <v>2094.57085293511</v>
      </c>
      <c r="V126" s="69">
        <f t="shared" si="80"/>
        <v>9.35638069603663e-6</v>
      </c>
      <c r="W126" s="69">
        <f t="shared" si="81"/>
        <v>2.65363151755402e-7</v>
      </c>
      <c r="X126" s="4"/>
      <c r="Y126" s="6"/>
    </row>
    <row r="127" ht="25" customHeight="1" spans="1:25">
      <c r="A127" s="111"/>
      <c r="B127" s="117"/>
      <c r="C127" s="85">
        <v>19</v>
      </c>
      <c r="D127" s="55">
        <v>0.287888028098087</v>
      </c>
      <c r="E127" s="55">
        <v>-19.2900540969776</v>
      </c>
      <c r="F127" s="55">
        <v>1.12813617601754</v>
      </c>
      <c r="G127" s="59">
        <v>0.0302</v>
      </c>
      <c r="H127" s="61">
        <v>1000</v>
      </c>
      <c r="I127" s="59">
        <v>9.801</v>
      </c>
      <c r="J127" s="62">
        <v>4e-6</v>
      </c>
      <c r="K127" s="64">
        <v>0.00101</v>
      </c>
      <c r="L127" s="65">
        <f t="shared" si="70"/>
        <v>-1.43471067139566</v>
      </c>
      <c r="M127" s="66">
        <f t="shared" si="71"/>
        <v>0.00112813617601754</v>
      </c>
      <c r="N127" s="65">
        <f t="shared" si="72"/>
        <v>6.19201199107086</v>
      </c>
      <c r="O127" s="65">
        <f t="shared" si="73"/>
        <v>1.6521386438806</v>
      </c>
      <c r="P127" s="69">
        <f t="shared" si="74"/>
        <v>0.00962804332381019</v>
      </c>
      <c r="Q127" s="69">
        <f t="shared" si="75"/>
        <v>0.00386920857393617</v>
      </c>
      <c r="R127" s="65">
        <f t="shared" si="76"/>
        <v>0.0195022092096351</v>
      </c>
      <c r="S127" s="65">
        <f t="shared" si="77"/>
        <v>3.87736980979368</v>
      </c>
      <c r="T127" s="65">
        <f t="shared" si="78"/>
        <v>0.00502975216869313</v>
      </c>
      <c r="U127" s="65">
        <f t="shared" si="79"/>
        <v>2187.10057511325</v>
      </c>
      <c r="V127" s="69">
        <f t="shared" si="80"/>
        <v>8.9169238175639e-6</v>
      </c>
      <c r="W127" s="69">
        <f t="shared" si="81"/>
        <v>2.49224309622715e-7</v>
      </c>
      <c r="X127" s="4"/>
      <c r="Y127" s="6"/>
    </row>
    <row r="128" ht="25" customHeight="1" spans="1:25">
      <c r="A128" s="111"/>
      <c r="B128" s="117"/>
      <c r="C128" s="85">
        <v>20</v>
      </c>
      <c r="D128" s="55">
        <v>0.184511896519853</v>
      </c>
      <c r="E128" s="55">
        <v>-17.4543543381341</v>
      </c>
      <c r="F128" s="55">
        <v>1.14032099576215</v>
      </c>
      <c r="G128" s="59">
        <v>0.0302</v>
      </c>
      <c r="H128" s="61">
        <v>1000</v>
      </c>
      <c r="I128" s="59">
        <v>9.801</v>
      </c>
      <c r="J128" s="62">
        <v>4e-6</v>
      </c>
      <c r="K128" s="64">
        <v>0.00101</v>
      </c>
      <c r="L128" s="65">
        <f t="shared" si="70"/>
        <v>-1.21561131869587</v>
      </c>
      <c r="M128" s="66">
        <f t="shared" si="71"/>
        <v>0.00114032099576215</v>
      </c>
      <c r="N128" s="65">
        <f t="shared" si="72"/>
        <v>2.57098130705514</v>
      </c>
      <c r="O128" s="65">
        <f t="shared" si="73"/>
        <v>1.68802035378252</v>
      </c>
      <c r="P128" s="69">
        <f t="shared" si="74"/>
        <v>0.00617076210215402</v>
      </c>
      <c r="Q128" s="69">
        <f t="shared" si="75"/>
        <v>0.00384848097645304</v>
      </c>
      <c r="R128" s="65">
        <f t="shared" si="76"/>
        <v>0.0198190212380638</v>
      </c>
      <c r="S128" s="65">
        <f t="shared" si="77"/>
        <v>9.64421488048435</v>
      </c>
      <c r="T128" s="65">
        <f t="shared" si="78"/>
        <v>0.00205501655486428</v>
      </c>
      <c r="U128" s="65">
        <f t="shared" si="79"/>
        <v>5498.75035792903</v>
      </c>
      <c r="V128" s="69">
        <f t="shared" si="80"/>
        <v>3.60427732629931e-6</v>
      </c>
      <c r="W128" s="69">
        <f t="shared" si="81"/>
        <v>1.0572768457934e-7</v>
      </c>
      <c r="X128" s="4"/>
      <c r="Y128" s="6"/>
    </row>
    <row r="129" ht="25" customHeight="1" spans="1:28">
      <c r="A129" s="111"/>
      <c r="B129" s="117"/>
      <c r="C129" s="85" t="s">
        <v>22</v>
      </c>
      <c r="D129" s="55">
        <v>0.291446360752799</v>
      </c>
      <c r="E129" s="55">
        <v>-22.089827242945</v>
      </c>
      <c r="F129" s="55">
        <v>1.14634367154445</v>
      </c>
      <c r="G129" s="59">
        <v>0.0302</v>
      </c>
      <c r="H129" s="61">
        <v>1000</v>
      </c>
      <c r="I129" s="59">
        <v>9.801</v>
      </c>
      <c r="J129" s="62">
        <v>4e-6</v>
      </c>
      <c r="K129" s="64">
        <v>0.00101</v>
      </c>
      <c r="L129" s="65">
        <f t="shared" si="70"/>
        <v>-1.97206393928423</v>
      </c>
      <c r="M129" s="66">
        <f t="shared" si="71"/>
        <v>0.00114634367154445</v>
      </c>
      <c r="N129" s="65">
        <f t="shared" si="72"/>
        <v>6.44844743369992</v>
      </c>
      <c r="O129" s="65">
        <f t="shared" si="73"/>
        <v>1.70589820848416</v>
      </c>
      <c r="P129" s="69">
        <f t="shared" si="74"/>
        <v>0.00974704716424924</v>
      </c>
      <c r="Q129" s="69">
        <f t="shared" si="75"/>
        <v>0.0038383580624394</v>
      </c>
      <c r="R129" s="65">
        <f t="shared" si="76"/>
        <v>0.0199762414519765</v>
      </c>
      <c r="S129" s="65">
        <f t="shared" si="77"/>
        <v>3.90637367479757</v>
      </c>
      <c r="T129" s="65">
        <f t="shared" si="78"/>
        <v>0.00511375590636799</v>
      </c>
      <c r="U129" s="65">
        <f t="shared" si="79"/>
        <v>2239.02337039601</v>
      </c>
      <c r="V129" s="69">
        <f t="shared" si="80"/>
        <v>8.92185482121311e-6</v>
      </c>
      <c r="W129" s="69">
        <f t="shared" si="81"/>
        <v>2.67991117935809e-7</v>
      </c>
      <c r="X129" s="4"/>
      <c r="Y129" s="6"/>
    </row>
    <row r="130" ht="25" customHeight="1" spans="1:28">
      <c r="A130" s="111"/>
      <c r="B130" s="117"/>
      <c r="C130" s="85" t="s">
        <v>24</v>
      </c>
      <c r="D130" s="55">
        <v>0.197732548640575</v>
      </c>
      <c r="E130" s="55">
        <v>-16.2212153530235</v>
      </c>
      <c r="F130" s="55">
        <v>1.1569867470459</v>
      </c>
      <c r="G130" s="59">
        <v>0.0302</v>
      </c>
      <c r="H130" s="61">
        <v>1000</v>
      </c>
      <c r="I130" s="59">
        <v>9.801</v>
      </c>
      <c r="J130" s="62">
        <v>4e-6</v>
      </c>
      <c r="K130" s="64">
        <v>0.00101</v>
      </c>
      <c r="L130" s="65">
        <f t="shared" si="70"/>
        <v>-1.02795204149897</v>
      </c>
      <c r="M130" s="66">
        <f t="shared" si="71"/>
        <v>0.0011569867470459</v>
      </c>
      <c r="N130" s="65">
        <f t="shared" si="72"/>
        <v>2.99576515695992</v>
      </c>
      <c r="O130" s="65">
        <f t="shared" si="73"/>
        <v>1.73772162651171</v>
      </c>
      <c r="P130" s="69">
        <f t="shared" si="74"/>
        <v>0.006612909739304</v>
      </c>
      <c r="Q130" s="69">
        <f t="shared" si="75"/>
        <v>0.0038206628216705</v>
      </c>
      <c r="R130" s="65">
        <f t="shared" si="76"/>
        <v>0.020255086323516</v>
      </c>
      <c r="S130" s="65">
        <f t="shared" si="77"/>
        <v>8.64493679999674</v>
      </c>
      <c r="T130" s="65">
        <f t="shared" si="78"/>
        <v>0.00234299993072518</v>
      </c>
      <c r="U130" s="65">
        <f t="shared" si="79"/>
        <v>5001.03865332281</v>
      </c>
      <c r="V130" s="69">
        <f t="shared" si="80"/>
        <v>4.05017591896795e-6</v>
      </c>
      <c r="W130" s="69">
        <f t="shared" si="81"/>
        <v>1.26823605222819e-7</v>
      </c>
      <c r="X130" s="4"/>
      <c r="Y130" s="6"/>
    </row>
    <row r="131" ht="25" customHeight="1" spans="1:28">
      <c r="A131" s="111"/>
      <c r="B131" s="117"/>
      <c r="C131" s="85">
        <v>22</v>
      </c>
      <c r="D131" s="55">
        <v>0.39138558386936</v>
      </c>
      <c r="E131" s="55">
        <v>-31.321014111829</v>
      </c>
      <c r="F131" s="55">
        <v>1.101005519293</v>
      </c>
      <c r="G131" s="59">
        <v>0.0302</v>
      </c>
      <c r="H131" s="61">
        <v>1000</v>
      </c>
      <c r="I131" s="59">
        <v>9.801</v>
      </c>
      <c r="J131" s="62">
        <v>4e-6</v>
      </c>
      <c r="K131" s="64">
        <v>0.00101</v>
      </c>
      <c r="L131" s="65">
        <f t="shared" si="70"/>
        <v>-3.22785975218572</v>
      </c>
      <c r="M131" s="66">
        <f t="shared" si="71"/>
        <v>0.001101005519293</v>
      </c>
      <c r="N131" s="65">
        <f t="shared" si="72"/>
        <v>11.1692033723287</v>
      </c>
      <c r="O131" s="65">
        <f t="shared" si="73"/>
        <v>1.57362928709765</v>
      </c>
      <c r="P131" s="69">
        <f t="shared" si="74"/>
        <v>0.0130893854207965</v>
      </c>
      <c r="Q131" s="69">
        <f t="shared" si="75"/>
        <v>0.00391659041224679</v>
      </c>
      <c r="R131" s="65">
        <f t="shared" si="76"/>
        <v>0.0188029402560436</v>
      </c>
      <c r="S131" s="65">
        <f t="shared" si="77"/>
        <v>1.99816213381282</v>
      </c>
      <c r="T131" s="65">
        <f t="shared" si="78"/>
        <v>0.00941011739631182</v>
      </c>
      <c r="U131" s="65">
        <f t="shared" si="79"/>
        <v>1099.9937688851</v>
      </c>
      <c r="V131" s="69">
        <f t="shared" si="80"/>
        <v>1.70936788806553e-5</v>
      </c>
      <c r="W131" s="69">
        <f t="shared" si="81"/>
        <v>4.28190228100053e-7</v>
      </c>
      <c r="X131" s="4"/>
      <c r="Y131" s="6"/>
    </row>
    <row r="132" ht="25" customHeight="1" spans="1:28">
      <c r="A132" s="111"/>
      <c r="B132" s="117"/>
      <c r="C132" s="85">
        <v>26</v>
      </c>
      <c r="D132" s="55">
        <v>0.429410948981545</v>
      </c>
      <c r="E132" s="55">
        <v>-29.5445184707007</v>
      </c>
      <c r="F132" s="55">
        <v>1.17622920609573</v>
      </c>
      <c r="G132" s="59">
        <v>0.0302</v>
      </c>
      <c r="H132" s="61">
        <v>1000</v>
      </c>
      <c r="I132" s="59">
        <v>9.801</v>
      </c>
      <c r="J132" s="62">
        <v>4e-6</v>
      </c>
      <c r="K132" s="64">
        <v>0.00101</v>
      </c>
      <c r="L132" s="65">
        <f t="shared" si="70"/>
        <v>-3.36826331666988</v>
      </c>
      <c r="M132" s="66">
        <f t="shared" si="71"/>
        <v>0.00117622920609573</v>
      </c>
      <c r="N132" s="65">
        <f t="shared" si="72"/>
        <v>14.3635317606801</v>
      </c>
      <c r="O132" s="65">
        <f t="shared" si="73"/>
        <v>1.79600423030684</v>
      </c>
      <c r="P132" s="69">
        <f t="shared" si="74"/>
        <v>0.0143610946513696</v>
      </c>
      <c r="Q132" s="69">
        <f t="shared" si="75"/>
        <v>0.00378928198417215</v>
      </c>
      <c r="R132" s="65">
        <f t="shared" si="76"/>
        <v>0.0207624911477653</v>
      </c>
      <c r="S132" s="65">
        <f t="shared" si="77"/>
        <v>1.89451946908837</v>
      </c>
      <c r="T132" s="65">
        <f t="shared" si="78"/>
        <v>0.0109592387339023</v>
      </c>
      <c r="U132" s="65">
        <f t="shared" si="79"/>
        <v>1114.19456552936</v>
      </c>
      <c r="V132" s="69">
        <f t="shared" si="80"/>
        <v>1.86345291837794e-5</v>
      </c>
      <c r="W132" s="69">
        <f t="shared" si="81"/>
        <v>6.28464452105989e-7</v>
      </c>
      <c r="X132" s="4"/>
      <c r="Y132" s="6"/>
    </row>
    <row r="133" ht="25" customHeight="1" spans="1:28">
      <c r="A133" s="111"/>
      <c r="B133" s="117"/>
      <c r="C133" s="85">
        <v>32</v>
      </c>
      <c r="D133" s="55">
        <v>0.395006096345403</v>
      </c>
      <c r="E133" s="55">
        <v>-16.7691410433922</v>
      </c>
      <c r="F133" s="55">
        <v>1.13947744614092</v>
      </c>
      <c r="G133" s="59">
        <v>0.0302</v>
      </c>
      <c r="H133" s="61">
        <v>1000</v>
      </c>
      <c r="I133" s="59">
        <v>9.801</v>
      </c>
      <c r="J133" s="62">
        <v>4e-6</v>
      </c>
      <c r="K133" s="64">
        <v>0.00101</v>
      </c>
      <c r="L133" s="65">
        <f t="shared" si="70"/>
        <v>-0.969101483857612</v>
      </c>
      <c r="M133" s="66">
        <f t="shared" si="71"/>
        <v>0.00113947744614092</v>
      </c>
      <c r="N133" s="65">
        <f t="shared" si="72"/>
        <v>11.7743348628131</v>
      </c>
      <c r="O133" s="65">
        <f t="shared" si="73"/>
        <v>1.68552385979283</v>
      </c>
      <c r="P133" s="69">
        <f t="shared" si="74"/>
        <v>0.0132104687850615</v>
      </c>
      <c r="Q133" s="69">
        <f t="shared" si="75"/>
        <v>0.00384990521880316</v>
      </c>
      <c r="R133" s="65">
        <f t="shared" si="76"/>
        <v>0.0197970336981027</v>
      </c>
      <c r="S133" s="65">
        <f t="shared" si="77"/>
        <v>2.10118964939604</v>
      </c>
      <c r="T133" s="65">
        <f t="shared" si="78"/>
        <v>0.00942182144471973</v>
      </c>
      <c r="U133" s="65">
        <f t="shared" si="79"/>
        <v>1197.12910777577</v>
      </c>
      <c r="V133" s="69">
        <f t="shared" si="80"/>
        <v>1.65370915881288e-5</v>
      </c>
      <c r="W133" s="69">
        <f t="shared" si="81"/>
        <v>4.83485452294105e-7</v>
      </c>
      <c r="X133" s="4"/>
      <c r="Y133" s="6"/>
    </row>
    <row r="134" ht="25" customHeight="1" spans="1:28">
      <c r="A134" s="111"/>
      <c r="B134" s="117"/>
      <c r="C134" s="85">
        <v>33</v>
      </c>
      <c r="D134" s="55">
        <v>0.398843632763255</v>
      </c>
      <c r="E134" s="55">
        <v>-27.6032969792246</v>
      </c>
      <c r="F134" s="55">
        <v>1.13295312383379</v>
      </c>
      <c r="G134" s="59">
        <v>0.0302</v>
      </c>
      <c r="H134" s="61">
        <v>1000</v>
      </c>
      <c r="I134" s="59">
        <v>9.801</v>
      </c>
      <c r="J134" s="62">
        <v>4e-6</v>
      </c>
      <c r="K134" s="64">
        <v>0.00101</v>
      </c>
      <c r="L134" s="65">
        <f t="shared" si="70"/>
        <v>-2.79498424119643</v>
      </c>
      <c r="M134" s="66">
        <f t="shared" si="71"/>
        <v>0.00113295312383379</v>
      </c>
      <c r="N134" s="65">
        <f t="shared" si="72"/>
        <v>11.9354918465566</v>
      </c>
      <c r="O134" s="65">
        <f t="shared" si="73"/>
        <v>1.66627746154534</v>
      </c>
      <c r="P134" s="69">
        <f t="shared" si="74"/>
        <v>0.0133388102347976</v>
      </c>
      <c r="Q134" s="69">
        <f t="shared" si="75"/>
        <v>0.00386097450490763</v>
      </c>
      <c r="R134" s="65">
        <f t="shared" si="76"/>
        <v>0.0196272490757448</v>
      </c>
      <c r="S134" s="65">
        <f t="shared" si="77"/>
        <v>2.03741706011254</v>
      </c>
      <c r="T134" s="65">
        <f t="shared" si="78"/>
        <v>0.00963339782511717</v>
      </c>
      <c r="U134" s="65">
        <f t="shared" si="79"/>
        <v>1154.14901140338</v>
      </c>
      <c r="V134" s="69">
        <f t="shared" si="80"/>
        <v>1.70058189036433e-5</v>
      </c>
      <c r="W134" s="69">
        <f t="shared" si="81"/>
        <v>4.84506674036147e-7</v>
      </c>
      <c r="X134" s="4"/>
      <c r="Y134" s="6"/>
    </row>
    <row r="135" ht="25" customHeight="1" spans="1:28">
      <c r="A135" s="111"/>
      <c r="B135" s="117"/>
      <c r="C135" s="85">
        <v>37</v>
      </c>
      <c r="D135" s="55">
        <v>0.318662680570048</v>
      </c>
      <c r="E135" s="55">
        <v>-21.0076644753185</v>
      </c>
      <c r="F135" s="55">
        <v>1.12616383153143</v>
      </c>
      <c r="G135" s="59">
        <v>0.0302</v>
      </c>
      <c r="H135" s="61">
        <v>1000</v>
      </c>
      <c r="I135" s="59">
        <v>9.801</v>
      </c>
      <c r="J135" s="62">
        <v>4e-6</v>
      </c>
      <c r="K135" s="64">
        <v>0.00101</v>
      </c>
      <c r="L135" s="65">
        <f t="shared" si="70"/>
        <v>-1.69910504054851</v>
      </c>
      <c r="M135" s="66">
        <f t="shared" si="71"/>
        <v>0.00112616383153143</v>
      </c>
      <c r="N135" s="65">
        <f t="shared" si="72"/>
        <v>7.57333273586413</v>
      </c>
      <c r="O135" s="65">
        <f t="shared" si="73"/>
        <v>1.64636675554716</v>
      </c>
      <c r="P135" s="69">
        <f t="shared" si="74"/>
        <v>0.0106572618336341</v>
      </c>
      <c r="Q135" s="69">
        <f t="shared" si="75"/>
        <v>0.00387259532527898</v>
      </c>
      <c r="R135" s="65">
        <f t="shared" si="76"/>
        <v>0.0194510873791465</v>
      </c>
      <c r="S135" s="65">
        <f t="shared" si="77"/>
        <v>3.15356743821568</v>
      </c>
      <c r="T135" s="65">
        <f t="shared" si="78"/>
        <v>0.00616796303241643</v>
      </c>
      <c r="U135" s="65">
        <f t="shared" si="79"/>
        <v>1775.71679460686</v>
      </c>
      <c r="V135" s="69">
        <f t="shared" si="80"/>
        <v>1.09539355815198e-5</v>
      </c>
      <c r="W135" s="69">
        <f t="shared" si="81"/>
        <v>3.03756618438244e-7</v>
      </c>
      <c r="X135" s="4" t="s">
        <v>111</v>
      </c>
      <c r="Y135" s="6"/>
      <c r="AA135" s="79"/>
      <c r="AB135" s="79"/>
    </row>
    <row r="136" ht="25" customHeight="1" spans="1:28">
      <c r="A136" s="111"/>
      <c r="B136" s="117"/>
      <c r="C136" s="85">
        <v>38</v>
      </c>
      <c r="D136" s="55">
        <v>0.323598867697246</v>
      </c>
      <c r="E136" s="55">
        <v>-19.8305564934459</v>
      </c>
      <c r="F136" s="55">
        <v>1.06171963077562</v>
      </c>
      <c r="G136" s="59">
        <v>0.0302</v>
      </c>
      <c r="H136" s="61">
        <v>1000</v>
      </c>
      <c r="I136" s="59">
        <v>9.801</v>
      </c>
      <c r="J136" s="62">
        <v>4e-6</v>
      </c>
      <c r="K136" s="64">
        <v>0.00101</v>
      </c>
      <c r="L136" s="65">
        <f t="shared" si="70"/>
        <v>-1.31061805023209</v>
      </c>
      <c r="M136" s="66">
        <f t="shared" si="71"/>
        <v>0.00106171963077562</v>
      </c>
      <c r="N136" s="65">
        <f t="shared" si="72"/>
        <v>7.3628658312843</v>
      </c>
      <c r="O136" s="65">
        <f t="shared" si="73"/>
        <v>1.4633328844295</v>
      </c>
      <c r="P136" s="69">
        <f t="shared" si="74"/>
        <v>0.0108223462375569</v>
      </c>
      <c r="Q136" s="69">
        <f t="shared" si="75"/>
        <v>0.00398839332539883</v>
      </c>
      <c r="R136" s="65">
        <f t="shared" si="76"/>
        <v>0.0178055868914847</v>
      </c>
      <c r="S136" s="65">
        <f t="shared" si="77"/>
        <v>2.71811038946247</v>
      </c>
      <c r="T136" s="65">
        <f t="shared" si="78"/>
        <v>0.00655072250211512</v>
      </c>
      <c r="U136" s="65">
        <f t="shared" si="79"/>
        <v>1442.93557955373</v>
      </c>
      <c r="V136" s="69">
        <f t="shared" si="80"/>
        <v>1.2339834947442e-5</v>
      </c>
      <c r="W136" s="69">
        <f t="shared" si="81"/>
        <v>2.62483580970042e-7</v>
      </c>
      <c r="X136" s="4" t="s">
        <v>112</v>
      </c>
      <c r="Y136" s="118"/>
      <c r="AA136" s="79"/>
      <c r="AB136" s="79"/>
    </row>
    <row r="137" ht="25" customHeight="1" spans="1:28">
      <c r="A137" s="111"/>
      <c r="B137" s="117"/>
      <c r="C137" s="85">
        <v>40</v>
      </c>
      <c r="D137" s="55">
        <v>0.33654226678617</v>
      </c>
      <c r="E137" s="55">
        <v>-21.0228869351141</v>
      </c>
      <c r="F137" s="55">
        <v>1.14326017302198</v>
      </c>
      <c r="G137" s="59">
        <v>0.0302</v>
      </c>
      <c r="H137" s="61">
        <v>1000</v>
      </c>
      <c r="I137" s="59">
        <v>9.801</v>
      </c>
      <c r="J137" s="62">
        <v>4e-6</v>
      </c>
      <c r="K137" s="64">
        <v>0.00101</v>
      </c>
      <c r="L137" s="65">
        <f t="shared" si="70"/>
        <v>-1.74869543154287</v>
      </c>
      <c r="M137" s="66">
        <f t="shared" si="71"/>
        <v>0.00114326017302198</v>
      </c>
      <c r="N137" s="65">
        <f t="shared" si="72"/>
        <v>8.57526122054116</v>
      </c>
      <c r="O137" s="65">
        <f t="shared" si="73"/>
        <v>1.69673331276319</v>
      </c>
      <c r="P137" s="69">
        <f t="shared" si="74"/>
        <v>0.0112552215051004</v>
      </c>
      <c r="Q137" s="69">
        <f t="shared" si="75"/>
        <v>0.00384353081400445</v>
      </c>
      <c r="R137" s="65">
        <f t="shared" si="76"/>
        <v>0.0198956958803704</v>
      </c>
      <c r="S137" s="65">
        <f t="shared" si="77"/>
        <v>2.91388427876806</v>
      </c>
      <c r="T137" s="65">
        <f t="shared" si="78"/>
        <v>0.00682789499409425</v>
      </c>
      <c r="U137" s="65">
        <f t="shared" si="79"/>
        <v>1665.6639223552</v>
      </c>
      <c r="V137" s="69">
        <f t="shared" si="80"/>
        <v>1.19446039584254e-5</v>
      </c>
      <c r="W137" s="69">
        <f t="shared" si="81"/>
        <v>3.54464762650041e-7</v>
      </c>
      <c r="X137" s="4"/>
      <c r="Y137" s="6"/>
    </row>
    <row r="138" ht="25" customHeight="1" spans="1:28">
      <c r="A138" s="111"/>
      <c r="B138" s="117"/>
      <c r="C138" s="85">
        <v>42</v>
      </c>
      <c r="D138" s="55">
        <v>0.369274360911998</v>
      </c>
      <c r="E138" s="55">
        <v>-22.4770707152993</v>
      </c>
      <c r="F138" s="55">
        <v>1.12194285224198</v>
      </c>
      <c r="G138" s="59">
        <v>0.0302</v>
      </c>
      <c r="H138" s="61">
        <v>1000</v>
      </c>
      <c r="I138" s="59">
        <v>9.801</v>
      </c>
      <c r="J138" s="62">
        <v>4e-6</v>
      </c>
      <c r="K138" s="64">
        <v>0.00101</v>
      </c>
      <c r="L138" s="65">
        <f t="shared" si="70"/>
        <v>-1.89950398908282</v>
      </c>
      <c r="M138" s="66">
        <f t="shared" si="71"/>
        <v>0.00112194285224198</v>
      </c>
      <c r="N138" s="65">
        <f t="shared" si="72"/>
        <v>10.1319280992112</v>
      </c>
      <c r="O138" s="65">
        <f t="shared" si="73"/>
        <v>1.63404837615802</v>
      </c>
      <c r="P138" s="69">
        <f t="shared" si="74"/>
        <v>0.0123499041232158</v>
      </c>
      <c r="Q138" s="69">
        <f t="shared" si="75"/>
        <v>0.0038798732356899</v>
      </c>
      <c r="R138" s="65">
        <f t="shared" si="76"/>
        <v>0.0193418328627243</v>
      </c>
      <c r="S138" s="65">
        <f t="shared" si="77"/>
        <v>2.33079750328984</v>
      </c>
      <c r="T138" s="65">
        <f t="shared" si="78"/>
        <v>0.00829837548539672</v>
      </c>
      <c r="U138" s="65">
        <f t="shared" si="79"/>
        <v>1307.51079941975</v>
      </c>
      <c r="V138" s="69">
        <f t="shared" si="80"/>
        <v>1.47928666220638e-5</v>
      </c>
      <c r="W138" s="69">
        <f t="shared" si="81"/>
        <v>4.03337992381623e-7</v>
      </c>
      <c r="X138" s="4"/>
      <c r="Y138" s="6"/>
    </row>
    <row r="139" ht="25" customHeight="1" spans="1:28">
      <c r="A139" s="111"/>
      <c r="B139" s="117"/>
      <c r="C139" s="85">
        <v>43</v>
      </c>
      <c r="D139" s="55">
        <v>0.373369233219633</v>
      </c>
      <c r="E139" s="55">
        <v>-25.6284967317138</v>
      </c>
      <c r="F139" s="55">
        <v>1.07188403177389</v>
      </c>
      <c r="G139" s="59">
        <v>0.0302</v>
      </c>
      <c r="H139" s="61">
        <v>1000</v>
      </c>
      <c r="I139" s="59">
        <v>9.801</v>
      </c>
      <c r="J139" s="62">
        <v>4e-6</v>
      </c>
      <c r="K139" s="64">
        <v>0.00101</v>
      </c>
      <c r="L139" s="65">
        <f t="shared" si="70"/>
        <v>-2.19185472871322</v>
      </c>
      <c r="M139" s="66">
        <f t="shared" si="71"/>
        <v>0.00107188403177389</v>
      </c>
      <c r="N139" s="65">
        <f t="shared" si="72"/>
        <v>9.89573164790353</v>
      </c>
      <c r="O139" s="65">
        <f t="shared" si="73"/>
        <v>1.49148551464658</v>
      </c>
      <c r="P139" s="69">
        <f t="shared" si="74"/>
        <v>0.0124868518394645</v>
      </c>
      <c r="Q139" s="69">
        <f t="shared" si="75"/>
        <v>0.00396943782601041</v>
      </c>
      <c r="R139" s="65">
        <f t="shared" si="76"/>
        <v>0.0180618912767337</v>
      </c>
      <c r="S139" s="65">
        <f t="shared" si="77"/>
        <v>2.08103760907411</v>
      </c>
      <c r="T139" s="65">
        <f t="shared" si="78"/>
        <v>0.00867927191607545</v>
      </c>
      <c r="U139" s="65">
        <f t="shared" si="79"/>
        <v>1115.31549134373</v>
      </c>
      <c r="V139" s="69">
        <f t="shared" si="80"/>
        <v>1.61944233868507e-5</v>
      </c>
      <c r="W139" s="69">
        <f t="shared" si="81"/>
        <v>3.59566375887138e-7</v>
      </c>
      <c r="X139" s="4"/>
      <c r="Y139" s="6"/>
    </row>
    <row r="140" ht="25" customHeight="1" spans="1:28">
      <c r="A140" s="111"/>
      <c r="B140" s="117"/>
      <c r="C140" s="85">
        <v>74</v>
      </c>
      <c r="D140" s="55">
        <v>0.292575394561062</v>
      </c>
      <c r="E140" s="55">
        <v>-5.70375347275431</v>
      </c>
      <c r="F140" s="55">
        <v>1.55695324585881</v>
      </c>
      <c r="G140" s="59">
        <v>0.0302</v>
      </c>
      <c r="H140" s="61">
        <v>1000</v>
      </c>
      <c r="I140" s="59">
        <v>9.801</v>
      </c>
      <c r="J140" s="62">
        <v>4e-6</v>
      </c>
      <c r="K140" s="64">
        <v>0.00101</v>
      </c>
      <c r="L140" s="65"/>
      <c r="M140" s="66">
        <f t="shared" si="71"/>
        <v>0.00155695324585881</v>
      </c>
      <c r="N140" s="65">
        <f t="shared" si="72"/>
        <v>8.82620931709272</v>
      </c>
      <c r="O140" s="65">
        <f t="shared" si="73"/>
        <v>3.14683940653703</v>
      </c>
      <c r="P140" s="69">
        <f t="shared" ref="P140:P186" si="82">K140*D140/G140</f>
        <v>0.0097848062419428</v>
      </c>
      <c r="Q140" s="69">
        <f t="shared" ref="Q140:Q186" si="83">K140/SQRT(H140*G140*M140*2)</f>
        <v>0.00329355650624026</v>
      </c>
      <c r="R140" s="65">
        <f t="shared" ref="R140:R186" si="84">SQRT(H140*8*(M140^3)/G140)</f>
        <v>0.0316194913153029</v>
      </c>
      <c r="S140" s="65">
        <f t="shared" ref="S140:S186" si="85">K140*(2*M140)^2/(H140*(D140*J140)^2)</f>
        <v>7.15050848183315</v>
      </c>
      <c r="T140" s="65">
        <f t="shared" ref="T140:T186" si="86">R140/S140</f>
        <v>0.00442199200177673</v>
      </c>
      <c r="U140" s="65">
        <f t="shared" ref="U140:U186" si="87">K140*(2*M140)^3/(H140*(D140)^2*(J140)^3)</f>
        <v>5566.50369516554</v>
      </c>
      <c r="V140" s="69">
        <f t="shared" ref="V140:V186" si="88">R140/U140</f>
        <v>5.68031443916298e-6</v>
      </c>
      <c r="W140" s="69">
        <f t="shared" ref="W140:W186" si="89">0.5*H140*(4/3)*PI()*M140^3*D140^2</f>
        <v>6.76645076489761e-7</v>
      </c>
      <c r="X140" s="4"/>
      <c r="Y140" s="6"/>
    </row>
    <row r="141" ht="25" customHeight="1" spans="1:28">
      <c r="A141" s="111"/>
      <c r="B141" s="117"/>
      <c r="C141" s="85">
        <v>75</v>
      </c>
      <c r="D141" s="55">
        <v>0.262009821995388</v>
      </c>
      <c r="E141" s="55">
        <v>-9.43979277525855</v>
      </c>
      <c r="F141" s="55">
        <v>1.64278088898173</v>
      </c>
      <c r="G141" s="59">
        <v>0.0302</v>
      </c>
      <c r="H141" s="61">
        <v>1000</v>
      </c>
      <c r="I141" s="59">
        <v>9.801</v>
      </c>
      <c r="J141" s="62">
        <v>4e-6</v>
      </c>
      <c r="K141" s="64">
        <v>0.00101</v>
      </c>
      <c r="L141" s="65"/>
      <c r="M141" s="66">
        <f t="shared" si="71"/>
        <v>0.00164278088898173</v>
      </c>
      <c r="N141" s="65">
        <f t="shared" si="72"/>
        <v>7.4685765857068</v>
      </c>
      <c r="O141" s="65">
        <f t="shared" si="73"/>
        <v>3.50334349817808</v>
      </c>
      <c r="P141" s="69">
        <f t="shared" si="82"/>
        <v>0.00876258013958086</v>
      </c>
      <c r="Q141" s="69">
        <f t="shared" si="83"/>
        <v>0.00320636591771508</v>
      </c>
      <c r="R141" s="65">
        <f t="shared" si="84"/>
        <v>0.0342697538396596</v>
      </c>
      <c r="S141" s="65">
        <f t="shared" si="85"/>
        <v>9.92625715641068</v>
      </c>
      <c r="T141" s="65">
        <f t="shared" si="86"/>
        <v>0.00345243461857395</v>
      </c>
      <c r="U141" s="65">
        <f t="shared" si="87"/>
        <v>8153.33277783479</v>
      </c>
      <c r="V141" s="69">
        <f t="shared" si="88"/>
        <v>4.2031589747966e-6</v>
      </c>
      <c r="W141" s="69">
        <f t="shared" si="89"/>
        <v>6.3743027050021e-7</v>
      </c>
      <c r="X141" s="4"/>
      <c r="Y141" s="6"/>
    </row>
    <row r="142" ht="25" customHeight="1" spans="1:28">
      <c r="A142" s="115"/>
      <c r="B142" s="117"/>
      <c r="C142" s="85">
        <v>76</v>
      </c>
      <c r="D142" s="55">
        <v>0.256032383688495</v>
      </c>
      <c r="E142" s="55">
        <v>-7.26758885584294</v>
      </c>
      <c r="F142" s="55">
        <v>1.58578062913444</v>
      </c>
      <c r="G142" s="59">
        <v>0.0302</v>
      </c>
      <c r="H142" s="61">
        <v>1000</v>
      </c>
      <c r="I142" s="59">
        <v>9.801</v>
      </c>
      <c r="J142" s="62">
        <v>4e-6</v>
      </c>
      <c r="K142" s="64">
        <v>0.00101</v>
      </c>
      <c r="L142" s="65"/>
      <c r="M142" s="66">
        <f t="shared" si="71"/>
        <v>0.00158578062913444</v>
      </c>
      <c r="N142" s="65">
        <f t="shared" si="72"/>
        <v>6.88423933298256</v>
      </c>
      <c r="O142" s="65">
        <f t="shared" si="73"/>
        <v>3.26444724461408</v>
      </c>
      <c r="P142" s="69">
        <f t="shared" si="82"/>
        <v>0.00856267243461523</v>
      </c>
      <c r="Q142" s="69">
        <f t="shared" si="83"/>
        <v>0.00326348296617481</v>
      </c>
      <c r="R142" s="65">
        <f t="shared" si="84"/>
        <v>0.032501708039348</v>
      </c>
      <c r="S142" s="65">
        <f t="shared" si="85"/>
        <v>9.68629742630118</v>
      </c>
      <c r="T142" s="65">
        <f t="shared" si="86"/>
        <v>0.00335543155541519</v>
      </c>
      <c r="U142" s="65">
        <f t="shared" si="87"/>
        <v>7680.1714133316</v>
      </c>
      <c r="V142" s="69">
        <f t="shared" si="88"/>
        <v>4.23189878066132e-6</v>
      </c>
      <c r="W142" s="69">
        <f t="shared" si="89"/>
        <v>5.47491950350285e-7</v>
      </c>
      <c r="X142" s="4"/>
      <c r="Y142" s="6"/>
    </row>
    <row r="143" ht="25" customHeight="1" spans="1:28">
      <c r="A143" s="54" t="s">
        <v>103</v>
      </c>
      <c r="B143" s="110" t="s">
        <v>62</v>
      </c>
      <c r="C143" s="54" t="s">
        <v>113</v>
      </c>
      <c r="D143" s="55">
        <v>0.474828069561012</v>
      </c>
      <c r="E143" s="55">
        <v>15.2736715941673</v>
      </c>
      <c r="F143" s="55">
        <v>2.28214995933084</v>
      </c>
      <c r="G143" s="59">
        <v>0.0302</v>
      </c>
      <c r="H143" s="61">
        <v>1000</v>
      </c>
      <c r="I143" s="59">
        <v>9.801</v>
      </c>
      <c r="J143" s="62">
        <v>4e-6</v>
      </c>
      <c r="K143" s="64">
        <v>0.00101</v>
      </c>
      <c r="L143" s="65"/>
      <c r="M143" s="66">
        <f t="shared" ref="M143:M174" si="90">F143/1000</f>
        <v>0.00228214995933084</v>
      </c>
      <c r="N143" s="65">
        <f t="shared" ref="N143:N174" si="91">H143*2*M143*D143^2/G143</f>
        <v>34.0753244730079</v>
      </c>
      <c r="O143" s="65">
        <f t="shared" ref="O143:O174" si="92">H143*I143*(M143*2)^2/G143</f>
        <v>6.76101336288738</v>
      </c>
      <c r="P143" s="69">
        <f t="shared" si="82"/>
        <v>0.0158800115979014</v>
      </c>
      <c r="Q143" s="69">
        <f t="shared" si="83"/>
        <v>0.00272038777976719</v>
      </c>
      <c r="R143" s="65">
        <f t="shared" si="84"/>
        <v>0.0561122637075316</v>
      </c>
      <c r="S143" s="65">
        <f t="shared" si="85"/>
        <v>5.83279845634052</v>
      </c>
      <c r="T143" s="65">
        <f t="shared" si="86"/>
        <v>0.00962012730725078</v>
      </c>
      <c r="U143" s="65">
        <f t="shared" si="87"/>
        <v>6655.66037996125</v>
      </c>
      <c r="V143" s="69">
        <f t="shared" si="88"/>
        <v>8.43075825750867e-6</v>
      </c>
      <c r="W143" s="69">
        <f t="shared" si="89"/>
        <v>5.61259774766907e-6</v>
      </c>
      <c r="X143" s="119" t="s">
        <v>114</v>
      </c>
      <c r="Y143" s="120"/>
    </row>
    <row r="144" ht="25" customHeight="1" spans="1:28">
      <c r="A144" s="54"/>
      <c r="B144" s="111"/>
      <c r="C144" s="54" t="s">
        <v>115</v>
      </c>
      <c r="D144" s="55">
        <v>0.59641199076378</v>
      </c>
      <c r="E144" s="55">
        <v>0.521715401226633</v>
      </c>
      <c r="F144" s="55">
        <v>2.09688936442451</v>
      </c>
      <c r="G144" s="59">
        <v>0.0302</v>
      </c>
      <c r="H144" s="61">
        <v>1000</v>
      </c>
      <c r="I144" s="59">
        <v>9.801</v>
      </c>
      <c r="J144" s="62">
        <v>4e-6</v>
      </c>
      <c r="K144" s="64">
        <v>0.00101</v>
      </c>
      <c r="L144" s="65"/>
      <c r="M144" s="66">
        <f t="shared" si="90"/>
        <v>0.00209688936442451</v>
      </c>
      <c r="N144" s="65">
        <f t="shared" si="91"/>
        <v>49.3959454344645</v>
      </c>
      <c r="O144" s="65">
        <f t="shared" si="92"/>
        <v>5.70787523311862</v>
      </c>
      <c r="P144" s="69">
        <f t="shared" si="82"/>
        <v>0.0199462288301794</v>
      </c>
      <c r="Q144" s="69">
        <f t="shared" si="83"/>
        <v>0.00283801800251472</v>
      </c>
      <c r="R144" s="65">
        <f t="shared" si="84"/>
        <v>0.0494202339996116</v>
      </c>
      <c r="S144" s="65">
        <f t="shared" si="85"/>
        <v>3.12118624080051</v>
      </c>
      <c r="T144" s="65">
        <f t="shared" si="86"/>
        <v>0.0158337984941701</v>
      </c>
      <c r="U144" s="65">
        <f t="shared" si="87"/>
        <v>3272.39111636136</v>
      </c>
      <c r="V144" s="69">
        <f t="shared" si="88"/>
        <v>1.5102178267298e-5</v>
      </c>
      <c r="W144" s="69">
        <f t="shared" si="89"/>
        <v>6.8687529611976e-6</v>
      </c>
      <c r="X144" s="121"/>
      <c r="Y144" s="122"/>
    </row>
    <row r="145" ht="25" customHeight="1" spans="1:27">
      <c r="A145" s="54"/>
      <c r="B145" s="111"/>
      <c r="C145" s="54">
        <v>139</v>
      </c>
      <c r="D145" s="55">
        <v>0.609736530475151</v>
      </c>
      <c r="E145" s="55">
        <v>3.25039948067151</v>
      </c>
      <c r="F145" s="55">
        <v>2.25192699537618</v>
      </c>
      <c r="G145" s="59">
        <v>0.0302</v>
      </c>
      <c r="H145" s="61">
        <v>1000</v>
      </c>
      <c r="I145" s="59">
        <v>9.801</v>
      </c>
      <c r="J145" s="62">
        <v>4e-6</v>
      </c>
      <c r="K145" s="64">
        <v>0.00101</v>
      </c>
      <c r="L145" s="65"/>
      <c r="M145" s="66">
        <f t="shared" si="90"/>
        <v>0.00225192699537618</v>
      </c>
      <c r="N145" s="65">
        <f t="shared" si="91"/>
        <v>55.444923712212</v>
      </c>
      <c r="O145" s="65">
        <f t="shared" si="92"/>
        <v>6.58312424658697</v>
      </c>
      <c r="P145" s="69">
        <f t="shared" si="82"/>
        <v>0.0203918508536392</v>
      </c>
      <c r="Q145" s="69">
        <f t="shared" si="83"/>
        <v>0.00273858200998686</v>
      </c>
      <c r="R145" s="65">
        <f t="shared" si="84"/>
        <v>0.055001303571022</v>
      </c>
      <c r="S145" s="65">
        <f t="shared" si="85"/>
        <v>3.44417782536315</v>
      </c>
      <c r="T145" s="65">
        <f t="shared" si="86"/>
        <v>0.0159693565082467</v>
      </c>
      <c r="U145" s="65">
        <f t="shared" si="87"/>
        <v>3878.01851090565</v>
      </c>
      <c r="V145" s="69">
        <f t="shared" si="88"/>
        <v>1.41828367802652e-5</v>
      </c>
      <c r="W145" s="69">
        <f t="shared" si="89"/>
        <v>8.89213331964858e-6</v>
      </c>
      <c r="X145" s="4"/>
      <c r="Y145" s="6"/>
      <c r="Z145" s="99" t="s">
        <v>116</v>
      </c>
      <c r="AA145" s="81"/>
    </row>
    <row r="146" ht="25" customHeight="1" spans="1:27">
      <c r="A146" s="54"/>
      <c r="B146" s="111"/>
      <c r="C146" s="54">
        <v>140</v>
      </c>
      <c r="D146" s="55">
        <v>0.45871767575761</v>
      </c>
      <c r="E146" s="55">
        <v>-14.1761398441931</v>
      </c>
      <c r="F146" s="55">
        <v>2.34080280595721</v>
      </c>
      <c r="G146" s="59">
        <v>0.0302</v>
      </c>
      <c r="H146" s="61">
        <v>1000</v>
      </c>
      <c r="I146" s="59">
        <v>9.801</v>
      </c>
      <c r="J146" s="62">
        <v>4e-6</v>
      </c>
      <c r="K146" s="64">
        <v>0.00101</v>
      </c>
      <c r="L146" s="65"/>
      <c r="M146" s="66">
        <f t="shared" si="90"/>
        <v>0.00234080280595721</v>
      </c>
      <c r="N146" s="65">
        <f t="shared" si="91"/>
        <v>32.6196151074485</v>
      </c>
      <c r="O146" s="65">
        <f t="shared" si="92"/>
        <v>7.11300471076456</v>
      </c>
      <c r="P146" s="69">
        <f t="shared" si="82"/>
        <v>0.0153412202819598</v>
      </c>
      <c r="Q146" s="69">
        <f t="shared" si="83"/>
        <v>0.00268608956555275</v>
      </c>
      <c r="R146" s="65">
        <f t="shared" si="84"/>
        <v>0.0582892900952752</v>
      </c>
      <c r="S146" s="65">
        <f t="shared" si="85"/>
        <v>6.57506561218144</v>
      </c>
      <c r="T146" s="65">
        <f t="shared" si="86"/>
        <v>0.00886520280303884</v>
      </c>
      <c r="U146" s="65">
        <f t="shared" si="87"/>
        <v>7695.46601717354</v>
      </c>
      <c r="V146" s="69">
        <f t="shared" si="88"/>
        <v>7.57449775818569e-6</v>
      </c>
      <c r="W146" s="69">
        <f t="shared" si="89"/>
        <v>5.65254530639622e-6</v>
      </c>
      <c r="X146" s="4"/>
      <c r="Y146" s="6"/>
      <c r="Z146" s="81"/>
      <c r="AA146" s="81"/>
    </row>
    <row r="147" ht="25" customHeight="1" spans="1:27">
      <c r="A147" s="54" t="s">
        <v>103</v>
      </c>
      <c r="B147" s="111"/>
      <c r="C147" s="54">
        <v>141</v>
      </c>
      <c r="D147" s="55">
        <v>0.683034585369603</v>
      </c>
      <c r="E147" s="55">
        <v>-10.6833641546267</v>
      </c>
      <c r="F147" s="55">
        <v>2.36751307877695</v>
      </c>
      <c r="G147" s="59">
        <v>0.0302</v>
      </c>
      <c r="H147" s="61">
        <v>1000</v>
      </c>
      <c r="I147" s="59">
        <v>9.801</v>
      </c>
      <c r="J147" s="62">
        <v>4e-6</v>
      </c>
      <c r="K147" s="64">
        <v>0.00101</v>
      </c>
      <c r="L147" s="65"/>
      <c r="M147" s="66">
        <f t="shared" si="90"/>
        <v>0.00236751307877695</v>
      </c>
      <c r="N147" s="65">
        <f t="shared" si="91"/>
        <v>73.1477259148072</v>
      </c>
      <c r="O147" s="65">
        <f t="shared" si="92"/>
        <v>7.2762600350121</v>
      </c>
      <c r="P147" s="69">
        <f t="shared" si="82"/>
        <v>0.0228432096431556</v>
      </c>
      <c r="Q147" s="69">
        <f t="shared" si="83"/>
        <v>0.00267089436020705</v>
      </c>
      <c r="R147" s="65">
        <f t="shared" si="84"/>
        <v>0.0592898159619594</v>
      </c>
      <c r="S147" s="65">
        <f t="shared" si="85"/>
        <v>3.03361712135293</v>
      </c>
      <c r="T147" s="65">
        <f t="shared" si="86"/>
        <v>0.0195442646814696</v>
      </c>
      <c r="U147" s="65">
        <f t="shared" si="87"/>
        <v>3591.06410540237</v>
      </c>
      <c r="V147" s="69">
        <f t="shared" si="88"/>
        <v>1.65103752597355e-5</v>
      </c>
      <c r="W147" s="69">
        <f t="shared" si="89"/>
        <v>1.29664522044014e-5</v>
      </c>
      <c r="X147" s="4"/>
      <c r="Y147" s="6"/>
      <c r="Z147" s="81"/>
      <c r="AA147" s="81"/>
    </row>
    <row r="148" ht="25" customHeight="1" spans="1:27">
      <c r="A148" s="54"/>
      <c r="B148" s="111"/>
      <c r="C148" s="54">
        <v>142</v>
      </c>
      <c r="D148" s="55">
        <v>0.576675575154627</v>
      </c>
      <c r="E148" s="55">
        <v>5.56887748725672</v>
      </c>
      <c r="F148" s="55">
        <v>2.22609391024175</v>
      </c>
      <c r="G148" s="59">
        <v>0.0302</v>
      </c>
      <c r="H148" s="61">
        <v>1000</v>
      </c>
      <c r="I148" s="59">
        <v>9.801</v>
      </c>
      <c r="J148" s="62">
        <v>4e-6</v>
      </c>
      <c r="K148" s="64">
        <v>0.00101</v>
      </c>
      <c r="L148" s="65"/>
      <c r="M148" s="66">
        <f t="shared" si="90"/>
        <v>0.00222609391024175</v>
      </c>
      <c r="N148" s="65">
        <f t="shared" si="91"/>
        <v>49.0263599167785</v>
      </c>
      <c r="O148" s="65">
        <f t="shared" si="92"/>
        <v>6.43295333070307</v>
      </c>
      <c r="P148" s="69">
        <f t="shared" si="82"/>
        <v>0.0192861698975554</v>
      </c>
      <c r="Q148" s="69">
        <f t="shared" si="83"/>
        <v>0.00275442634570102</v>
      </c>
      <c r="R148" s="65">
        <f t="shared" si="84"/>
        <v>0.0540575980092516</v>
      </c>
      <c r="S148" s="65">
        <f t="shared" si="85"/>
        <v>3.76257556466202</v>
      </c>
      <c r="T148" s="65">
        <f t="shared" si="86"/>
        <v>0.0143671793643053</v>
      </c>
      <c r="U148" s="65">
        <f t="shared" si="87"/>
        <v>4187.92327565927</v>
      </c>
      <c r="V148" s="69">
        <f t="shared" si="88"/>
        <v>1.29079723889502e-5</v>
      </c>
      <c r="W148" s="69">
        <f t="shared" si="89"/>
        <v>7.68337753152634e-6</v>
      </c>
      <c r="X148" s="4"/>
      <c r="Y148" s="6"/>
      <c r="Z148" s="81"/>
      <c r="AA148" s="81"/>
    </row>
    <row r="149" ht="25" customHeight="1" spans="1:27">
      <c r="A149" s="54"/>
      <c r="B149" s="111"/>
      <c r="C149" s="54">
        <v>143</v>
      </c>
      <c r="D149" s="55">
        <v>0.467989805422608</v>
      </c>
      <c r="E149" s="55">
        <v>-5.48642003216745</v>
      </c>
      <c r="F149" s="55">
        <v>2.35684279807455</v>
      </c>
      <c r="G149" s="59">
        <v>0.0302</v>
      </c>
      <c r="H149" s="61">
        <v>1000</v>
      </c>
      <c r="I149" s="59">
        <v>9.801</v>
      </c>
      <c r="J149" s="62">
        <v>4e-6</v>
      </c>
      <c r="K149" s="64">
        <v>0.00101</v>
      </c>
      <c r="L149" s="65"/>
      <c r="M149" s="66">
        <f t="shared" si="90"/>
        <v>0.00235684279807455</v>
      </c>
      <c r="N149" s="65">
        <f t="shared" si="91"/>
        <v>34.1842813220638</v>
      </c>
      <c r="O149" s="65">
        <f t="shared" si="92"/>
        <v>7.2108202465386</v>
      </c>
      <c r="P149" s="69">
        <f t="shared" si="82"/>
        <v>0.0156513146846634</v>
      </c>
      <c r="Q149" s="69">
        <f t="shared" si="83"/>
        <v>0.00267693358540374</v>
      </c>
      <c r="R149" s="65">
        <f t="shared" si="84"/>
        <v>0.0588894429106857</v>
      </c>
      <c r="S149" s="65">
        <f t="shared" si="85"/>
        <v>6.40397796832847</v>
      </c>
      <c r="T149" s="65">
        <f t="shared" si="86"/>
        <v>0.00919575976087512</v>
      </c>
      <c r="U149" s="65">
        <f t="shared" si="87"/>
        <v>7546.58467684152</v>
      </c>
      <c r="V149" s="69">
        <f t="shared" si="88"/>
        <v>7.80345619010967e-6</v>
      </c>
      <c r="W149" s="69">
        <f t="shared" si="89"/>
        <v>6.00514152102573e-6</v>
      </c>
      <c r="X149" s="4"/>
      <c r="Y149" s="6"/>
      <c r="Z149" s="81"/>
      <c r="AA149" s="81"/>
    </row>
    <row r="150" ht="25" customHeight="1" spans="1:27">
      <c r="A150" s="54" t="s">
        <v>103</v>
      </c>
      <c r="B150" s="111"/>
      <c r="C150" s="54">
        <v>144</v>
      </c>
      <c r="D150" s="55">
        <v>0.546589026734305</v>
      </c>
      <c r="E150" s="55">
        <v>10.8427850461297</v>
      </c>
      <c r="F150" s="55">
        <v>2.31237383660544</v>
      </c>
      <c r="G150" s="59">
        <v>0.0302</v>
      </c>
      <c r="H150" s="61">
        <v>1000</v>
      </c>
      <c r="I150" s="59">
        <v>9.801</v>
      </c>
      <c r="J150" s="62">
        <v>4e-6</v>
      </c>
      <c r="K150" s="64">
        <v>0.00101</v>
      </c>
      <c r="L150" s="65"/>
      <c r="M150" s="66">
        <f t="shared" si="90"/>
        <v>0.00231237383660544</v>
      </c>
      <c r="N150" s="65">
        <f t="shared" si="91"/>
        <v>45.7512450044818</v>
      </c>
      <c r="O150" s="65">
        <f t="shared" si="92"/>
        <v>6.94127948647555</v>
      </c>
      <c r="P150" s="69">
        <f t="shared" si="82"/>
        <v>0.0182799641391274</v>
      </c>
      <c r="Q150" s="69">
        <f t="shared" si="83"/>
        <v>0.00270255089248997</v>
      </c>
      <c r="R150" s="65">
        <f t="shared" si="84"/>
        <v>0.0572306386547891</v>
      </c>
      <c r="S150" s="65">
        <f t="shared" si="85"/>
        <v>4.51913857824979</v>
      </c>
      <c r="T150" s="65">
        <f t="shared" si="86"/>
        <v>0.0126640592369163</v>
      </c>
      <c r="U150" s="65">
        <f t="shared" si="87"/>
        <v>5224.96890616956</v>
      </c>
      <c r="V150" s="69">
        <f t="shared" si="88"/>
        <v>1.09532974611987e-5</v>
      </c>
      <c r="W150" s="69">
        <f t="shared" si="89"/>
        <v>7.73667888342094e-6</v>
      </c>
      <c r="X150" s="4"/>
      <c r="Y150" s="6"/>
      <c r="Z150" s="81"/>
      <c r="AA150" s="81"/>
    </row>
    <row r="151" ht="25" customHeight="1" spans="1:27">
      <c r="A151" s="54"/>
      <c r="B151" s="111"/>
      <c r="C151" s="54">
        <v>145</v>
      </c>
      <c r="D151" s="55">
        <v>0.553938521007652</v>
      </c>
      <c r="E151" s="55">
        <v>-4.89294991988664</v>
      </c>
      <c r="F151" s="55">
        <v>2.32679997098468</v>
      </c>
      <c r="G151" s="59">
        <v>0.0302</v>
      </c>
      <c r="H151" s="61">
        <v>1000</v>
      </c>
      <c r="I151" s="59">
        <v>9.801</v>
      </c>
      <c r="J151" s="62">
        <v>4e-6</v>
      </c>
      <c r="K151" s="64">
        <v>0.00101</v>
      </c>
      <c r="L151" s="65"/>
      <c r="M151" s="66">
        <f t="shared" si="90"/>
        <v>0.00232679997098468</v>
      </c>
      <c r="N151" s="65">
        <f t="shared" si="91"/>
        <v>47.2830231818111</v>
      </c>
      <c r="O151" s="65">
        <f t="shared" si="92"/>
        <v>7.02815833468254</v>
      </c>
      <c r="P151" s="69">
        <f t="shared" si="82"/>
        <v>0.0185257584840307</v>
      </c>
      <c r="Q151" s="69">
        <f t="shared" si="83"/>
        <v>0.00269415997337434</v>
      </c>
      <c r="R151" s="65">
        <f t="shared" si="84"/>
        <v>0.05776703758553</v>
      </c>
      <c r="S151" s="65">
        <f t="shared" si="85"/>
        <v>4.45508862235072</v>
      </c>
      <c r="T151" s="65">
        <f t="shared" si="86"/>
        <v>0.0129665293964566</v>
      </c>
      <c r="U151" s="65">
        <f t="shared" si="87"/>
        <v>5183.05003860992</v>
      </c>
      <c r="V151" s="69">
        <f t="shared" si="88"/>
        <v>1.11453752433814e-5</v>
      </c>
      <c r="W151" s="69">
        <f t="shared" si="89"/>
        <v>8.09578371293021e-6</v>
      </c>
      <c r="X151" s="4"/>
      <c r="Y151" s="6"/>
      <c r="Z151" s="81"/>
      <c r="AA151" s="81"/>
    </row>
    <row r="152" ht="25" customHeight="1" spans="1:27">
      <c r="A152" s="54"/>
      <c r="B152" s="111"/>
      <c r="C152" s="80">
        <v>146</v>
      </c>
      <c r="D152" s="55">
        <v>0.348278074416479</v>
      </c>
      <c r="E152" s="55">
        <v>7.25442589205387</v>
      </c>
      <c r="F152" s="55">
        <v>2.20046826040579</v>
      </c>
      <c r="G152" s="59">
        <v>0.0302</v>
      </c>
      <c r="H152" s="61">
        <v>1000</v>
      </c>
      <c r="I152" s="59">
        <v>9.801</v>
      </c>
      <c r="J152" s="62">
        <v>4e-6</v>
      </c>
      <c r="K152" s="64">
        <v>0.00101</v>
      </c>
      <c r="L152" s="65"/>
      <c r="M152" s="66">
        <f t="shared" si="90"/>
        <v>0.00220046826040579</v>
      </c>
      <c r="N152" s="65">
        <f t="shared" si="91"/>
        <v>17.6762620221036</v>
      </c>
      <c r="O152" s="65">
        <f t="shared" si="92"/>
        <v>6.28570007921685</v>
      </c>
      <c r="P152" s="69">
        <f t="shared" si="82"/>
        <v>0.0116477104357829</v>
      </c>
      <c r="Q152" s="69">
        <f t="shared" si="83"/>
        <v>0.00277041831819568</v>
      </c>
      <c r="R152" s="65">
        <f t="shared" si="84"/>
        <v>0.053126864503907</v>
      </c>
      <c r="S152" s="65">
        <f t="shared" si="85"/>
        <v>10.0795079220226</v>
      </c>
      <c r="T152" s="65">
        <f t="shared" si="86"/>
        <v>0.00527077957722823</v>
      </c>
      <c r="U152" s="65">
        <f t="shared" si="87"/>
        <v>11089.8186314598</v>
      </c>
      <c r="V152" s="69">
        <f t="shared" si="88"/>
        <v>4.79059813955802e-6</v>
      </c>
      <c r="W152" s="69">
        <f t="shared" si="89"/>
        <v>2.70680025628213e-6</v>
      </c>
      <c r="X152" s="4"/>
      <c r="Y152" s="6"/>
      <c r="Z152" s="81"/>
      <c r="AA152" s="81"/>
    </row>
    <row r="153" ht="25" customHeight="1" spans="1:27">
      <c r="A153" s="54" t="s">
        <v>103</v>
      </c>
      <c r="B153" s="111"/>
      <c r="C153" s="54">
        <v>147</v>
      </c>
      <c r="D153" s="55">
        <v>0.558495514734386</v>
      </c>
      <c r="E153" s="55">
        <v>-2.2338673807513</v>
      </c>
      <c r="F153" s="55">
        <v>2.21933604712648</v>
      </c>
      <c r="G153" s="59">
        <v>0.0302</v>
      </c>
      <c r="H153" s="61">
        <v>1000</v>
      </c>
      <c r="I153" s="59">
        <v>9.801</v>
      </c>
      <c r="J153" s="62">
        <v>4e-6</v>
      </c>
      <c r="K153" s="64">
        <v>0.00101</v>
      </c>
      <c r="L153" s="65"/>
      <c r="M153" s="66">
        <f t="shared" si="90"/>
        <v>0.00221933604712648</v>
      </c>
      <c r="N153" s="65">
        <f t="shared" si="91"/>
        <v>45.8443161857168</v>
      </c>
      <c r="O153" s="65">
        <f t="shared" si="92"/>
        <v>6.39395494771192</v>
      </c>
      <c r="P153" s="69">
        <f t="shared" si="82"/>
        <v>0.0186781612543619</v>
      </c>
      <c r="Q153" s="69">
        <f t="shared" si="83"/>
        <v>0.00275861676288881</v>
      </c>
      <c r="R153" s="65">
        <f t="shared" si="84"/>
        <v>0.0538116269462705</v>
      </c>
      <c r="S153" s="65">
        <f t="shared" si="85"/>
        <v>3.9872010724061</v>
      </c>
      <c r="T153" s="65">
        <f t="shared" si="86"/>
        <v>0.0134960906081914</v>
      </c>
      <c r="U153" s="65">
        <f t="shared" si="87"/>
        <v>4424.46953356611</v>
      </c>
      <c r="V153" s="69">
        <f t="shared" si="88"/>
        <v>1.2162277655667e-5</v>
      </c>
      <c r="W153" s="69">
        <f t="shared" si="89"/>
        <v>7.14113419619735e-6</v>
      </c>
      <c r="X153" s="4"/>
      <c r="Y153" s="6"/>
      <c r="Z153" s="81"/>
      <c r="AA153" s="81"/>
    </row>
    <row r="154" ht="25" customHeight="1" spans="1:27">
      <c r="A154" s="54"/>
      <c r="B154" s="111"/>
      <c r="C154" s="80" t="s">
        <v>117</v>
      </c>
      <c r="D154" s="55">
        <v>0.709748407126769</v>
      </c>
      <c r="E154" s="55">
        <v>-2.65194264820753</v>
      </c>
      <c r="F154" s="55">
        <v>1.99363110667822</v>
      </c>
      <c r="G154" s="59">
        <v>0.0302</v>
      </c>
      <c r="H154" s="61">
        <v>1000</v>
      </c>
      <c r="I154" s="59">
        <v>9.801</v>
      </c>
      <c r="J154" s="62">
        <v>4e-6</v>
      </c>
      <c r="K154" s="64">
        <v>0.00101</v>
      </c>
      <c r="L154" s="65"/>
      <c r="M154" s="66">
        <f t="shared" si="90"/>
        <v>0.00199363110667822</v>
      </c>
      <c r="N154" s="65">
        <f t="shared" si="91"/>
        <v>66.5084317002728</v>
      </c>
      <c r="O154" s="65">
        <f t="shared" si="92"/>
        <v>5.15956443208434</v>
      </c>
      <c r="P154" s="69">
        <f t="shared" si="82"/>
        <v>0.0237366189138423</v>
      </c>
      <c r="Q154" s="69">
        <f t="shared" si="83"/>
        <v>0.00291058645409139</v>
      </c>
      <c r="R154" s="65">
        <f t="shared" si="84"/>
        <v>0.0458151089876765</v>
      </c>
      <c r="S154" s="65">
        <f t="shared" si="85"/>
        <v>1.99224218594406</v>
      </c>
      <c r="T154" s="65">
        <f t="shared" si="86"/>
        <v>0.0229967567753146</v>
      </c>
      <c r="U154" s="65">
        <f t="shared" si="87"/>
        <v>1985.89799696734</v>
      </c>
      <c r="V154" s="69">
        <f t="shared" si="88"/>
        <v>2.30702226688584e-5</v>
      </c>
      <c r="W154" s="69">
        <f t="shared" si="89"/>
        <v>8.3599151724356e-6</v>
      </c>
      <c r="X154" s="123" t="s">
        <v>118</v>
      </c>
      <c r="Y154" s="124"/>
      <c r="Z154" s="81"/>
      <c r="AA154" s="81"/>
    </row>
    <row r="155" ht="25" customHeight="1" spans="1:27">
      <c r="A155" s="54"/>
      <c r="B155" s="111"/>
      <c r="C155" s="54" t="s">
        <v>119</v>
      </c>
      <c r="D155" s="55">
        <v>0.697558720125983</v>
      </c>
      <c r="E155" s="55">
        <v>-2.36142691791094</v>
      </c>
      <c r="F155" s="55">
        <v>2.21612432682678</v>
      </c>
      <c r="G155" s="59">
        <v>0.0302</v>
      </c>
      <c r="H155" s="61">
        <v>1000</v>
      </c>
      <c r="I155" s="59">
        <v>9.801</v>
      </c>
      <c r="J155" s="62">
        <v>4e-6</v>
      </c>
      <c r="K155" s="64">
        <v>0.00101</v>
      </c>
      <c r="L155" s="65"/>
      <c r="M155" s="66">
        <f t="shared" si="90"/>
        <v>0.00221612432682678</v>
      </c>
      <c r="N155" s="65">
        <f t="shared" si="91"/>
        <v>71.4132368412993</v>
      </c>
      <c r="O155" s="65">
        <f t="shared" si="92"/>
        <v>6.37546226757295</v>
      </c>
      <c r="P155" s="69">
        <f t="shared" si="82"/>
        <v>0.0233289505737498</v>
      </c>
      <c r="Q155" s="69">
        <f t="shared" si="83"/>
        <v>0.00276061500315372</v>
      </c>
      <c r="R155" s="65">
        <f t="shared" si="84"/>
        <v>0.0536948586772465</v>
      </c>
      <c r="S155" s="65">
        <f t="shared" si="85"/>
        <v>2.54852020057256</v>
      </c>
      <c r="T155" s="65">
        <f t="shared" si="86"/>
        <v>0.0210690339692749</v>
      </c>
      <c r="U155" s="65">
        <f t="shared" si="87"/>
        <v>2823.91880694915</v>
      </c>
      <c r="V155" s="69">
        <f t="shared" si="88"/>
        <v>1.90143068366956e-5</v>
      </c>
      <c r="W155" s="69">
        <f t="shared" si="89"/>
        <v>1.10918125453808e-5</v>
      </c>
      <c r="X155" s="125"/>
      <c r="Y155" s="126"/>
      <c r="Z155" s="81"/>
      <c r="AA155" s="81"/>
    </row>
    <row r="156" ht="25" customHeight="1" spans="1:27">
      <c r="A156" s="54"/>
      <c r="B156" s="111"/>
      <c r="C156" s="54">
        <v>149</v>
      </c>
      <c r="D156" s="55">
        <v>0.661877062658691</v>
      </c>
      <c r="E156" s="55">
        <v>1.05910901428212</v>
      </c>
      <c r="F156" s="55">
        <v>2.24001614289212</v>
      </c>
      <c r="G156" s="59">
        <v>0.0302</v>
      </c>
      <c r="H156" s="61">
        <v>1000</v>
      </c>
      <c r="I156" s="59">
        <v>9.801</v>
      </c>
      <c r="J156" s="62">
        <v>4e-6</v>
      </c>
      <c r="K156" s="64">
        <v>0.00101</v>
      </c>
      <c r="L156" s="65"/>
      <c r="M156" s="66">
        <f t="shared" si="90"/>
        <v>0.00224001614289212</v>
      </c>
      <c r="N156" s="65">
        <f t="shared" si="91"/>
        <v>64.987355172409</v>
      </c>
      <c r="O156" s="65">
        <f t="shared" si="92"/>
        <v>6.51366972349799</v>
      </c>
      <c r="P156" s="69">
        <f t="shared" si="82"/>
        <v>0.0221356236187178</v>
      </c>
      <c r="Q156" s="69">
        <f t="shared" si="83"/>
        <v>0.00274585329690124</v>
      </c>
      <c r="R156" s="65">
        <f t="shared" si="84"/>
        <v>0.0545655132031205</v>
      </c>
      <c r="S156" s="65">
        <f t="shared" si="85"/>
        <v>2.89207144168009</v>
      </c>
      <c r="T156" s="65">
        <f t="shared" si="86"/>
        <v>0.0188672770723194</v>
      </c>
      <c r="U156" s="65">
        <f t="shared" si="87"/>
        <v>3239.14335788034</v>
      </c>
      <c r="V156" s="69">
        <f t="shared" si="88"/>
        <v>1.68456616995265e-5</v>
      </c>
      <c r="W156" s="69">
        <f t="shared" si="89"/>
        <v>1.03125654955109e-5</v>
      </c>
      <c r="X156" s="125"/>
      <c r="Y156" s="126"/>
      <c r="Z156" s="81"/>
      <c r="AA156" s="81"/>
    </row>
    <row r="157" ht="25" customHeight="1" spans="1:27">
      <c r="A157" s="54" t="s">
        <v>103</v>
      </c>
      <c r="B157" s="111"/>
      <c r="C157" s="54">
        <v>150</v>
      </c>
      <c r="D157" s="55">
        <v>0.676330373331635</v>
      </c>
      <c r="E157" s="55">
        <v>-1.28694609607789</v>
      </c>
      <c r="F157" s="55">
        <v>2.26002564660153</v>
      </c>
      <c r="G157" s="59">
        <v>0.0302</v>
      </c>
      <c r="H157" s="61">
        <v>1000</v>
      </c>
      <c r="I157" s="59">
        <v>9.801</v>
      </c>
      <c r="J157" s="62">
        <v>4e-6</v>
      </c>
      <c r="K157" s="64">
        <v>0.00101</v>
      </c>
      <c r="L157" s="65"/>
      <c r="M157" s="66">
        <f t="shared" si="90"/>
        <v>0.00226002564660153</v>
      </c>
      <c r="N157" s="65">
        <f t="shared" si="91"/>
        <v>68.4627284988786</v>
      </c>
      <c r="O157" s="65">
        <f t="shared" si="92"/>
        <v>6.63055943897094</v>
      </c>
      <c r="P157" s="69">
        <f t="shared" si="82"/>
        <v>0.022618995929303</v>
      </c>
      <c r="Q157" s="69">
        <f t="shared" si="83"/>
        <v>0.00273367084330493</v>
      </c>
      <c r="R157" s="65">
        <f t="shared" si="84"/>
        <v>0.0552982736451501</v>
      </c>
      <c r="S157" s="65">
        <f t="shared" si="85"/>
        <v>2.81948854374266</v>
      </c>
      <c r="T157" s="65">
        <f t="shared" si="86"/>
        <v>0.01961287403273</v>
      </c>
      <c r="U157" s="65">
        <f t="shared" si="87"/>
        <v>3186.05820957881</v>
      </c>
      <c r="V157" s="69">
        <f t="shared" si="88"/>
        <v>1.73563287321296e-5</v>
      </c>
      <c r="W157" s="69">
        <f t="shared" si="89"/>
        <v>1.10590163310074e-5</v>
      </c>
      <c r="X157" s="125"/>
      <c r="Y157" s="126"/>
      <c r="Z157" s="81"/>
      <c r="AA157" s="81"/>
    </row>
    <row r="158" ht="25" customHeight="1" spans="1:27">
      <c r="A158" s="54"/>
      <c r="B158" s="111"/>
      <c r="C158" s="54">
        <v>151</v>
      </c>
      <c r="D158" s="55">
        <v>0.689011936876248</v>
      </c>
      <c r="E158" s="55">
        <v>4.31851292358718</v>
      </c>
      <c r="F158" s="55">
        <v>2.19871148865214</v>
      </c>
      <c r="G158" s="59">
        <v>0.0302</v>
      </c>
      <c r="H158" s="61">
        <v>1000</v>
      </c>
      <c r="I158" s="59">
        <v>9.801</v>
      </c>
      <c r="J158" s="62">
        <v>4e-6</v>
      </c>
      <c r="K158" s="64">
        <v>0.00101</v>
      </c>
      <c r="L158" s="65"/>
      <c r="M158" s="66">
        <f t="shared" si="90"/>
        <v>0.00219871148865214</v>
      </c>
      <c r="N158" s="65">
        <f t="shared" si="91"/>
        <v>69.1265353349016</v>
      </c>
      <c r="O158" s="65">
        <f t="shared" si="92"/>
        <v>6.27566754880175</v>
      </c>
      <c r="P158" s="69">
        <f t="shared" si="82"/>
        <v>0.023043114445199</v>
      </c>
      <c r="Q158" s="69">
        <f t="shared" si="83"/>
        <v>0.00277152488012479</v>
      </c>
      <c r="R158" s="65">
        <f t="shared" si="84"/>
        <v>0.0530632554444388</v>
      </c>
      <c r="S158" s="65">
        <f t="shared" si="85"/>
        <v>2.57125045701293</v>
      </c>
      <c r="T158" s="65">
        <f t="shared" si="86"/>
        <v>0.0206371399175494</v>
      </c>
      <c r="U158" s="65">
        <f t="shared" si="87"/>
        <v>2826.7189600182</v>
      </c>
      <c r="V158" s="69">
        <f t="shared" si="88"/>
        <v>1.87720308226528e-5</v>
      </c>
      <c r="W158" s="69">
        <f t="shared" si="89"/>
        <v>1.05685849503558e-5</v>
      </c>
      <c r="X158" s="127"/>
      <c r="Y158" s="128"/>
      <c r="Z158" s="81"/>
      <c r="AA158" s="81"/>
    </row>
    <row r="159" ht="25" customHeight="1" spans="1:27">
      <c r="A159" s="54"/>
      <c r="B159" s="111"/>
      <c r="C159" s="54">
        <v>152</v>
      </c>
      <c r="D159" s="55">
        <v>0.675403616338839</v>
      </c>
      <c r="E159" s="55">
        <v>-0.414813564549938</v>
      </c>
      <c r="F159" s="55">
        <v>2.082789694128</v>
      </c>
      <c r="G159" s="59">
        <v>0.0302</v>
      </c>
      <c r="H159" s="61">
        <v>1000</v>
      </c>
      <c r="I159" s="59">
        <v>9.801</v>
      </c>
      <c r="J159" s="62">
        <v>4e-6</v>
      </c>
      <c r="K159" s="64">
        <v>0.00101</v>
      </c>
      <c r="L159" s="65"/>
      <c r="M159" s="66">
        <f t="shared" si="90"/>
        <v>0.002082789694128</v>
      </c>
      <c r="N159" s="65">
        <f t="shared" si="91"/>
        <v>62.9209449284804</v>
      </c>
      <c r="O159" s="65">
        <f t="shared" si="92"/>
        <v>5.63137278550661</v>
      </c>
      <c r="P159" s="69">
        <f t="shared" si="82"/>
        <v>0.0225880017384844</v>
      </c>
      <c r="Q159" s="69">
        <f t="shared" si="83"/>
        <v>0.00284760793491031</v>
      </c>
      <c r="R159" s="65">
        <f t="shared" si="84"/>
        <v>0.0489226137986615</v>
      </c>
      <c r="S159" s="65">
        <f t="shared" si="85"/>
        <v>2.40118410198068</v>
      </c>
      <c r="T159" s="65">
        <f t="shared" si="86"/>
        <v>0.0203743701943996</v>
      </c>
      <c r="U159" s="65">
        <f t="shared" si="87"/>
        <v>2500.58075065468</v>
      </c>
      <c r="V159" s="69">
        <f t="shared" si="88"/>
        <v>1.9564500680833e-5</v>
      </c>
      <c r="W159" s="69">
        <f t="shared" si="89"/>
        <v>8.63220284622442e-6</v>
      </c>
      <c r="X159" s="123" t="s">
        <v>118</v>
      </c>
      <c r="Y159" s="124"/>
      <c r="Z159" s="81"/>
      <c r="AA159" s="81"/>
    </row>
    <row r="160" ht="25" customHeight="1" spans="1:27">
      <c r="A160" s="54" t="s">
        <v>103</v>
      </c>
      <c r="B160" s="111"/>
      <c r="C160" s="54">
        <v>153</v>
      </c>
      <c r="D160" s="55">
        <v>0.533236756991368</v>
      </c>
      <c r="E160" s="55">
        <v>-0.381019667974973</v>
      </c>
      <c r="F160" s="55">
        <v>2.44363550600385</v>
      </c>
      <c r="G160" s="59">
        <v>0.0302</v>
      </c>
      <c r="H160" s="61">
        <v>1000</v>
      </c>
      <c r="I160" s="59">
        <v>9.801</v>
      </c>
      <c r="J160" s="62">
        <v>4e-6</v>
      </c>
      <c r="K160" s="64">
        <v>0.00101</v>
      </c>
      <c r="L160" s="65"/>
      <c r="M160" s="66">
        <f t="shared" si="90"/>
        <v>0.00244363550600385</v>
      </c>
      <c r="N160" s="65">
        <f t="shared" si="91"/>
        <v>46.0150222639026</v>
      </c>
      <c r="O160" s="65">
        <f t="shared" si="92"/>
        <v>7.75168812175796</v>
      </c>
      <c r="P160" s="69">
        <f t="shared" si="82"/>
        <v>0.0178334147205722</v>
      </c>
      <c r="Q160" s="69">
        <f t="shared" si="83"/>
        <v>0.00262896431467123</v>
      </c>
      <c r="R160" s="65">
        <f t="shared" si="84"/>
        <v>0.0621721895226886</v>
      </c>
      <c r="S160" s="65">
        <f t="shared" si="85"/>
        <v>5.30266363226362</v>
      </c>
      <c r="T160" s="65">
        <f t="shared" si="86"/>
        <v>0.011724709284671</v>
      </c>
      <c r="U160" s="65">
        <f t="shared" si="87"/>
        <v>6478.88856409736</v>
      </c>
      <c r="V160" s="69">
        <f t="shared" si="88"/>
        <v>9.59611959792218e-6</v>
      </c>
      <c r="W160" s="69">
        <f t="shared" si="89"/>
        <v>8.68976538372684e-6</v>
      </c>
      <c r="X160" s="125"/>
      <c r="Y160" s="126"/>
      <c r="Z160" s="81"/>
      <c r="AA160" s="81"/>
    </row>
    <row r="161" ht="25" customHeight="1" spans="1:27">
      <c r="A161" s="54"/>
      <c r="B161" s="111"/>
      <c r="C161" s="54">
        <v>154</v>
      </c>
      <c r="D161" s="55">
        <v>0.666578762840238</v>
      </c>
      <c r="E161" s="55">
        <v>-2.51090374559526</v>
      </c>
      <c r="F161" s="55">
        <v>2.46916311314968</v>
      </c>
      <c r="G161" s="59">
        <v>0.0302</v>
      </c>
      <c r="H161" s="61">
        <v>1000</v>
      </c>
      <c r="I161" s="59">
        <v>9.801</v>
      </c>
      <c r="J161" s="62">
        <v>4e-6</v>
      </c>
      <c r="K161" s="64">
        <v>0.00101</v>
      </c>
      <c r="L161" s="65"/>
      <c r="M161" s="66">
        <f t="shared" si="90"/>
        <v>0.00246916311314968</v>
      </c>
      <c r="N161" s="65">
        <f t="shared" si="91"/>
        <v>72.6567184524275</v>
      </c>
      <c r="O161" s="65">
        <f t="shared" si="92"/>
        <v>7.91449116079493</v>
      </c>
      <c r="P161" s="69">
        <f t="shared" si="82"/>
        <v>0.0222928659095576</v>
      </c>
      <c r="Q161" s="69">
        <f t="shared" si="83"/>
        <v>0.00261533914574702</v>
      </c>
      <c r="R161" s="65">
        <f t="shared" si="84"/>
        <v>0.0631489585579944</v>
      </c>
      <c r="S161" s="65">
        <f t="shared" si="85"/>
        <v>3.46463906093044</v>
      </c>
      <c r="T161" s="65">
        <f t="shared" si="86"/>
        <v>0.0182267062881395</v>
      </c>
      <c r="U161" s="65">
        <f t="shared" si="87"/>
        <v>4277.37948481349</v>
      </c>
      <c r="V161" s="69">
        <f t="shared" si="88"/>
        <v>1.4763468797239e-5</v>
      </c>
      <c r="W161" s="69">
        <f t="shared" si="89"/>
        <v>1.40091214636604e-5</v>
      </c>
      <c r="X161" s="125"/>
      <c r="Y161" s="126"/>
      <c r="Z161" s="81"/>
      <c r="AA161" s="81"/>
    </row>
    <row r="162" ht="25" customHeight="1" spans="1:27">
      <c r="A162" s="54"/>
      <c r="B162" s="111"/>
      <c r="C162" s="54">
        <v>155</v>
      </c>
      <c r="D162" s="55">
        <v>0.658704109702161</v>
      </c>
      <c r="E162" s="55">
        <v>-2.33009749429651</v>
      </c>
      <c r="F162" s="55">
        <v>2.39947665436238</v>
      </c>
      <c r="G162" s="59">
        <v>0.0302</v>
      </c>
      <c r="H162" s="61">
        <v>1000</v>
      </c>
      <c r="I162" s="59">
        <v>9.801</v>
      </c>
      <c r="J162" s="62">
        <v>4e-6</v>
      </c>
      <c r="K162" s="64">
        <v>0.00101</v>
      </c>
      <c r="L162" s="65"/>
      <c r="M162" s="66">
        <f t="shared" si="90"/>
        <v>0.00239947665436238</v>
      </c>
      <c r="N162" s="65">
        <f t="shared" si="91"/>
        <v>68.9477864182706</v>
      </c>
      <c r="O162" s="65">
        <f t="shared" si="92"/>
        <v>7.474058542192</v>
      </c>
      <c r="P162" s="69">
        <f t="shared" si="82"/>
        <v>0.0220295083046087</v>
      </c>
      <c r="Q162" s="69">
        <f t="shared" si="83"/>
        <v>0.00265304514455322</v>
      </c>
      <c r="R162" s="65">
        <f t="shared" si="84"/>
        <v>0.0604945590224844</v>
      </c>
      <c r="S162" s="65">
        <f t="shared" si="85"/>
        <v>3.35053141301669</v>
      </c>
      <c r="T162" s="65">
        <f t="shared" si="86"/>
        <v>0.0180552132081094</v>
      </c>
      <c r="U162" s="65">
        <f t="shared" si="87"/>
        <v>4019.76095262067</v>
      </c>
      <c r="V162" s="69">
        <f t="shared" si="88"/>
        <v>1.50492926657853e-5</v>
      </c>
      <c r="W162" s="69">
        <f t="shared" si="89"/>
        <v>1.25541972002306e-5</v>
      </c>
      <c r="X162" s="125"/>
      <c r="Y162" s="126"/>
      <c r="Z162" s="81"/>
      <c r="AA162" s="81"/>
    </row>
    <row r="163" ht="25" customHeight="1" spans="1:27">
      <c r="A163" s="54" t="s">
        <v>103</v>
      </c>
      <c r="B163" s="111"/>
      <c r="C163" s="54">
        <v>156</v>
      </c>
      <c r="D163" s="55">
        <v>0.597740450121605</v>
      </c>
      <c r="E163" s="55">
        <v>1.63219813806271</v>
      </c>
      <c r="F163" s="55">
        <v>2.03351252191321</v>
      </c>
      <c r="G163" s="59">
        <v>0.0302</v>
      </c>
      <c r="H163" s="61">
        <v>1000</v>
      </c>
      <c r="I163" s="59">
        <v>9.801</v>
      </c>
      <c r="J163" s="62">
        <v>4e-6</v>
      </c>
      <c r="K163" s="64">
        <v>0.00101</v>
      </c>
      <c r="L163" s="65"/>
      <c r="M163" s="66">
        <f t="shared" si="90"/>
        <v>0.00203351252191321</v>
      </c>
      <c r="N163" s="65">
        <f t="shared" si="91"/>
        <v>48.1166293082462</v>
      </c>
      <c r="O163" s="65">
        <f t="shared" si="92"/>
        <v>5.36805725901979</v>
      </c>
      <c r="P163" s="69">
        <f t="shared" si="82"/>
        <v>0.0199906574378418</v>
      </c>
      <c r="Q163" s="69">
        <f t="shared" si="83"/>
        <v>0.00288190379530661</v>
      </c>
      <c r="R163" s="65">
        <f t="shared" si="84"/>
        <v>0.0471967179105192</v>
      </c>
      <c r="S163" s="65">
        <f t="shared" si="85"/>
        <v>2.92233360337805</v>
      </c>
      <c r="T163" s="65">
        <f t="shared" si="86"/>
        <v>0.0161503525319499</v>
      </c>
      <c r="U163" s="65">
        <f t="shared" si="87"/>
        <v>2971.30098783851</v>
      </c>
      <c r="V163" s="69">
        <f t="shared" si="88"/>
        <v>1.58841928514461e-5</v>
      </c>
      <c r="W163" s="69">
        <f t="shared" si="89"/>
        <v>6.29251789525801e-6</v>
      </c>
      <c r="X163" s="127"/>
      <c r="Y163" s="128"/>
      <c r="Z163" s="81"/>
      <c r="AA163" s="81"/>
    </row>
    <row r="164" ht="25" customHeight="1" spans="1:27">
      <c r="A164" s="54"/>
      <c r="B164" s="111"/>
      <c r="C164" s="54">
        <v>157</v>
      </c>
      <c r="D164" s="55">
        <v>0.639440225168526</v>
      </c>
      <c r="E164" s="55">
        <v>-0.746041786351949</v>
      </c>
      <c r="F164" s="55">
        <v>2.29119754439041</v>
      </c>
      <c r="G164" s="59">
        <v>0.0302</v>
      </c>
      <c r="H164" s="61">
        <v>1000</v>
      </c>
      <c r="I164" s="59">
        <v>9.801</v>
      </c>
      <c r="J164" s="62">
        <v>4e-6</v>
      </c>
      <c r="K164" s="64">
        <v>0.00101</v>
      </c>
      <c r="L164" s="65"/>
      <c r="M164" s="66">
        <f t="shared" si="90"/>
        <v>0.00229119754439041</v>
      </c>
      <c r="N164" s="65">
        <f t="shared" si="91"/>
        <v>62.0419577538728</v>
      </c>
      <c r="O164" s="65">
        <f t="shared" si="92"/>
        <v>6.81472771164367</v>
      </c>
      <c r="P164" s="69">
        <f t="shared" si="82"/>
        <v>0.0213852525635832</v>
      </c>
      <c r="Q164" s="69">
        <f t="shared" si="83"/>
        <v>0.00271501127127703</v>
      </c>
      <c r="R164" s="65">
        <f t="shared" si="84"/>
        <v>0.056446279874801</v>
      </c>
      <c r="S164" s="65">
        <f t="shared" si="85"/>
        <v>3.24180245648008</v>
      </c>
      <c r="T164" s="65">
        <f t="shared" si="86"/>
        <v>0.0174120047820834</v>
      </c>
      <c r="U164" s="65">
        <f t="shared" si="87"/>
        <v>3713.80491384298</v>
      </c>
      <c r="V164" s="69">
        <f t="shared" si="88"/>
        <v>1.51990428103536e-5</v>
      </c>
      <c r="W164" s="69">
        <f t="shared" si="89"/>
        <v>1.03002110854659e-5</v>
      </c>
      <c r="X164" s="4"/>
      <c r="Y164" s="6"/>
      <c r="Z164" s="81"/>
      <c r="AA164" s="81"/>
    </row>
    <row r="165" ht="25" customHeight="1" spans="1:27">
      <c r="A165" s="54"/>
      <c r="B165" s="111"/>
      <c r="C165" s="54">
        <v>158</v>
      </c>
      <c r="D165" s="55">
        <v>0.629093557504955</v>
      </c>
      <c r="E165" s="55">
        <v>0.0151504457043353</v>
      </c>
      <c r="F165" s="55">
        <v>2.28309903521111</v>
      </c>
      <c r="G165" s="59">
        <v>0.0302</v>
      </c>
      <c r="H165" s="61">
        <v>1000</v>
      </c>
      <c r="I165" s="59">
        <v>9.801</v>
      </c>
      <c r="J165" s="62">
        <v>4e-6</v>
      </c>
      <c r="K165" s="64">
        <v>0.00101</v>
      </c>
      <c r="L165" s="65"/>
      <c r="M165" s="66">
        <f t="shared" si="90"/>
        <v>0.00228309903521111</v>
      </c>
      <c r="N165" s="65">
        <f t="shared" si="91"/>
        <v>59.8381665890039</v>
      </c>
      <c r="O165" s="65">
        <f t="shared" si="92"/>
        <v>6.76663792663672</v>
      </c>
      <c r="P165" s="69">
        <f t="shared" si="82"/>
        <v>0.0210392216251657</v>
      </c>
      <c r="Q165" s="69">
        <f t="shared" si="83"/>
        <v>0.00271982229339109</v>
      </c>
      <c r="R165" s="65">
        <f t="shared" si="84"/>
        <v>0.0561472703898673</v>
      </c>
      <c r="S165" s="65">
        <f t="shared" si="85"/>
        <v>3.32567961371613</v>
      </c>
      <c r="T165" s="65">
        <f t="shared" si="86"/>
        <v>0.0168829463181897</v>
      </c>
      <c r="U165" s="65">
        <f t="shared" si="87"/>
        <v>3796.42795874828</v>
      </c>
      <c r="V165" s="69">
        <f t="shared" si="88"/>
        <v>1.4789499761344e-5</v>
      </c>
      <c r="W165" s="69">
        <f t="shared" si="89"/>
        <v>9.86423341865257e-6</v>
      </c>
      <c r="X165" s="4"/>
      <c r="Y165" s="6"/>
      <c r="Z165" s="81"/>
      <c r="AA165" s="81"/>
    </row>
    <row r="166" ht="25" customHeight="1" spans="1:27">
      <c r="A166" s="54" t="s">
        <v>103</v>
      </c>
      <c r="B166" s="111"/>
      <c r="C166" s="54" t="s">
        <v>120</v>
      </c>
      <c r="D166" s="55">
        <v>0.628154363828625</v>
      </c>
      <c r="E166" s="55">
        <v>-5.21407430510281</v>
      </c>
      <c r="F166" s="55">
        <v>1.81254596135072</v>
      </c>
      <c r="G166" s="59">
        <v>0.0302</v>
      </c>
      <c r="H166" s="61">
        <v>1000</v>
      </c>
      <c r="I166" s="59">
        <v>9.801</v>
      </c>
      <c r="J166" s="62">
        <v>4e-6</v>
      </c>
      <c r="K166" s="64">
        <v>0.00101</v>
      </c>
      <c r="L166" s="65"/>
      <c r="M166" s="66">
        <f t="shared" si="90"/>
        <v>0.00181254596135072</v>
      </c>
      <c r="N166" s="65">
        <f t="shared" si="91"/>
        <v>47.3636150846312</v>
      </c>
      <c r="O166" s="65">
        <f t="shared" si="92"/>
        <v>4.26482773119845</v>
      </c>
      <c r="P166" s="69">
        <f t="shared" si="82"/>
        <v>0.0210078115055269</v>
      </c>
      <c r="Q166" s="69">
        <f t="shared" si="83"/>
        <v>0.00305251910310915</v>
      </c>
      <c r="R166" s="65">
        <f t="shared" si="84"/>
        <v>0.03971687444025</v>
      </c>
      <c r="S166" s="65">
        <f t="shared" si="85"/>
        <v>2.10235801998117</v>
      </c>
      <c r="T166" s="65">
        <f t="shared" si="86"/>
        <v>0.0188915846220168</v>
      </c>
      <c r="U166" s="65">
        <f t="shared" si="87"/>
        <v>1905.31026921508</v>
      </c>
      <c r="V166" s="69">
        <f t="shared" si="88"/>
        <v>2.08453578831609e-5</v>
      </c>
      <c r="W166" s="69">
        <f t="shared" si="89"/>
        <v>4.92105772960229e-6</v>
      </c>
      <c r="X166" s="4"/>
      <c r="Y166" s="6"/>
      <c r="Z166" s="81"/>
      <c r="AA166" s="81"/>
    </row>
    <row r="167" ht="25" customHeight="1" spans="1:27">
      <c r="A167" s="54"/>
      <c r="B167" s="111"/>
      <c r="C167" s="80" t="s">
        <v>121</v>
      </c>
      <c r="D167" s="55">
        <v>0.629568619813418</v>
      </c>
      <c r="E167" s="55">
        <v>3.31581536829238</v>
      </c>
      <c r="F167" s="55">
        <v>2.1778826620679</v>
      </c>
      <c r="G167" s="59">
        <v>0.0302</v>
      </c>
      <c r="H167" s="61">
        <v>1000</v>
      </c>
      <c r="I167" s="59">
        <v>9.801</v>
      </c>
      <c r="J167" s="62">
        <v>4e-6</v>
      </c>
      <c r="K167" s="64">
        <v>0.00101</v>
      </c>
      <c r="L167" s="65"/>
      <c r="M167" s="66">
        <f t="shared" si="90"/>
        <v>0.0021778826620679</v>
      </c>
      <c r="N167" s="65">
        <f t="shared" si="91"/>
        <v>57.1667728221044</v>
      </c>
      <c r="O167" s="65">
        <f t="shared" si="92"/>
        <v>6.15732946917909</v>
      </c>
      <c r="P167" s="69">
        <f t="shared" si="82"/>
        <v>0.0210551094705812</v>
      </c>
      <c r="Q167" s="69">
        <f t="shared" si="83"/>
        <v>0.00278474649312088</v>
      </c>
      <c r="R167" s="65">
        <f t="shared" si="84"/>
        <v>0.052311026023597</v>
      </c>
      <c r="S167" s="65">
        <f t="shared" si="85"/>
        <v>3.02165023233696</v>
      </c>
      <c r="T167" s="65">
        <f t="shared" si="86"/>
        <v>0.0173120718817079</v>
      </c>
      <c r="U167" s="65">
        <f t="shared" si="87"/>
        <v>3290.39982592006</v>
      </c>
      <c r="V167" s="69">
        <f t="shared" si="88"/>
        <v>1.58980758543439e-5</v>
      </c>
      <c r="W167" s="69">
        <f t="shared" si="89"/>
        <v>8.57527768185155e-6</v>
      </c>
      <c r="X167" s="4"/>
      <c r="Y167" s="6"/>
      <c r="Z167" s="81"/>
      <c r="AA167" s="81"/>
    </row>
    <row r="168" ht="25" customHeight="1" spans="1:27">
      <c r="A168" s="54"/>
      <c r="B168" s="111"/>
      <c r="C168" s="54" t="s">
        <v>122</v>
      </c>
      <c r="D168" s="55">
        <v>0.577604190310569</v>
      </c>
      <c r="E168" s="55">
        <v>5.05760783005585</v>
      </c>
      <c r="F168" s="55">
        <v>2.13587757658587</v>
      </c>
      <c r="G168" s="59">
        <v>0.0302</v>
      </c>
      <c r="H168" s="61">
        <v>1000</v>
      </c>
      <c r="I168" s="59">
        <v>9.801</v>
      </c>
      <c r="J168" s="62">
        <v>4e-6</v>
      </c>
      <c r="K168" s="64">
        <v>0.00101</v>
      </c>
      <c r="L168" s="65"/>
      <c r="M168" s="66">
        <f t="shared" si="90"/>
        <v>0.00213587757658587</v>
      </c>
      <c r="N168" s="65">
        <f t="shared" si="91"/>
        <v>47.1910977027488</v>
      </c>
      <c r="O168" s="65">
        <f t="shared" si="92"/>
        <v>5.92210564108781</v>
      </c>
      <c r="P168" s="69">
        <f t="shared" si="82"/>
        <v>0.0193172262322409</v>
      </c>
      <c r="Q168" s="69">
        <f t="shared" si="83"/>
        <v>0.00281199617951803</v>
      </c>
      <c r="R168" s="65">
        <f t="shared" si="84"/>
        <v>0.0508049533044942</v>
      </c>
      <c r="S168" s="65">
        <f t="shared" si="85"/>
        <v>3.45265690985758</v>
      </c>
      <c r="T168" s="65">
        <f t="shared" si="86"/>
        <v>0.0147147413226731</v>
      </c>
      <c r="U168" s="65">
        <f t="shared" si="87"/>
        <v>3687.22623670454</v>
      </c>
      <c r="V168" s="69">
        <f t="shared" si="88"/>
        <v>1.37786373938099e-5</v>
      </c>
      <c r="W168" s="69">
        <f t="shared" si="89"/>
        <v>6.808451578485e-6</v>
      </c>
      <c r="X168" s="4"/>
      <c r="Y168" s="6"/>
      <c r="Z168" s="81"/>
      <c r="AA168" s="81"/>
    </row>
    <row r="169" ht="25" customHeight="1" spans="1:27">
      <c r="A169" s="54"/>
      <c r="B169" s="111"/>
      <c r="C169" s="80" t="s">
        <v>123</v>
      </c>
      <c r="D169" s="55">
        <v>0.600923371870041</v>
      </c>
      <c r="E169" s="55">
        <v>0.786517662712657</v>
      </c>
      <c r="F169" s="55">
        <v>2.3084873053698</v>
      </c>
      <c r="G169" s="59">
        <v>0.0302</v>
      </c>
      <c r="H169" s="61">
        <v>1000</v>
      </c>
      <c r="I169" s="59">
        <v>9.801</v>
      </c>
      <c r="J169" s="62">
        <v>4e-6</v>
      </c>
      <c r="K169" s="64">
        <v>0.00101</v>
      </c>
      <c r="L169" s="65"/>
      <c r="M169" s="66">
        <f t="shared" si="90"/>
        <v>0.0023084873053698</v>
      </c>
      <c r="N169" s="65">
        <f t="shared" si="91"/>
        <v>55.2063118459332</v>
      </c>
      <c r="O169" s="65">
        <f t="shared" si="92"/>
        <v>6.91796593064418</v>
      </c>
      <c r="P169" s="69">
        <f t="shared" si="82"/>
        <v>0.0200971061453226</v>
      </c>
      <c r="Q169" s="69">
        <f t="shared" si="83"/>
        <v>0.00270482492086612</v>
      </c>
      <c r="R169" s="65">
        <f t="shared" si="84"/>
        <v>0.0570864133744139</v>
      </c>
      <c r="S169" s="65">
        <f t="shared" si="85"/>
        <v>3.726303057361</v>
      </c>
      <c r="T169" s="65">
        <f t="shared" si="86"/>
        <v>0.0153198525443722</v>
      </c>
      <c r="U169" s="65">
        <f t="shared" si="87"/>
        <v>4301.06165193927</v>
      </c>
      <c r="V169" s="69">
        <f t="shared" si="88"/>
        <v>1.32726331297006e-5</v>
      </c>
      <c r="W169" s="69">
        <f t="shared" si="89"/>
        <v>9.3042051264409e-6</v>
      </c>
      <c r="X169" s="4"/>
      <c r="Y169" s="6"/>
      <c r="Z169" s="81"/>
      <c r="AA169" s="81"/>
    </row>
    <row r="170" ht="25" customHeight="1" spans="1:27">
      <c r="A170" s="54"/>
      <c r="B170" s="111"/>
      <c r="C170" s="54" t="s">
        <v>124</v>
      </c>
      <c r="D170" s="55">
        <v>0.652443836310622</v>
      </c>
      <c r="E170" s="55">
        <v>2.37537051190267</v>
      </c>
      <c r="F170" s="55">
        <v>2.34917507563188</v>
      </c>
      <c r="G170" s="59">
        <v>0.0302</v>
      </c>
      <c r="H170" s="61">
        <v>1000</v>
      </c>
      <c r="I170" s="59">
        <v>9.801</v>
      </c>
      <c r="J170" s="62">
        <v>4e-6</v>
      </c>
      <c r="K170" s="64">
        <v>0.00101</v>
      </c>
      <c r="L170" s="65"/>
      <c r="M170" s="66">
        <f t="shared" si="90"/>
        <v>0.00234917507563188</v>
      </c>
      <c r="N170" s="65">
        <f t="shared" si="91"/>
        <v>66.2254171305913</v>
      </c>
      <c r="O170" s="65">
        <f t="shared" si="92"/>
        <v>7.16397738755529</v>
      </c>
      <c r="P170" s="69">
        <f t="shared" si="82"/>
        <v>0.0218201415454877</v>
      </c>
      <c r="Q170" s="69">
        <f t="shared" si="83"/>
        <v>0.00268129879044673</v>
      </c>
      <c r="R170" s="65">
        <f t="shared" si="84"/>
        <v>0.0586022915323856</v>
      </c>
      <c r="S170" s="65">
        <f t="shared" si="85"/>
        <v>3.27345131301271</v>
      </c>
      <c r="T170" s="65">
        <f t="shared" si="86"/>
        <v>0.0179022951401257</v>
      </c>
      <c r="U170" s="65">
        <f t="shared" si="87"/>
        <v>3844.95511791195</v>
      </c>
      <c r="V170" s="69">
        <f t="shared" si="88"/>
        <v>1.52413460587312e-5</v>
      </c>
      <c r="W170" s="69">
        <f t="shared" si="89"/>
        <v>1.15582220114142e-5</v>
      </c>
      <c r="X170" s="4"/>
      <c r="Y170" s="6"/>
      <c r="Z170" s="81"/>
      <c r="AA170" s="81"/>
    </row>
    <row r="171" ht="25" customHeight="1" spans="1:27">
      <c r="A171" s="54"/>
      <c r="B171" s="111"/>
      <c r="C171" s="80" t="s">
        <v>125</v>
      </c>
      <c r="D171" s="55">
        <v>0.531624131820325</v>
      </c>
      <c r="E171" s="55">
        <v>-5.67382070368908</v>
      </c>
      <c r="F171" s="55">
        <v>1.59555774357983</v>
      </c>
      <c r="G171" s="59">
        <v>0.0302</v>
      </c>
      <c r="H171" s="61">
        <v>1000</v>
      </c>
      <c r="I171" s="59">
        <v>9.801</v>
      </c>
      <c r="J171" s="62">
        <v>4e-6</v>
      </c>
      <c r="K171" s="64">
        <v>0.00101</v>
      </c>
      <c r="L171" s="65"/>
      <c r="M171" s="66">
        <f t="shared" si="90"/>
        <v>0.00159555774357983</v>
      </c>
      <c r="N171" s="65">
        <f t="shared" si="91"/>
        <v>29.8637919741131</v>
      </c>
      <c r="O171" s="65">
        <f t="shared" si="92"/>
        <v>3.30482516991645</v>
      </c>
      <c r="P171" s="69">
        <f t="shared" si="82"/>
        <v>0.0177794825542559</v>
      </c>
      <c r="Q171" s="69">
        <f t="shared" si="83"/>
        <v>0.00325346876367804</v>
      </c>
      <c r="R171" s="65">
        <f t="shared" si="84"/>
        <v>0.0328027543041327</v>
      </c>
      <c r="S171" s="65">
        <f t="shared" si="85"/>
        <v>2.27445349576404</v>
      </c>
      <c r="T171" s="65">
        <f t="shared" si="86"/>
        <v>0.0144222576391317</v>
      </c>
      <c r="U171" s="65">
        <f t="shared" si="87"/>
        <v>1814.51094378927</v>
      </c>
      <c r="V171" s="69">
        <f t="shared" si="88"/>
        <v>1.80780140326022e-5</v>
      </c>
      <c r="W171" s="69">
        <f t="shared" si="89"/>
        <v>2.40439360773166e-6</v>
      </c>
      <c r="X171" s="4"/>
      <c r="Y171" s="6"/>
      <c r="Z171" s="81"/>
      <c r="AA171" s="81"/>
    </row>
    <row r="172" ht="25" customHeight="1" spans="1:27">
      <c r="A172" s="54"/>
      <c r="B172" s="111"/>
      <c r="C172" s="80" t="s">
        <v>126</v>
      </c>
      <c r="D172" s="55">
        <v>0.617809372304514</v>
      </c>
      <c r="E172" s="55">
        <v>-9.34438357580638</v>
      </c>
      <c r="F172" s="55">
        <v>1.58474797786308</v>
      </c>
      <c r="G172" s="59">
        <v>0.0302</v>
      </c>
      <c r="H172" s="61">
        <v>1000</v>
      </c>
      <c r="I172" s="59">
        <v>9.801</v>
      </c>
      <c r="J172" s="62">
        <v>4e-6</v>
      </c>
      <c r="K172" s="64">
        <v>0.00101</v>
      </c>
      <c r="L172" s="65"/>
      <c r="M172" s="66">
        <f t="shared" si="90"/>
        <v>0.00158474797786308</v>
      </c>
      <c r="N172" s="65">
        <f t="shared" si="91"/>
        <v>40.0582750048141</v>
      </c>
      <c r="O172" s="65">
        <f t="shared" si="92"/>
        <v>3.26019705018494</v>
      </c>
      <c r="P172" s="69">
        <f t="shared" si="82"/>
        <v>0.0206618366234291</v>
      </c>
      <c r="Q172" s="69">
        <f t="shared" si="83"/>
        <v>0.00326454606613291</v>
      </c>
      <c r="R172" s="65">
        <f t="shared" si="84"/>
        <v>0.0324699658189032</v>
      </c>
      <c r="S172" s="65">
        <f t="shared" si="85"/>
        <v>1.66139466027241</v>
      </c>
      <c r="T172" s="65">
        <f t="shared" si="86"/>
        <v>0.0195438005161154</v>
      </c>
      <c r="U172" s="65">
        <f t="shared" si="87"/>
        <v>1316.44591414961</v>
      </c>
      <c r="V172" s="69">
        <f t="shared" si="88"/>
        <v>2.46648688486971e-5</v>
      </c>
      <c r="W172" s="69">
        <f t="shared" si="89"/>
        <v>3.18161933482575e-6</v>
      </c>
      <c r="X172" s="4"/>
      <c r="Y172" s="6"/>
      <c r="Z172" s="81"/>
      <c r="AA172" s="81"/>
    </row>
    <row r="173" ht="25" customHeight="1" spans="1:27">
      <c r="A173" s="54"/>
      <c r="B173" s="111"/>
      <c r="C173" s="54" t="s">
        <v>127</v>
      </c>
      <c r="D173" s="55">
        <v>0.645829755740645</v>
      </c>
      <c r="E173" s="55">
        <v>3.50346158796699</v>
      </c>
      <c r="F173" s="55">
        <v>2.36169908315737</v>
      </c>
      <c r="G173" s="59">
        <v>0.0302</v>
      </c>
      <c r="H173" s="61">
        <v>1000</v>
      </c>
      <c r="I173" s="59">
        <v>9.801</v>
      </c>
      <c r="J173" s="62">
        <v>4e-6</v>
      </c>
      <c r="K173" s="64">
        <v>0.00101</v>
      </c>
      <c r="L173" s="65"/>
      <c r="M173" s="66">
        <f t="shared" si="90"/>
        <v>0.00236169908315737</v>
      </c>
      <c r="N173" s="65">
        <f t="shared" si="91"/>
        <v>65.235457889892</v>
      </c>
      <c r="O173" s="65">
        <f t="shared" si="92"/>
        <v>7.24056671583387</v>
      </c>
      <c r="P173" s="69">
        <f t="shared" si="82"/>
        <v>0.0215989421621871</v>
      </c>
      <c r="Q173" s="69">
        <f t="shared" si="83"/>
        <v>0.00267417992333561</v>
      </c>
      <c r="R173" s="65">
        <f t="shared" si="84"/>
        <v>0.0590715495772468</v>
      </c>
      <c r="S173" s="65">
        <f t="shared" si="85"/>
        <v>3.37655946929608</v>
      </c>
      <c r="T173" s="65">
        <f t="shared" si="86"/>
        <v>0.017494597715337</v>
      </c>
      <c r="U173" s="65">
        <f t="shared" si="87"/>
        <v>3987.20870143145</v>
      </c>
      <c r="V173" s="69">
        <f t="shared" si="88"/>
        <v>1.48152640106447e-5</v>
      </c>
      <c r="W173" s="69">
        <f t="shared" si="89"/>
        <v>1.15071665246487e-5</v>
      </c>
      <c r="X173" s="4"/>
      <c r="Y173" s="6"/>
      <c r="Z173" s="81"/>
      <c r="AA173" s="81"/>
    </row>
    <row r="174" ht="25" customHeight="1" spans="1:27">
      <c r="A174" s="54" t="s">
        <v>103</v>
      </c>
      <c r="B174" s="115"/>
      <c r="C174" s="54" t="s">
        <v>128</v>
      </c>
      <c r="D174" s="55">
        <v>0.613308291772038</v>
      </c>
      <c r="E174" s="55">
        <v>-1.16678551478741</v>
      </c>
      <c r="F174" s="55">
        <v>1.78090250886445</v>
      </c>
      <c r="G174" s="59">
        <v>0.0302</v>
      </c>
      <c r="H174" s="61">
        <v>1000</v>
      </c>
      <c r="I174" s="59">
        <v>9.801</v>
      </c>
      <c r="J174" s="62">
        <v>4e-6</v>
      </c>
      <c r="K174" s="64">
        <v>0.00101</v>
      </c>
      <c r="L174" s="65"/>
      <c r="M174" s="66">
        <f t="shared" si="90"/>
        <v>0.00178090250886445</v>
      </c>
      <c r="N174" s="65">
        <f t="shared" si="91"/>
        <v>44.3629963048309</v>
      </c>
      <c r="O174" s="65">
        <f t="shared" si="92"/>
        <v>4.1172167318314</v>
      </c>
      <c r="P174" s="69">
        <f t="shared" si="82"/>
        <v>0.0205113037976741</v>
      </c>
      <c r="Q174" s="69">
        <f t="shared" si="83"/>
        <v>0.00307951860053925</v>
      </c>
      <c r="R174" s="65">
        <f t="shared" si="84"/>
        <v>0.0386813604941719</v>
      </c>
      <c r="S174" s="65">
        <f t="shared" si="85"/>
        <v>2.12904088436808</v>
      </c>
      <c r="T174" s="65">
        <f t="shared" si="86"/>
        <v>0.0181684441938995</v>
      </c>
      <c r="U174" s="65">
        <f t="shared" si="87"/>
        <v>1895.80712622305</v>
      </c>
      <c r="V174" s="69">
        <f t="shared" si="88"/>
        <v>2.04036370362397e-5</v>
      </c>
      <c r="W174" s="69">
        <f t="shared" si="89"/>
        <v>4.44976138991862e-6</v>
      </c>
      <c r="X174" s="4"/>
      <c r="Y174" s="6"/>
      <c r="Z174" s="81"/>
      <c r="AA174" s="81"/>
    </row>
    <row r="175" ht="25" customHeight="1" spans="1:27">
      <c r="A175" s="54"/>
      <c r="B175" s="129" t="s">
        <v>63</v>
      </c>
      <c r="C175" s="80" t="s">
        <v>129</v>
      </c>
      <c r="D175" s="55">
        <v>0.631226199311253</v>
      </c>
      <c r="E175" s="55">
        <v>-3.26937842686027</v>
      </c>
      <c r="F175" s="55">
        <v>2.38107177674697</v>
      </c>
      <c r="G175" s="59">
        <v>0.0302</v>
      </c>
      <c r="H175" s="61">
        <v>1000</v>
      </c>
      <c r="I175" s="59">
        <v>9.801</v>
      </c>
      <c r="J175" s="62">
        <v>4e-6</v>
      </c>
      <c r="K175" s="64">
        <v>0.00101</v>
      </c>
      <c r="L175" s="65"/>
      <c r="M175" s="66">
        <f t="shared" ref="M175:M186" si="93">F175/1000</f>
        <v>0.00238107177674697</v>
      </c>
      <c r="N175" s="65">
        <f t="shared" ref="N175:N186" si="94">H175*2*M175*D175^2/G175</f>
        <v>62.8297848137785</v>
      </c>
      <c r="O175" s="65">
        <f t="shared" ref="O175:O186" si="95">H175*I175*(M175*2)^2/G175</f>
        <v>7.3598406624916</v>
      </c>
      <c r="P175" s="69">
        <f t="shared" si="82"/>
        <v>0.0211105450763035</v>
      </c>
      <c r="Q175" s="69">
        <f t="shared" si="83"/>
        <v>0.00266327897638181</v>
      </c>
      <c r="R175" s="65">
        <f t="shared" si="84"/>
        <v>0.0597998718012409</v>
      </c>
      <c r="S175" s="65">
        <f t="shared" si="85"/>
        <v>3.59282715676199</v>
      </c>
      <c r="T175" s="65">
        <f t="shared" si="86"/>
        <v>0.0166442384206245</v>
      </c>
      <c r="U175" s="65">
        <f t="shared" si="87"/>
        <v>4277.38967084802</v>
      </c>
      <c r="V175" s="69">
        <f t="shared" si="88"/>
        <v>1.39804592059496e-5</v>
      </c>
      <c r="W175" s="69">
        <f t="shared" si="89"/>
        <v>1.12653867968478e-5</v>
      </c>
      <c r="X175" s="4"/>
      <c r="Y175" s="6"/>
      <c r="Z175" s="81"/>
      <c r="AA175" s="81"/>
    </row>
    <row r="176" ht="25" customHeight="1" spans="1:27">
      <c r="A176" s="54"/>
      <c r="B176" s="129"/>
      <c r="C176" s="80" t="s">
        <v>130</v>
      </c>
      <c r="D176" s="55">
        <v>0.619602770633279</v>
      </c>
      <c r="E176" s="55">
        <v>-8.11700151769203</v>
      </c>
      <c r="F176" s="55">
        <v>1.72335672988669</v>
      </c>
      <c r="G176" s="59">
        <v>0.0302</v>
      </c>
      <c r="H176" s="61">
        <v>1000</v>
      </c>
      <c r="I176" s="59">
        <v>9.801</v>
      </c>
      <c r="J176" s="62">
        <v>4e-6</v>
      </c>
      <c r="K176" s="64">
        <v>0.00101</v>
      </c>
      <c r="L176" s="65"/>
      <c r="M176" s="66">
        <f t="shared" si="93"/>
        <v>0.00172335672988669</v>
      </c>
      <c r="N176" s="65">
        <f t="shared" si="94"/>
        <v>43.8152142185353</v>
      </c>
      <c r="O176" s="65">
        <f t="shared" si="95"/>
        <v>3.85543873631613</v>
      </c>
      <c r="P176" s="69">
        <f t="shared" si="82"/>
        <v>0.0207218145145567</v>
      </c>
      <c r="Q176" s="69">
        <f t="shared" si="83"/>
        <v>0.00313051156290598</v>
      </c>
      <c r="R176" s="65">
        <f t="shared" si="84"/>
        <v>0.0368217392882945</v>
      </c>
      <c r="S176" s="65">
        <f t="shared" si="85"/>
        <v>1.95337240939184</v>
      </c>
      <c r="T176" s="65">
        <f t="shared" si="86"/>
        <v>0.0188503426746764</v>
      </c>
      <c r="U176" s="65">
        <f t="shared" si="87"/>
        <v>1683.1787438502</v>
      </c>
      <c r="V176" s="69">
        <f t="shared" si="88"/>
        <v>2.18763095855561e-5</v>
      </c>
      <c r="W176" s="69">
        <f t="shared" si="89"/>
        <v>4.11538878010849e-6</v>
      </c>
      <c r="X176" s="4"/>
      <c r="Y176" s="6"/>
      <c r="Z176" s="81"/>
      <c r="AA176" s="81"/>
    </row>
    <row r="177" ht="25" customHeight="1" spans="1:27">
      <c r="A177" s="54"/>
      <c r="B177" s="129"/>
      <c r="C177" s="54" t="s">
        <v>131</v>
      </c>
      <c r="D177" s="55">
        <v>0.59775955401699</v>
      </c>
      <c r="E177" s="55">
        <v>0.0405098108476767</v>
      </c>
      <c r="F177" s="55">
        <v>2.0412599198168</v>
      </c>
      <c r="G177" s="59">
        <v>0.0302</v>
      </c>
      <c r="H177" s="61">
        <v>1000</v>
      </c>
      <c r="I177" s="59">
        <v>9.801</v>
      </c>
      <c r="J177" s="62">
        <v>4e-6</v>
      </c>
      <c r="K177" s="64">
        <v>0.00101</v>
      </c>
      <c r="L177" s="65"/>
      <c r="M177" s="66">
        <f t="shared" si="93"/>
        <v>0.0020412599198168</v>
      </c>
      <c r="N177" s="65">
        <f t="shared" si="94"/>
        <v>48.3030343267227</v>
      </c>
      <c r="O177" s="65">
        <f t="shared" si="95"/>
        <v>5.40903826920729</v>
      </c>
      <c r="P177" s="69">
        <f t="shared" si="82"/>
        <v>0.0199912963429523</v>
      </c>
      <c r="Q177" s="69">
        <f t="shared" si="83"/>
        <v>0.00287642960735037</v>
      </c>
      <c r="R177" s="65">
        <f t="shared" si="84"/>
        <v>0.0474666939734518</v>
      </c>
      <c r="S177" s="65">
        <f t="shared" si="85"/>
        <v>2.94445517095351</v>
      </c>
      <c r="T177" s="65">
        <f t="shared" si="86"/>
        <v>0.0161207052638131</v>
      </c>
      <c r="U177" s="65">
        <f t="shared" si="87"/>
        <v>3005.19916308236</v>
      </c>
      <c r="V177" s="69">
        <f t="shared" si="88"/>
        <v>1.57948579769889e-5</v>
      </c>
      <c r="W177" s="69">
        <f t="shared" si="89"/>
        <v>6.36511992849864e-6</v>
      </c>
      <c r="X177" s="4"/>
      <c r="Y177" s="6"/>
      <c r="Z177" s="81"/>
      <c r="AA177" s="81"/>
    </row>
    <row r="178" ht="25" customHeight="1" spans="1:27">
      <c r="A178" s="54"/>
      <c r="B178" s="129"/>
      <c r="C178" s="54" t="s">
        <v>132</v>
      </c>
      <c r="D178" s="55">
        <v>0.699158169969465</v>
      </c>
      <c r="E178" s="55">
        <v>2.50676445777079</v>
      </c>
      <c r="F178" s="55">
        <v>2.36142156567417</v>
      </c>
      <c r="G178" s="59">
        <v>0.0302</v>
      </c>
      <c r="H178" s="61">
        <v>1000</v>
      </c>
      <c r="I178" s="59">
        <v>9.801</v>
      </c>
      <c r="J178" s="62">
        <v>4e-6</v>
      </c>
      <c r="K178" s="64">
        <v>0.00101</v>
      </c>
      <c r="L178" s="65"/>
      <c r="M178" s="66">
        <f t="shared" si="93"/>
        <v>0.00236142156567417</v>
      </c>
      <c r="N178" s="65">
        <f t="shared" si="94"/>
        <v>76.444712506169</v>
      </c>
      <c r="O178" s="65">
        <f t="shared" si="95"/>
        <v>7.23886517323909</v>
      </c>
      <c r="P178" s="69">
        <f t="shared" si="82"/>
        <v>0.0233824421082503</v>
      </c>
      <c r="Q178" s="69">
        <f t="shared" si="83"/>
        <v>0.00267433705535514</v>
      </c>
      <c r="R178" s="65">
        <f t="shared" si="84"/>
        <v>0.0590611378531485</v>
      </c>
      <c r="S178" s="65">
        <f t="shared" si="85"/>
        <v>2.88043154739887</v>
      </c>
      <c r="T178" s="65">
        <f t="shared" si="86"/>
        <v>0.0205042671145866</v>
      </c>
      <c r="U178" s="65">
        <f t="shared" si="87"/>
        <v>3400.95658723796</v>
      </c>
      <c r="V178" s="69">
        <f t="shared" si="88"/>
        <v>1.73660369775888e-5</v>
      </c>
      <c r="W178" s="69">
        <f t="shared" si="89"/>
        <v>1.34812469086844e-5</v>
      </c>
      <c r="X178" s="4"/>
      <c r="Y178" s="6"/>
      <c r="Z178" s="81"/>
      <c r="AA178" s="81"/>
    </row>
    <row r="179" ht="25" customHeight="1" spans="1:27">
      <c r="A179" s="54"/>
      <c r="B179" s="129"/>
      <c r="C179" s="80" t="s">
        <v>133</v>
      </c>
      <c r="D179" s="55">
        <v>0.656963616395384</v>
      </c>
      <c r="E179" s="55">
        <v>-2.12148916637957</v>
      </c>
      <c r="F179" s="55">
        <v>1.72216502889821</v>
      </c>
      <c r="G179" s="59">
        <v>0.0302</v>
      </c>
      <c r="H179" s="61">
        <v>1000</v>
      </c>
      <c r="I179" s="59">
        <v>9.801</v>
      </c>
      <c r="J179" s="62">
        <v>4e-6</v>
      </c>
      <c r="K179" s="64">
        <v>0.00101</v>
      </c>
      <c r="L179" s="65"/>
      <c r="M179" s="66">
        <f t="shared" si="93"/>
        <v>0.00172216502889821</v>
      </c>
      <c r="N179" s="65">
        <f t="shared" si="94"/>
        <v>49.224402746734</v>
      </c>
      <c r="O179" s="65">
        <f t="shared" si="95"/>
        <v>3.85010850895821</v>
      </c>
      <c r="P179" s="69">
        <f t="shared" si="82"/>
        <v>0.0219712997536205</v>
      </c>
      <c r="Q179" s="69">
        <f t="shared" si="83"/>
        <v>0.00313159449877597</v>
      </c>
      <c r="R179" s="65">
        <f t="shared" si="84"/>
        <v>0.0367835525487489</v>
      </c>
      <c r="S179" s="65">
        <f t="shared" si="85"/>
        <v>1.73511505375541</v>
      </c>
      <c r="T179" s="65">
        <f t="shared" si="86"/>
        <v>0.0211994890305033</v>
      </c>
      <c r="U179" s="65">
        <f t="shared" si="87"/>
        <v>1494.0772333462</v>
      </c>
      <c r="V179" s="69">
        <f t="shared" si="88"/>
        <v>2.46195790470395e-5</v>
      </c>
      <c r="W179" s="69">
        <f t="shared" si="89"/>
        <v>4.61706031872558e-6</v>
      </c>
      <c r="X179" s="4"/>
      <c r="Y179" s="6"/>
      <c r="Z179" s="81"/>
      <c r="AA179" s="81"/>
    </row>
    <row r="180" ht="25" customHeight="1" spans="1:27">
      <c r="A180" s="54"/>
      <c r="B180" s="129"/>
      <c r="C180" s="80" t="s">
        <v>134</v>
      </c>
      <c r="D180" s="55">
        <v>0.643773704983723</v>
      </c>
      <c r="E180" s="55">
        <v>-7.4921047914262</v>
      </c>
      <c r="F180" s="55">
        <v>1.87698839974437</v>
      </c>
      <c r="G180" s="59">
        <v>0.0302</v>
      </c>
      <c r="H180" s="61">
        <v>1000</v>
      </c>
      <c r="I180" s="59">
        <v>9.801</v>
      </c>
      <c r="J180" s="62">
        <v>4e-6</v>
      </c>
      <c r="K180" s="64">
        <v>0.00101</v>
      </c>
      <c r="L180" s="65"/>
      <c r="M180" s="66">
        <f t="shared" si="93"/>
        <v>0.00187698839974437</v>
      </c>
      <c r="N180" s="65">
        <f t="shared" si="94"/>
        <v>51.5170645732932</v>
      </c>
      <c r="O180" s="65">
        <f t="shared" si="95"/>
        <v>4.57347821492015</v>
      </c>
      <c r="P180" s="69">
        <f t="shared" si="82"/>
        <v>0.0215301801997868</v>
      </c>
      <c r="Q180" s="69">
        <f t="shared" si="83"/>
        <v>0.00299966054076236</v>
      </c>
      <c r="R180" s="65">
        <f t="shared" si="84"/>
        <v>0.0418537046115757</v>
      </c>
      <c r="S180" s="65">
        <f t="shared" si="85"/>
        <v>2.14643673201364</v>
      </c>
      <c r="T180" s="65">
        <f t="shared" si="86"/>
        <v>0.0194991559673466</v>
      </c>
      <c r="U180" s="65">
        <f t="shared" si="87"/>
        <v>2014.41842338741</v>
      </c>
      <c r="V180" s="69">
        <f t="shared" si="88"/>
        <v>2.07770660383434e-5</v>
      </c>
      <c r="W180" s="69">
        <f t="shared" si="89"/>
        <v>5.73997296879828e-6</v>
      </c>
      <c r="X180" s="4"/>
      <c r="Y180" s="6"/>
      <c r="Z180" s="81"/>
      <c r="AA180" s="81"/>
    </row>
    <row r="181" ht="25" customHeight="1" spans="1:27">
      <c r="A181" s="54"/>
      <c r="B181" s="129"/>
      <c r="C181" s="54" t="s">
        <v>135</v>
      </c>
      <c r="D181" s="55">
        <v>0.664030541739012</v>
      </c>
      <c r="E181" s="55">
        <v>2.04541139892606</v>
      </c>
      <c r="F181" s="55">
        <v>2.29001090305687</v>
      </c>
      <c r="G181" s="59">
        <v>0.0302</v>
      </c>
      <c r="H181" s="61">
        <v>1000</v>
      </c>
      <c r="I181" s="59">
        <v>9.801</v>
      </c>
      <c r="J181" s="62">
        <v>4e-6</v>
      </c>
      <c r="K181" s="64">
        <v>0.00101</v>
      </c>
      <c r="L181" s="65"/>
      <c r="M181" s="66">
        <f t="shared" si="93"/>
        <v>0.00229001090305687</v>
      </c>
      <c r="N181" s="65">
        <f t="shared" si="94"/>
        <v>66.8708298533672</v>
      </c>
      <c r="O181" s="65">
        <f t="shared" si="95"/>
        <v>6.80767066541797</v>
      </c>
      <c r="P181" s="69">
        <f t="shared" si="82"/>
        <v>0.0222076439455762</v>
      </c>
      <c r="Q181" s="69">
        <f t="shared" si="83"/>
        <v>0.00271571461450941</v>
      </c>
      <c r="R181" s="65">
        <f t="shared" si="84"/>
        <v>0.0564024341473184</v>
      </c>
      <c r="S181" s="65">
        <f t="shared" si="85"/>
        <v>3.00303485331862</v>
      </c>
      <c r="T181" s="65">
        <f t="shared" si="86"/>
        <v>0.0187818113682526</v>
      </c>
      <c r="U181" s="65">
        <f t="shared" si="87"/>
        <v>3438.49127817972</v>
      </c>
      <c r="V181" s="69">
        <f t="shared" si="88"/>
        <v>1.64032506073934e-5</v>
      </c>
      <c r="W181" s="69">
        <f t="shared" si="89"/>
        <v>1.10904041778324e-5</v>
      </c>
      <c r="X181" s="4"/>
      <c r="Y181" s="6"/>
      <c r="Z181" s="81"/>
      <c r="AA181" s="81"/>
    </row>
    <row r="182" ht="25" customHeight="1" spans="1:27">
      <c r="A182" s="54"/>
      <c r="B182" s="129"/>
      <c r="C182" s="80" t="s">
        <v>136</v>
      </c>
      <c r="D182" s="55">
        <v>0.646003552855768</v>
      </c>
      <c r="E182" s="55">
        <v>-2.48510924451478</v>
      </c>
      <c r="F182" s="55">
        <v>1.81452964683382</v>
      </c>
      <c r="G182" s="59">
        <v>0.0302</v>
      </c>
      <c r="H182" s="61">
        <v>1000</v>
      </c>
      <c r="I182" s="59">
        <v>9.801</v>
      </c>
      <c r="J182" s="62">
        <v>4e-6</v>
      </c>
      <c r="K182" s="64">
        <v>0.00101</v>
      </c>
      <c r="L182" s="65"/>
      <c r="M182" s="66">
        <f t="shared" si="93"/>
        <v>0.00181452964683382</v>
      </c>
      <c r="N182" s="65">
        <f t="shared" si="94"/>
        <v>50.1483830024946</v>
      </c>
      <c r="O182" s="65">
        <f t="shared" si="95"/>
        <v>4.2741678599179</v>
      </c>
      <c r="P182" s="69">
        <f t="shared" si="82"/>
        <v>0.0216047545822624</v>
      </c>
      <c r="Q182" s="69">
        <f t="shared" si="83"/>
        <v>0.00305085010484319</v>
      </c>
      <c r="R182" s="65">
        <f t="shared" si="84"/>
        <v>0.0397820926536237</v>
      </c>
      <c r="S182" s="65">
        <f t="shared" si="85"/>
        <v>1.9921393138202</v>
      </c>
      <c r="T182" s="65">
        <f t="shared" si="86"/>
        <v>0.0199695334445943</v>
      </c>
      <c r="U182" s="65">
        <f t="shared" si="87"/>
        <v>1807.39792277497</v>
      </c>
      <c r="V182" s="69">
        <f t="shared" si="88"/>
        <v>2.20106995544981e-5</v>
      </c>
      <c r="W182" s="69">
        <f t="shared" si="89"/>
        <v>5.22180478301856e-6</v>
      </c>
      <c r="X182" s="4"/>
      <c r="Y182" s="6"/>
      <c r="Z182" s="81"/>
      <c r="AA182" s="81"/>
    </row>
    <row r="183" ht="25" customHeight="1" spans="1:27">
      <c r="A183" s="54"/>
      <c r="B183" s="129"/>
      <c r="C183" s="80" t="s">
        <v>137</v>
      </c>
      <c r="D183" s="55">
        <v>0.659251703852521</v>
      </c>
      <c r="E183" s="55">
        <v>3.9069856977335</v>
      </c>
      <c r="F183" s="55">
        <v>2.35297457054888</v>
      </c>
      <c r="G183" s="59">
        <v>0.0302</v>
      </c>
      <c r="H183" s="61">
        <v>1000</v>
      </c>
      <c r="I183" s="59">
        <v>9.801</v>
      </c>
      <c r="J183" s="62">
        <v>4e-6</v>
      </c>
      <c r="K183" s="64">
        <v>0.00101</v>
      </c>
      <c r="L183" s="65"/>
      <c r="M183" s="66">
        <f t="shared" si="93"/>
        <v>0.00235297457054888</v>
      </c>
      <c r="N183" s="65">
        <f t="shared" si="94"/>
        <v>67.7240322972302</v>
      </c>
      <c r="O183" s="65">
        <f t="shared" si="95"/>
        <v>7.18716979071478</v>
      </c>
      <c r="P183" s="69">
        <f t="shared" si="82"/>
        <v>0.0220478218838095</v>
      </c>
      <c r="Q183" s="69">
        <f t="shared" si="83"/>
        <v>0.00267913308555399</v>
      </c>
      <c r="R183" s="65">
        <f t="shared" si="84"/>
        <v>0.0587445217460637</v>
      </c>
      <c r="S183" s="65">
        <f t="shared" si="85"/>
        <v>3.21657237587805</v>
      </c>
      <c r="T183" s="65">
        <f t="shared" si="86"/>
        <v>0.0182630809698563</v>
      </c>
      <c r="U183" s="65">
        <f t="shared" si="87"/>
        <v>3784.25650238552</v>
      </c>
      <c r="V183" s="69">
        <f t="shared" si="88"/>
        <v>1.55233985088041e-5</v>
      </c>
      <c r="W183" s="69">
        <f t="shared" si="89"/>
        <v>1.18580379615047e-5</v>
      </c>
      <c r="X183" s="4"/>
      <c r="Y183" s="6"/>
      <c r="Z183" s="81"/>
      <c r="AA183" s="81"/>
    </row>
    <row r="184" ht="25" customHeight="1" spans="1:27">
      <c r="A184" s="54" t="s">
        <v>103</v>
      </c>
      <c r="B184" s="129"/>
      <c r="C184" s="80" t="s">
        <v>138</v>
      </c>
      <c r="D184" s="55">
        <v>0.629003679470297</v>
      </c>
      <c r="E184" s="55">
        <v>4.12656100474077</v>
      </c>
      <c r="F184" s="55">
        <v>1.7101520631579</v>
      </c>
      <c r="G184" s="59">
        <v>0.0302</v>
      </c>
      <c r="H184" s="61">
        <v>1000</v>
      </c>
      <c r="I184" s="59">
        <v>9.801</v>
      </c>
      <c r="J184" s="62">
        <v>4e-6</v>
      </c>
      <c r="K184" s="64">
        <v>0.00101</v>
      </c>
      <c r="L184" s="65"/>
      <c r="M184" s="66">
        <f t="shared" si="93"/>
        <v>0.0017101520631579</v>
      </c>
      <c r="N184" s="65">
        <f t="shared" si="94"/>
        <v>44.8088866456813</v>
      </c>
      <c r="O184" s="65">
        <f t="shared" si="95"/>
        <v>3.79658296628963</v>
      </c>
      <c r="P184" s="69">
        <f t="shared" si="82"/>
        <v>0.0210362157703642</v>
      </c>
      <c r="Q184" s="69">
        <f t="shared" si="83"/>
        <v>0.00314257419592772</v>
      </c>
      <c r="R184" s="65">
        <f t="shared" si="84"/>
        <v>0.0363993488853256</v>
      </c>
      <c r="S184" s="65">
        <f t="shared" si="85"/>
        <v>1.86648484463821</v>
      </c>
      <c r="T184" s="65">
        <f t="shared" si="86"/>
        <v>0.0195015507304486</v>
      </c>
      <c r="U184" s="65">
        <f t="shared" si="87"/>
        <v>1595.9864539555</v>
      </c>
      <c r="V184" s="69">
        <f t="shared" si="88"/>
        <v>2.28068031499349e-5</v>
      </c>
      <c r="W184" s="69">
        <f t="shared" si="89"/>
        <v>4.14447163379415e-6</v>
      </c>
      <c r="X184" s="4"/>
      <c r="Y184" s="6"/>
      <c r="Z184" s="81"/>
      <c r="AA184" s="81"/>
    </row>
    <row r="185" ht="25" customHeight="1" spans="1:27">
      <c r="A185" s="54"/>
      <c r="B185" s="129"/>
      <c r="C185" s="54" t="s">
        <v>139</v>
      </c>
      <c r="D185" s="55">
        <v>0.677598474374786</v>
      </c>
      <c r="E185" s="55">
        <v>3.27748028900354</v>
      </c>
      <c r="F185" s="55">
        <v>2.08286539808746</v>
      </c>
      <c r="G185" s="59">
        <v>0.0302</v>
      </c>
      <c r="H185" s="61">
        <v>1000</v>
      </c>
      <c r="I185" s="59">
        <v>9.801</v>
      </c>
      <c r="J185" s="62">
        <v>4e-6</v>
      </c>
      <c r="K185" s="64">
        <v>0.00101</v>
      </c>
      <c r="L185" s="65"/>
      <c r="M185" s="66">
        <f t="shared" si="93"/>
        <v>0.00208286539808746</v>
      </c>
      <c r="N185" s="65">
        <f t="shared" si="94"/>
        <v>63.3328594930313</v>
      </c>
      <c r="O185" s="65">
        <f t="shared" si="95"/>
        <v>5.63178216429892</v>
      </c>
      <c r="P185" s="69">
        <f t="shared" si="82"/>
        <v>0.0226614059310773</v>
      </c>
      <c r="Q185" s="69">
        <f t="shared" si="83"/>
        <v>0.00284755618476969</v>
      </c>
      <c r="R185" s="65">
        <f t="shared" si="84"/>
        <v>0.0489252811365374</v>
      </c>
      <c r="S185" s="65">
        <f t="shared" si="85"/>
        <v>2.38582702662641</v>
      </c>
      <c r="T185" s="65">
        <f t="shared" si="86"/>
        <v>0.0205066337963814</v>
      </c>
      <c r="U185" s="65">
        <f t="shared" si="87"/>
        <v>2484.67827979102</v>
      </c>
      <c r="V185" s="69">
        <f t="shared" si="88"/>
        <v>1.96907911718262e-5</v>
      </c>
      <c r="W185" s="69">
        <f t="shared" si="89"/>
        <v>8.68934555420283e-6</v>
      </c>
      <c r="X185" s="4"/>
      <c r="Y185" s="6"/>
      <c r="Z185" s="81"/>
      <c r="AA185" s="81"/>
    </row>
    <row r="186" ht="25" customHeight="1" spans="1:27">
      <c r="A186" s="54"/>
      <c r="B186" s="129"/>
      <c r="C186" s="85">
        <v>167</v>
      </c>
      <c r="D186" s="55">
        <v>0</v>
      </c>
      <c r="E186" s="55">
        <v>0</v>
      </c>
      <c r="F186" s="55">
        <v>0</v>
      </c>
      <c r="G186" s="59">
        <v>0.0302</v>
      </c>
      <c r="H186" s="61">
        <v>1000</v>
      </c>
      <c r="I186" s="59">
        <v>9.801</v>
      </c>
      <c r="J186" s="62">
        <v>4e-6</v>
      </c>
      <c r="K186" s="64">
        <v>0.00101</v>
      </c>
      <c r="L186" s="65"/>
      <c r="M186" s="66">
        <f t="shared" si="93"/>
        <v>0</v>
      </c>
      <c r="N186" s="65">
        <f t="shared" si="94"/>
        <v>0</v>
      </c>
      <c r="O186" s="65">
        <f t="shared" si="95"/>
        <v>0</v>
      </c>
      <c r="P186" s="69">
        <f t="shared" ref="P186:P201" si="96">K186*D186/G186</f>
        <v>0</v>
      </c>
      <c r="Q186" s="69" t="e">
        <f t="shared" ref="Q186:Q201" si="97">K186/SQRT(H186*G186*M186*2)</f>
        <v>#DIV/0!</v>
      </c>
      <c r="R186" s="65">
        <f t="shared" ref="R186:R201" si="98">SQRT(H186*8*(M186^3)/G186)</f>
        <v>0</v>
      </c>
      <c r="S186" s="65" t="e">
        <f t="shared" ref="S186:S201" si="99">K186*(2*M186)^2/(H186*(D186*J186)^2)</f>
        <v>#DIV/0!</v>
      </c>
      <c r="T186" s="65" t="e">
        <f t="shared" ref="T186:T201" si="100">R186/S186</f>
        <v>#DIV/0!</v>
      </c>
      <c r="U186" s="65" t="e">
        <f t="shared" ref="U186:U201" si="101">K186*(2*M186)^3/(H186*(D186)^2*(J186)^3)</f>
        <v>#DIV/0!</v>
      </c>
      <c r="V186" s="69" t="e">
        <f t="shared" ref="V186:V201" si="102">R186/U186</f>
        <v>#DIV/0!</v>
      </c>
      <c r="W186" s="69">
        <f t="shared" ref="W186:W201" si="103">0.5*H186*(4/3)*PI()*M186^3*D186^2</f>
        <v>0</v>
      </c>
      <c r="X186" s="4" t="s">
        <v>104</v>
      </c>
      <c r="Y186" s="6"/>
      <c r="Z186" s="81"/>
      <c r="AA186" s="81"/>
    </row>
    <row r="187" ht="25" customHeight="1" spans="1:27">
      <c r="A187" s="54" t="s">
        <v>103</v>
      </c>
      <c r="B187" s="129"/>
      <c r="C187" s="54" t="s">
        <v>140</v>
      </c>
      <c r="D187" s="55">
        <v>0.193003782231753</v>
      </c>
      <c r="E187" s="55">
        <v>-1.94057525873416</v>
      </c>
      <c r="F187" s="55">
        <v>1.89439707139519</v>
      </c>
      <c r="G187" s="59">
        <v>0.0302</v>
      </c>
      <c r="H187" s="61">
        <v>1000</v>
      </c>
      <c r="I187" s="59">
        <v>9.801</v>
      </c>
      <c r="J187" s="62">
        <v>4e-6</v>
      </c>
      <c r="K187" s="64">
        <v>0.00101</v>
      </c>
      <c r="L187" s="65"/>
      <c r="M187" s="66">
        <f t="shared" ref="M187:M201" si="104">F187/1000</f>
        <v>0.00189439707139519</v>
      </c>
      <c r="N187" s="65">
        <f t="shared" ref="N187:N201" si="105">H187*2*M187*D187^2/G187</f>
        <v>4.67332200319995</v>
      </c>
      <c r="O187" s="65">
        <f t="shared" ref="O187:O201" si="106">H187*I187*(M187*2)^2/G187</f>
        <v>4.65870772563559</v>
      </c>
      <c r="P187" s="69">
        <f t="shared" si="96"/>
        <v>0.00645476225344604</v>
      </c>
      <c r="Q187" s="69">
        <f t="shared" si="97"/>
        <v>0.00298584595285171</v>
      </c>
      <c r="R187" s="65">
        <f t="shared" si="98"/>
        <v>0.0424373290828943</v>
      </c>
      <c r="S187" s="65">
        <f t="shared" si="99"/>
        <v>24.3260598060825</v>
      </c>
      <c r="T187" s="65">
        <f t="shared" si="100"/>
        <v>0.00174452128380788</v>
      </c>
      <c r="U187" s="65">
        <f t="shared" si="101"/>
        <v>23041.6082276134</v>
      </c>
      <c r="V187" s="69">
        <f t="shared" si="102"/>
        <v>1.84176940531593e-6</v>
      </c>
      <c r="W187" s="69">
        <f t="shared" si="103"/>
        <v>5.30399729900001e-7</v>
      </c>
      <c r="X187" s="4" t="s">
        <v>141</v>
      </c>
      <c r="Y187" s="6"/>
      <c r="Z187" s="81"/>
      <c r="AA187" s="81"/>
    </row>
    <row r="188" ht="25" customHeight="1" spans="1:27">
      <c r="A188" s="54"/>
      <c r="B188" s="129"/>
      <c r="C188" s="80" t="s">
        <v>142</v>
      </c>
      <c r="D188" s="55">
        <v>0.245802383243155</v>
      </c>
      <c r="E188" s="55">
        <v>-0.18477706744952</v>
      </c>
      <c r="F188" s="55">
        <v>1.94201384107647</v>
      </c>
      <c r="G188" s="59">
        <v>0.0302</v>
      </c>
      <c r="H188" s="61">
        <v>1000</v>
      </c>
      <c r="I188" s="59">
        <v>9.801</v>
      </c>
      <c r="J188" s="62">
        <v>4e-6</v>
      </c>
      <c r="K188" s="64">
        <v>0.00101</v>
      </c>
      <c r="L188" s="65"/>
      <c r="M188" s="66">
        <f t="shared" si="104"/>
        <v>0.00194201384107647</v>
      </c>
      <c r="N188" s="65">
        <f t="shared" si="105"/>
        <v>7.77047472875209</v>
      </c>
      <c r="O188" s="65">
        <f t="shared" si="106"/>
        <v>4.89584972917858</v>
      </c>
      <c r="P188" s="69">
        <f t="shared" si="96"/>
        <v>0.00822054328064856</v>
      </c>
      <c r="Q188" s="69">
        <f t="shared" si="97"/>
        <v>0.00294901338703041</v>
      </c>
      <c r="R188" s="65">
        <f t="shared" si="98"/>
        <v>0.0440473721155501</v>
      </c>
      <c r="S188" s="65">
        <f t="shared" si="99"/>
        <v>15.761365687043</v>
      </c>
      <c r="T188" s="65">
        <f t="shared" si="100"/>
        <v>0.00279464184704251</v>
      </c>
      <c r="U188" s="65">
        <f t="shared" si="101"/>
        <v>15304.3951592526</v>
      </c>
      <c r="V188" s="69">
        <f t="shared" si="102"/>
        <v>2.87808643577269e-6</v>
      </c>
      <c r="W188" s="69">
        <f t="shared" si="103"/>
        <v>9.26803691740645e-7</v>
      </c>
      <c r="X188" s="4"/>
      <c r="Y188" s="6"/>
      <c r="Z188" s="81"/>
      <c r="AA188" s="81"/>
    </row>
    <row r="189" ht="25" customHeight="1" spans="1:27">
      <c r="A189" s="54"/>
      <c r="B189" s="129"/>
      <c r="C189" s="85" t="s">
        <v>143</v>
      </c>
      <c r="D189" s="55">
        <v>0.273122522425324</v>
      </c>
      <c r="E189" s="55">
        <v>10.1863754622152</v>
      </c>
      <c r="F189" s="55">
        <v>2.0854487318719</v>
      </c>
      <c r="G189" s="59">
        <v>0.0302</v>
      </c>
      <c r="H189" s="61">
        <v>1000</v>
      </c>
      <c r="I189" s="59">
        <v>9.801</v>
      </c>
      <c r="J189" s="62">
        <v>4e-6</v>
      </c>
      <c r="K189" s="64">
        <v>0.00101</v>
      </c>
      <c r="L189" s="65"/>
      <c r="M189" s="66">
        <f t="shared" si="104"/>
        <v>0.0020854487318719</v>
      </c>
      <c r="N189" s="65">
        <f t="shared" si="105"/>
        <v>10.3023808355658</v>
      </c>
      <c r="O189" s="65">
        <f t="shared" si="106"/>
        <v>5.64576078760546</v>
      </c>
      <c r="P189" s="69">
        <f t="shared" si="96"/>
        <v>0.00913423005462176</v>
      </c>
      <c r="Q189" s="69">
        <f t="shared" si="97"/>
        <v>0.0028457919439374</v>
      </c>
      <c r="R189" s="65">
        <f t="shared" si="98"/>
        <v>0.0490163308367514</v>
      </c>
      <c r="S189" s="65">
        <f t="shared" si="99"/>
        <v>14.7212737419373</v>
      </c>
      <c r="T189" s="65">
        <f t="shared" si="100"/>
        <v>0.00332962566256178</v>
      </c>
      <c r="U189" s="65">
        <f t="shared" si="101"/>
        <v>15350.2308283311</v>
      </c>
      <c r="V189" s="69">
        <f t="shared" si="102"/>
        <v>3.19319829030092e-6</v>
      </c>
      <c r="W189" s="69">
        <f t="shared" si="103"/>
        <v>1.41700765453505e-6</v>
      </c>
      <c r="X189" s="4"/>
      <c r="Y189" s="6"/>
      <c r="Z189" s="81"/>
      <c r="AA189" s="81"/>
    </row>
    <row r="190" ht="25" customHeight="1" spans="1:27">
      <c r="A190" s="54"/>
      <c r="B190" s="129"/>
      <c r="C190" s="54" t="s">
        <v>144</v>
      </c>
      <c r="D190" s="55">
        <v>0.199872149600061</v>
      </c>
      <c r="E190" s="55">
        <v>-3.84379333264818</v>
      </c>
      <c r="F190" s="55">
        <v>1.81701149542571</v>
      </c>
      <c r="G190" s="59">
        <v>0.0302</v>
      </c>
      <c r="H190" s="61">
        <v>1000</v>
      </c>
      <c r="I190" s="59">
        <v>9.801</v>
      </c>
      <c r="J190" s="62">
        <v>4e-6</v>
      </c>
      <c r="K190" s="64">
        <v>0.00101</v>
      </c>
      <c r="L190" s="65"/>
      <c r="M190" s="66">
        <f t="shared" si="104"/>
        <v>0.00181701149542571</v>
      </c>
      <c r="N190" s="65">
        <f t="shared" si="105"/>
        <v>4.80712365952613</v>
      </c>
      <c r="O190" s="65">
        <f t="shared" si="106"/>
        <v>4.28586796304164</v>
      </c>
      <c r="P190" s="69">
        <f t="shared" si="96"/>
        <v>0.00668446593033317</v>
      </c>
      <c r="Q190" s="69">
        <f t="shared" si="97"/>
        <v>0.00304876582101282</v>
      </c>
      <c r="R190" s="65">
        <f t="shared" si="98"/>
        <v>0.039863739336022</v>
      </c>
      <c r="S190" s="65">
        <f t="shared" si="99"/>
        <v>20.8675837760099</v>
      </c>
      <c r="T190" s="65">
        <f t="shared" si="100"/>
        <v>0.00191031888329356</v>
      </c>
      <c r="U190" s="65">
        <f t="shared" si="101"/>
        <v>18958.3198013845</v>
      </c>
      <c r="V190" s="69">
        <f t="shared" si="102"/>
        <v>2.10270423506153e-6</v>
      </c>
      <c r="W190" s="69">
        <f t="shared" si="103"/>
        <v>5.01921968818895e-7</v>
      </c>
      <c r="X190" s="4" t="s">
        <v>141</v>
      </c>
      <c r="Y190" s="6"/>
      <c r="Z190" s="81"/>
      <c r="AA190" s="81"/>
    </row>
    <row r="191" ht="25" customHeight="1" spans="1:27">
      <c r="A191" s="54"/>
      <c r="B191" s="129"/>
      <c r="C191" s="85" t="s">
        <v>145</v>
      </c>
      <c r="D191" s="55">
        <v>0.397140053321154</v>
      </c>
      <c r="E191" s="55">
        <v>1.16563863689959</v>
      </c>
      <c r="F191" s="55">
        <v>1.90548514357878</v>
      </c>
      <c r="G191" s="59">
        <v>0.0302</v>
      </c>
      <c r="H191" s="61">
        <v>1000</v>
      </c>
      <c r="I191" s="59">
        <v>9.801</v>
      </c>
      <c r="J191" s="62">
        <v>4e-6</v>
      </c>
      <c r="K191" s="64">
        <v>0.00101</v>
      </c>
      <c r="L191" s="65"/>
      <c r="M191" s="66">
        <f t="shared" si="104"/>
        <v>0.00190548514357878</v>
      </c>
      <c r="N191" s="65">
        <f t="shared" si="105"/>
        <v>19.9028834285661</v>
      </c>
      <c r="O191" s="65">
        <f t="shared" si="106"/>
        <v>4.71340297631085</v>
      </c>
      <c r="P191" s="69">
        <f t="shared" si="96"/>
        <v>0.0132818362203432</v>
      </c>
      <c r="Q191" s="69">
        <f t="shared" si="97"/>
        <v>0.00297714591673415</v>
      </c>
      <c r="R191" s="65">
        <f t="shared" si="98"/>
        <v>0.0428104578569335</v>
      </c>
      <c r="S191" s="65">
        <f t="shared" si="99"/>
        <v>5.81279674118317</v>
      </c>
      <c r="T191" s="65">
        <f t="shared" si="100"/>
        <v>0.00736486406855156</v>
      </c>
      <c r="U191" s="65">
        <f t="shared" si="101"/>
        <v>5538.09891648384</v>
      </c>
      <c r="V191" s="69">
        <f t="shared" si="102"/>
        <v>7.73017212269549e-6</v>
      </c>
      <c r="W191" s="69">
        <f t="shared" si="103"/>
        <v>2.28540248056136e-6</v>
      </c>
      <c r="X191" s="4" t="s">
        <v>146</v>
      </c>
      <c r="Y191" s="6"/>
      <c r="Z191" s="81"/>
      <c r="AA191" s="81"/>
    </row>
    <row r="192" ht="25" customHeight="1" spans="1:27">
      <c r="A192" s="54"/>
      <c r="B192" s="129"/>
      <c r="C192" s="85">
        <v>170</v>
      </c>
      <c r="D192" s="55">
        <v>0.333973755212428</v>
      </c>
      <c r="E192" s="55">
        <v>-87.5013155840955</v>
      </c>
      <c r="F192" s="55">
        <v>2.10038405506903</v>
      </c>
      <c r="G192" s="59">
        <v>0.0302</v>
      </c>
      <c r="H192" s="61">
        <v>1000</v>
      </c>
      <c r="I192" s="59">
        <v>9.801</v>
      </c>
      <c r="J192" s="62">
        <v>4e-6</v>
      </c>
      <c r="K192" s="64">
        <v>0.00101</v>
      </c>
      <c r="L192" s="65"/>
      <c r="M192" s="66">
        <f t="shared" si="104"/>
        <v>0.00210038405506903</v>
      </c>
      <c r="N192" s="65">
        <f t="shared" si="105"/>
        <v>15.5148094154257</v>
      </c>
      <c r="O192" s="65">
        <f t="shared" si="106"/>
        <v>5.72691665765607</v>
      </c>
      <c r="P192" s="69">
        <f t="shared" si="96"/>
        <v>0.0111693209524686</v>
      </c>
      <c r="Q192" s="69">
        <f t="shared" si="97"/>
        <v>0.00283565602403544</v>
      </c>
      <c r="R192" s="65">
        <f t="shared" si="98"/>
        <v>0.0495438316282968</v>
      </c>
      <c r="S192" s="65">
        <f t="shared" si="99"/>
        <v>9.98697880584447</v>
      </c>
      <c r="T192" s="65">
        <f t="shared" si="100"/>
        <v>0.00496084277252129</v>
      </c>
      <c r="U192" s="65">
        <f t="shared" si="101"/>
        <v>10488.245521054</v>
      </c>
      <c r="V192" s="69">
        <f t="shared" si="102"/>
        <v>4.72374826932139e-6</v>
      </c>
      <c r="W192" s="69">
        <f t="shared" si="103"/>
        <v>2.16460885839151e-6</v>
      </c>
      <c r="X192" s="4" t="s">
        <v>147</v>
      </c>
      <c r="Y192" s="6"/>
      <c r="Z192" s="81"/>
      <c r="AA192" s="81"/>
    </row>
    <row r="193" ht="25" customHeight="1" spans="1:27">
      <c r="A193" s="54"/>
      <c r="B193" s="129"/>
      <c r="C193" s="85">
        <v>171</v>
      </c>
      <c r="D193" s="55">
        <v>0.19843083897035</v>
      </c>
      <c r="E193" s="55">
        <v>80.7053067559417</v>
      </c>
      <c r="F193" s="55">
        <v>1.95190937335312</v>
      </c>
      <c r="G193" s="59">
        <v>0.0302</v>
      </c>
      <c r="H193" s="61">
        <v>1000</v>
      </c>
      <c r="I193" s="59">
        <v>9.801</v>
      </c>
      <c r="J193" s="62">
        <v>4e-6</v>
      </c>
      <c r="K193" s="64">
        <v>0.00101</v>
      </c>
      <c r="L193" s="65"/>
      <c r="M193" s="66">
        <f t="shared" si="104"/>
        <v>0.00195190937335312</v>
      </c>
      <c r="N193" s="65">
        <f t="shared" si="105"/>
        <v>5.0898037752343</v>
      </c>
      <c r="O193" s="65">
        <f t="shared" si="106"/>
        <v>4.94587045399771</v>
      </c>
      <c r="P193" s="69">
        <f t="shared" si="96"/>
        <v>0.00663626315761767</v>
      </c>
      <c r="Q193" s="69">
        <f t="shared" si="97"/>
        <v>0.00294152862942841</v>
      </c>
      <c r="R193" s="65">
        <f t="shared" si="98"/>
        <v>0.0443844657237366</v>
      </c>
      <c r="S193" s="65">
        <f t="shared" si="99"/>
        <v>24.4321870427335</v>
      </c>
      <c r="T193" s="65">
        <f t="shared" si="100"/>
        <v>0.00181663907721831</v>
      </c>
      <c r="U193" s="65">
        <f t="shared" si="101"/>
        <v>23844.7074501141</v>
      </c>
      <c r="V193" s="69">
        <f t="shared" si="102"/>
        <v>1.86139695010283e-6</v>
      </c>
      <c r="W193" s="69">
        <f t="shared" si="103"/>
        <v>6.13275901690307e-7</v>
      </c>
      <c r="X193" s="4"/>
      <c r="Y193" s="6"/>
      <c r="Z193" s="81"/>
      <c r="AA193" s="81"/>
    </row>
    <row r="194" ht="25" customHeight="1" spans="1:27">
      <c r="A194" s="54"/>
      <c r="B194" s="129"/>
      <c r="C194" s="85" t="s">
        <v>148</v>
      </c>
      <c r="D194" s="55">
        <v>0.188416655729195</v>
      </c>
      <c r="E194" s="55">
        <v>2.06293535748602</v>
      </c>
      <c r="F194" s="55">
        <v>1.81126599592674</v>
      </c>
      <c r="G194" s="59">
        <v>0.0302</v>
      </c>
      <c r="H194" s="61">
        <v>1000</v>
      </c>
      <c r="I194" s="59">
        <v>9.801</v>
      </c>
      <c r="J194" s="62">
        <v>4e-6</v>
      </c>
      <c r="K194" s="64">
        <v>0.00101</v>
      </c>
      <c r="L194" s="65"/>
      <c r="M194" s="66">
        <f t="shared" si="104"/>
        <v>0.00181126599592674</v>
      </c>
      <c r="N194" s="65">
        <f t="shared" si="105"/>
        <v>4.25837465938043</v>
      </c>
      <c r="O194" s="65">
        <f t="shared" si="106"/>
        <v>4.25880647190897</v>
      </c>
      <c r="P194" s="69">
        <f t="shared" si="96"/>
        <v>0.00630135173134063</v>
      </c>
      <c r="Q194" s="69">
        <f t="shared" si="97"/>
        <v>0.00305359747285184</v>
      </c>
      <c r="R194" s="65">
        <f t="shared" si="98"/>
        <v>0.0396748115756612</v>
      </c>
      <c r="S194" s="65">
        <f t="shared" si="99"/>
        <v>23.3338965489707</v>
      </c>
      <c r="T194" s="65">
        <f t="shared" si="100"/>
        <v>0.00170030802581112</v>
      </c>
      <c r="U194" s="65">
        <f t="shared" si="101"/>
        <v>21131.9466858115</v>
      </c>
      <c r="V194" s="69">
        <f t="shared" si="102"/>
        <v>1.87748020405048e-6</v>
      </c>
      <c r="W194" s="69">
        <f t="shared" si="103"/>
        <v>4.41818500666976e-7</v>
      </c>
      <c r="X194" s="4"/>
      <c r="Y194" s="6"/>
      <c r="Z194" s="81"/>
      <c r="AA194" s="81"/>
    </row>
    <row r="195" ht="25" customHeight="1" spans="1:27">
      <c r="A195" s="54"/>
      <c r="B195" s="129"/>
      <c r="C195" s="54" t="s">
        <v>149</v>
      </c>
      <c r="D195" s="55">
        <v>0.286838292230243</v>
      </c>
      <c r="E195" s="55">
        <v>-3.53338207585706</v>
      </c>
      <c r="F195" s="55">
        <v>1.9199726975837</v>
      </c>
      <c r="G195" s="59">
        <v>0.0302</v>
      </c>
      <c r="H195" s="61">
        <v>1000</v>
      </c>
      <c r="I195" s="59">
        <v>9.801</v>
      </c>
      <c r="J195" s="62">
        <v>4e-6</v>
      </c>
      <c r="K195" s="64">
        <v>0.00101</v>
      </c>
      <c r="L195" s="65"/>
      <c r="M195" s="66">
        <f t="shared" si="104"/>
        <v>0.0019199726975837</v>
      </c>
      <c r="N195" s="65">
        <f t="shared" si="105"/>
        <v>10.4614615211083</v>
      </c>
      <c r="O195" s="65">
        <f t="shared" si="106"/>
        <v>4.78534819310389</v>
      </c>
      <c r="P195" s="69">
        <f t="shared" si="96"/>
        <v>0.00959293626332932</v>
      </c>
      <c r="Q195" s="69">
        <f t="shared" si="97"/>
        <v>0.00296589231003369</v>
      </c>
      <c r="R195" s="65">
        <f t="shared" si="98"/>
        <v>0.0432996216474339</v>
      </c>
      <c r="S195" s="65">
        <f t="shared" si="99"/>
        <v>11.312985543047</v>
      </c>
      <c r="T195" s="65">
        <f t="shared" si="100"/>
        <v>0.00382742658714402</v>
      </c>
      <c r="U195" s="65">
        <f t="shared" si="101"/>
        <v>10860.3116854047</v>
      </c>
      <c r="V195" s="69">
        <f t="shared" si="102"/>
        <v>3.98695938953806e-6</v>
      </c>
      <c r="W195" s="69">
        <f t="shared" si="103"/>
        <v>1.21960172202242e-6</v>
      </c>
      <c r="X195" s="4"/>
      <c r="Y195" s="6"/>
      <c r="Z195" s="81"/>
      <c r="AA195" s="81"/>
    </row>
    <row r="196" ht="25" customHeight="1" spans="1:27">
      <c r="A196" s="54" t="s">
        <v>103</v>
      </c>
      <c r="B196" s="130"/>
      <c r="C196" s="85">
        <v>173</v>
      </c>
      <c r="D196" s="55">
        <v>0</v>
      </c>
      <c r="E196" s="55">
        <v>0</v>
      </c>
      <c r="F196" s="55">
        <v>0</v>
      </c>
      <c r="G196" s="59">
        <v>0.0302</v>
      </c>
      <c r="H196" s="61">
        <v>1000</v>
      </c>
      <c r="I196" s="59">
        <v>9.801</v>
      </c>
      <c r="J196" s="62">
        <v>4e-6</v>
      </c>
      <c r="K196" s="64">
        <v>0.00101</v>
      </c>
      <c r="L196" s="65"/>
      <c r="M196" s="66">
        <f t="shared" si="104"/>
        <v>0</v>
      </c>
      <c r="N196" s="65">
        <f t="shared" si="105"/>
        <v>0</v>
      </c>
      <c r="O196" s="65">
        <f t="shared" si="106"/>
        <v>0</v>
      </c>
      <c r="P196" s="69">
        <f t="shared" ref="P196:P218" si="107">K196*D196/G196</f>
        <v>0</v>
      </c>
      <c r="Q196" s="69" t="e">
        <f t="shared" ref="Q196:Q218" si="108">K196/SQRT(H196*G196*M196*2)</f>
        <v>#DIV/0!</v>
      </c>
      <c r="R196" s="65">
        <f t="shared" ref="R196:R218" si="109">SQRT(H196*8*(M196^3)/G196)</f>
        <v>0</v>
      </c>
      <c r="S196" s="65" t="e">
        <f t="shared" ref="S196:S218" si="110">K196*(2*M196)^2/(H196*(D196*J196)^2)</f>
        <v>#DIV/0!</v>
      </c>
      <c r="T196" s="65" t="e">
        <f t="shared" ref="T196:T218" si="111">R196/S196</f>
        <v>#DIV/0!</v>
      </c>
      <c r="U196" s="65" t="e">
        <f t="shared" ref="U196:U218" si="112">K196*(2*M196)^3/(H196*(D196)^2*(J196)^3)</f>
        <v>#DIV/0!</v>
      </c>
      <c r="V196" s="69" t="e">
        <f t="shared" ref="V196:V218" si="113">R196/U196</f>
        <v>#DIV/0!</v>
      </c>
      <c r="W196" s="69">
        <f t="shared" ref="W196:W218" si="114">0.5*H196*(4/3)*PI()*M196^3*D196^2</f>
        <v>0</v>
      </c>
      <c r="X196" s="4" t="s">
        <v>104</v>
      </c>
      <c r="Y196" s="6"/>
      <c r="Z196" s="81"/>
      <c r="AA196" s="81"/>
    </row>
    <row r="197" ht="25" customHeight="1" spans="1:27">
      <c r="A197" s="54"/>
      <c r="B197" s="131" t="s">
        <v>64</v>
      </c>
      <c r="C197" s="54">
        <v>174</v>
      </c>
      <c r="D197" s="55">
        <v>0</v>
      </c>
      <c r="E197" s="55">
        <v>0</v>
      </c>
      <c r="F197" s="55">
        <v>0</v>
      </c>
      <c r="G197" s="59">
        <v>0.0302</v>
      </c>
      <c r="H197" s="61">
        <v>1000</v>
      </c>
      <c r="I197" s="59">
        <v>9.801</v>
      </c>
      <c r="J197" s="62">
        <v>4e-6</v>
      </c>
      <c r="K197" s="64">
        <v>0.00101</v>
      </c>
      <c r="L197" s="65"/>
      <c r="M197" s="66">
        <f t="shared" si="104"/>
        <v>0</v>
      </c>
      <c r="N197" s="65">
        <f t="shared" si="105"/>
        <v>0</v>
      </c>
      <c r="O197" s="65">
        <f t="shared" si="106"/>
        <v>0</v>
      </c>
      <c r="P197" s="69">
        <f t="shared" si="107"/>
        <v>0</v>
      </c>
      <c r="Q197" s="69" t="e">
        <f t="shared" si="108"/>
        <v>#DIV/0!</v>
      </c>
      <c r="R197" s="65">
        <f t="shared" si="109"/>
        <v>0</v>
      </c>
      <c r="S197" s="65" t="e">
        <f t="shared" si="110"/>
        <v>#DIV/0!</v>
      </c>
      <c r="T197" s="65" t="e">
        <f t="shared" si="111"/>
        <v>#DIV/0!</v>
      </c>
      <c r="U197" s="65" t="e">
        <f t="shared" si="112"/>
        <v>#DIV/0!</v>
      </c>
      <c r="V197" s="69" t="e">
        <f t="shared" si="113"/>
        <v>#DIV/0!</v>
      </c>
      <c r="W197" s="69">
        <f t="shared" si="114"/>
        <v>0</v>
      </c>
      <c r="X197" s="4" t="s">
        <v>150</v>
      </c>
      <c r="Y197" s="6"/>
      <c r="Z197" s="81"/>
      <c r="AA197" s="81"/>
    </row>
    <row r="198" ht="25" customHeight="1" spans="1:27">
      <c r="A198" s="54"/>
      <c r="B198" s="132"/>
      <c r="C198" s="85" t="s">
        <v>151</v>
      </c>
      <c r="D198" s="55">
        <v>0.261485062442866</v>
      </c>
      <c r="E198" s="55">
        <v>59.3998630709442</v>
      </c>
      <c r="F198" s="55">
        <v>1.99447143887999</v>
      </c>
      <c r="G198" s="59">
        <v>0.0302</v>
      </c>
      <c r="H198" s="61">
        <v>1000</v>
      </c>
      <c r="I198" s="59">
        <v>9.801</v>
      </c>
      <c r="J198" s="62">
        <v>4e-6</v>
      </c>
      <c r="K198" s="64">
        <v>0.00101</v>
      </c>
      <c r="L198" s="65"/>
      <c r="M198" s="66">
        <f t="shared" si="104"/>
        <v>0.00199447143887999</v>
      </c>
      <c r="N198" s="65">
        <f t="shared" si="105"/>
        <v>9.03118301341914</v>
      </c>
      <c r="O198" s="65">
        <f t="shared" si="106"/>
        <v>5.16391494798663</v>
      </c>
      <c r="P198" s="69">
        <f t="shared" si="107"/>
        <v>0.00874503023401638</v>
      </c>
      <c r="Q198" s="69">
        <f t="shared" si="108"/>
        <v>0.00290997322966536</v>
      </c>
      <c r="R198" s="65">
        <f t="shared" si="109"/>
        <v>0.0458440792179298</v>
      </c>
      <c r="S198" s="65">
        <f t="shared" si="110"/>
        <v>14.6900494111567</v>
      </c>
      <c r="T198" s="65">
        <f t="shared" si="111"/>
        <v>0.0031207573191083</v>
      </c>
      <c r="U198" s="65">
        <f t="shared" si="112"/>
        <v>14649.4419931439</v>
      </c>
      <c r="V198" s="69">
        <f t="shared" si="113"/>
        <v>3.12940788047662e-6</v>
      </c>
      <c r="W198" s="69">
        <f t="shared" si="114"/>
        <v>1.13615045613267e-6</v>
      </c>
      <c r="X198" s="4"/>
      <c r="Y198" s="6"/>
      <c r="Z198" s="81"/>
      <c r="AA198" s="81"/>
    </row>
    <row r="199" ht="25" customHeight="1" spans="1:27">
      <c r="A199" s="54" t="s">
        <v>103</v>
      </c>
      <c r="B199" s="132"/>
      <c r="C199" s="80" t="s">
        <v>152</v>
      </c>
      <c r="D199" s="55">
        <v>0</v>
      </c>
      <c r="E199" s="55">
        <v>0</v>
      </c>
      <c r="F199" s="55">
        <v>0</v>
      </c>
      <c r="G199" s="59">
        <v>0.0302</v>
      </c>
      <c r="H199" s="61">
        <v>1000</v>
      </c>
      <c r="I199" s="59">
        <v>9.801</v>
      </c>
      <c r="J199" s="62">
        <v>4e-6</v>
      </c>
      <c r="K199" s="64">
        <v>0.00101</v>
      </c>
      <c r="L199" s="65"/>
      <c r="M199" s="66">
        <f t="shared" si="104"/>
        <v>0</v>
      </c>
      <c r="N199" s="65">
        <f t="shared" si="105"/>
        <v>0</v>
      </c>
      <c r="O199" s="65">
        <f t="shared" si="106"/>
        <v>0</v>
      </c>
      <c r="P199" s="69">
        <f t="shared" si="107"/>
        <v>0</v>
      </c>
      <c r="Q199" s="69" t="e">
        <f t="shared" si="108"/>
        <v>#DIV/0!</v>
      </c>
      <c r="R199" s="65">
        <f t="shared" si="109"/>
        <v>0</v>
      </c>
      <c r="S199" s="65" t="e">
        <f t="shared" si="110"/>
        <v>#DIV/0!</v>
      </c>
      <c r="T199" s="65" t="e">
        <f t="shared" si="111"/>
        <v>#DIV/0!</v>
      </c>
      <c r="U199" s="65" t="e">
        <f t="shared" si="112"/>
        <v>#DIV/0!</v>
      </c>
      <c r="V199" s="69" t="e">
        <f t="shared" si="113"/>
        <v>#DIV/0!</v>
      </c>
      <c r="W199" s="69">
        <f t="shared" si="114"/>
        <v>0</v>
      </c>
      <c r="X199" s="4" t="s">
        <v>150</v>
      </c>
      <c r="Y199" s="6"/>
      <c r="Z199" s="81"/>
      <c r="AA199" s="81"/>
    </row>
    <row r="200" ht="25" customHeight="1" spans="1:27">
      <c r="A200" s="54"/>
      <c r="B200" s="132"/>
      <c r="C200" s="54" t="s">
        <v>153</v>
      </c>
      <c r="D200" s="55">
        <v>0.20794129439421</v>
      </c>
      <c r="E200" s="55">
        <v>1.4666097619452</v>
      </c>
      <c r="F200" s="55">
        <v>2.02938437746</v>
      </c>
      <c r="G200" s="59">
        <v>0.0302</v>
      </c>
      <c r="H200" s="61">
        <v>1000</v>
      </c>
      <c r="I200" s="59">
        <v>9.801</v>
      </c>
      <c r="J200" s="62">
        <v>4e-6</v>
      </c>
      <c r="K200" s="64">
        <v>0.00101</v>
      </c>
      <c r="L200" s="65"/>
      <c r="M200" s="66">
        <f t="shared" si="104"/>
        <v>0.00202938437746</v>
      </c>
      <c r="N200" s="65">
        <f t="shared" si="105"/>
        <v>5.81124053144785</v>
      </c>
      <c r="O200" s="65">
        <f t="shared" si="106"/>
        <v>5.34628446694607</v>
      </c>
      <c r="P200" s="69">
        <f t="shared" si="107"/>
        <v>0.0069543280575547</v>
      </c>
      <c r="Q200" s="69">
        <f t="shared" si="108"/>
        <v>0.00288483346977137</v>
      </c>
      <c r="R200" s="65">
        <f t="shared" si="109"/>
        <v>0.0470530728980754</v>
      </c>
      <c r="S200" s="65">
        <f t="shared" si="110"/>
        <v>24.0496367959449</v>
      </c>
      <c r="T200" s="65">
        <f t="shared" si="111"/>
        <v>0.00195649827468534</v>
      </c>
      <c r="U200" s="65">
        <f t="shared" si="112"/>
        <v>24402.9785986389</v>
      </c>
      <c r="V200" s="69">
        <f t="shared" si="113"/>
        <v>1.92816924818759e-6</v>
      </c>
      <c r="W200" s="69">
        <f t="shared" si="114"/>
        <v>7.5689047172631e-7</v>
      </c>
      <c r="X200" s="4"/>
      <c r="Y200" s="6"/>
      <c r="Z200" s="81"/>
      <c r="AA200" s="81"/>
    </row>
    <row r="201" ht="25" customHeight="1" spans="1:27">
      <c r="A201" s="54"/>
      <c r="B201" s="132"/>
      <c r="C201" s="85">
        <v>176</v>
      </c>
      <c r="D201" s="55">
        <v>0.319934093981665</v>
      </c>
      <c r="E201" s="55">
        <v>34.1505928589061</v>
      </c>
      <c r="F201" s="55">
        <v>1.98588852214468</v>
      </c>
      <c r="G201" s="59">
        <v>0.0302</v>
      </c>
      <c r="H201" s="61">
        <v>1000</v>
      </c>
      <c r="I201" s="59">
        <v>9.801</v>
      </c>
      <c r="J201" s="62">
        <v>4e-6</v>
      </c>
      <c r="K201" s="64">
        <v>0.00101</v>
      </c>
      <c r="L201" s="65"/>
      <c r="M201" s="66">
        <f t="shared" ref="M201:M218" si="115">F201/1000</f>
        <v>0.00198588852214468</v>
      </c>
      <c r="N201" s="65">
        <f t="shared" ref="N201:N218" si="116">H201*2*M201*D201^2/G201</f>
        <v>13.461670782126</v>
      </c>
      <c r="O201" s="65">
        <f t="shared" ref="O201:O218" si="117">H201*I201*(M201*2)^2/G201</f>
        <v>5.11956626921921</v>
      </c>
      <c r="P201" s="69">
        <f t="shared" si="107"/>
        <v>0.0106997826132941</v>
      </c>
      <c r="Q201" s="69">
        <f t="shared" si="108"/>
        <v>0.0029162548334606</v>
      </c>
      <c r="R201" s="65">
        <f t="shared" si="109"/>
        <v>0.0455484728584512</v>
      </c>
      <c r="S201" s="65">
        <f t="shared" si="110"/>
        <v>9.72859372105515</v>
      </c>
      <c r="T201" s="65">
        <f t="shared" si="111"/>
        <v>0.00468191746561198</v>
      </c>
      <c r="U201" s="65">
        <f t="shared" si="112"/>
        <v>9659.95130362611</v>
      </c>
      <c r="V201" s="69">
        <f t="shared" si="113"/>
        <v>4.71518659119466e-6</v>
      </c>
      <c r="W201" s="69">
        <f t="shared" si="114"/>
        <v>1.67897510870969e-6</v>
      </c>
      <c r="X201" s="4"/>
      <c r="Y201" s="6"/>
      <c r="Z201" s="81"/>
      <c r="AA201" s="81"/>
    </row>
    <row r="202" ht="25" customHeight="1" spans="1:27">
      <c r="A202" s="54" t="s">
        <v>103</v>
      </c>
      <c r="B202" s="132"/>
      <c r="C202" s="80" t="s">
        <v>154</v>
      </c>
      <c r="D202" s="55">
        <v>0.346971504519187</v>
      </c>
      <c r="E202" s="55">
        <v>3.35256836043831</v>
      </c>
      <c r="F202" s="55">
        <v>2.24442544558445</v>
      </c>
      <c r="G202" s="59">
        <v>0.0302</v>
      </c>
      <c r="H202" s="61">
        <v>1000</v>
      </c>
      <c r="I202" s="59">
        <v>9.801</v>
      </c>
      <c r="J202" s="62">
        <v>4e-6</v>
      </c>
      <c r="K202" s="64">
        <v>0.00101</v>
      </c>
      <c r="L202" s="65"/>
      <c r="M202" s="66">
        <f t="shared" si="115"/>
        <v>0.00224442544558445</v>
      </c>
      <c r="N202" s="65">
        <f t="shared" si="116"/>
        <v>17.8943470098128</v>
      </c>
      <c r="O202" s="65">
        <f t="shared" si="117"/>
        <v>6.53933829633019</v>
      </c>
      <c r="P202" s="69">
        <f t="shared" si="107"/>
        <v>0.0116040138928602</v>
      </c>
      <c r="Q202" s="69">
        <f t="shared" si="108"/>
        <v>0.00274315477764824</v>
      </c>
      <c r="R202" s="65">
        <f t="shared" si="109"/>
        <v>0.0547267046022921</v>
      </c>
      <c r="S202" s="65">
        <f t="shared" si="110"/>
        <v>10.5653559086775</v>
      </c>
      <c r="T202" s="65">
        <f t="shared" si="111"/>
        <v>0.00517982594011286</v>
      </c>
      <c r="U202" s="65">
        <f t="shared" si="112"/>
        <v>11856.5768215458</v>
      </c>
      <c r="V202" s="69">
        <f t="shared" si="113"/>
        <v>4.61572555266056e-6</v>
      </c>
      <c r="W202" s="69">
        <f t="shared" si="114"/>
        <v>2.8507673978336e-6</v>
      </c>
      <c r="X202" s="4"/>
      <c r="Y202" s="6"/>
      <c r="Z202" s="81"/>
      <c r="AA202" s="81"/>
    </row>
    <row r="203" ht="25" customHeight="1" spans="1:27">
      <c r="A203" s="54"/>
      <c r="B203" s="132"/>
      <c r="C203" s="54" t="s">
        <v>155</v>
      </c>
      <c r="D203" s="55">
        <v>0.395299741308555</v>
      </c>
      <c r="E203" s="55">
        <v>2.35604302257706</v>
      </c>
      <c r="F203" s="55">
        <v>2.03078051720123</v>
      </c>
      <c r="G203" s="59">
        <v>0.0302</v>
      </c>
      <c r="H203" s="61">
        <v>1000</v>
      </c>
      <c r="I203" s="59">
        <v>9.801</v>
      </c>
      <c r="J203" s="62">
        <v>4e-6</v>
      </c>
      <c r="K203" s="64">
        <v>0.00101</v>
      </c>
      <c r="L203" s="65"/>
      <c r="M203" s="66">
        <f t="shared" si="115"/>
        <v>0.00203078051720123</v>
      </c>
      <c r="N203" s="65">
        <f t="shared" si="116"/>
        <v>21.0154697093438</v>
      </c>
      <c r="O203" s="65">
        <f t="shared" si="117"/>
        <v>5.3536430805485</v>
      </c>
      <c r="P203" s="69">
        <f t="shared" si="107"/>
        <v>0.0132202893616437</v>
      </c>
      <c r="Q203" s="69">
        <f t="shared" si="108"/>
        <v>0.00288384165330079</v>
      </c>
      <c r="R203" s="65">
        <f t="shared" si="109"/>
        <v>0.0471016373516399</v>
      </c>
      <c r="S203" s="65">
        <f t="shared" si="110"/>
        <v>6.66398941651177</v>
      </c>
      <c r="T203" s="65">
        <f t="shared" si="111"/>
        <v>0.0070680840571165</v>
      </c>
      <c r="U203" s="65">
        <f t="shared" si="112"/>
        <v>6766.54993694364</v>
      </c>
      <c r="V203" s="69">
        <f t="shared" si="113"/>
        <v>6.9609531874548e-6</v>
      </c>
      <c r="W203" s="69">
        <f t="shared" si="114"/>
        <v>2.74094700434403e-6</v>
      </c>
      <c r="X203" s="4"/>
      <c r="Y203" s="6"/>
      <c r="Z203" s="81"/>
      <c r="AA203" s="81"/>
    </row>
    <row r="204" ht="25" customHeight="1" spans="1:27">
      <c r="A204" s="54"/>
      <c r="B204" s="132"/>
      <c r="C204" s="54">
        <v>178</v>
      </c>
      <c r="D204" s="55">
        <v>0.439754745828357</v>
      </c>
      <c r="E204" s="55">
        <v>3.43611637655144</v>
      </c>
      <c r="F204" s="55">
        <v>2.05566153666183</v>
      </c>
      <c r="G204" s="59">
        <v>0.0302</v>
      </c>
      <c r="H204" s="61">
        <v>1000</v>
      </c>
      <c r="I204" s="59">
        <v>9.801</v>
      </c>
      <c r="J204" s="62">
        <v>4e-6</v>
      </c>
      <c r="K204" s="64">
        <v>0.00101</v>
      </c>
      <c r="L204" s="65"/>
      <c r="M204" s="66">
        <f t="shared" si="115"/>
        <v>0.00205566153666183</v>
      </c>
      <c r="N204" s="65">
        <f t="shared" si="116"/>
        <v>26.3266580613044</v>
      </c>
      <c r="O204" s="65">
        <f t="shared" si="117"/>
        <v>5.48563184196025</v>
      </c>
      <c r="P204" s="69">
        <f t="shared" si="107"/>
        <v>0.0147070295790278</v>
      </c>
      <c r="Q204" s="69">
        <f t="shared" si="108"/>
        <v>0.00286633600824186</v>
      </c>
      <c r="R204" s="65">
        <f t="shared" si="109"/>
        <v>0.0479699136693848</v>
      </c>
      <c r="S204" s="65">
        <f t="shared" si="110"/>
        <v>5.51751512243489</v>
      </c>
      <c r="T204" s="65">
        <f t="shared" si="111"/>
        <v>0.00869411548585219</v>
      </c>
      <c r="U204" s="65">
        <f t="shared" si="112"/>
        <v>5671.0718075697</v>
      </c>
      <c r="V204" s="69">
        <f t="shared" si="113"/>
        <v>8.45870327463585e-6</v>
      </c>
      <c r="W204" s="69">
        <f t="shared" si="114"/>
        <v>3.51831332765248e-6</v>
      </c>
      <c r="X204" s="4"/>
      <c r="Y204" s="6"/>
      <c r="Z204" s="81"/>
      <c r="AA204" s="81"/>
    </row>
    <row r="205" ht="25" customHeight="1" spans="1:27">
      <c r="A205" s="54"/>
      <c r="B205" s="132"/>
      <c r="C205" s="54" t="s">
        <v>156</v>
      </c>
      <c r="D205" s="55">
        <v>0.295147245700814</v>
      </c>
      <c r="E205" s="55">
        <v>3.37938425664175</v>
      </c>
      <c r="F205" s="55">
        <v>2.13137101053508</v>
      </c>
      <c r="G205" s="59">
        <v>0.0302</v>
      </c>
      <c r="H205" s="61">
        <v>1000</v>
      </c>
      <c r="I205" s="59">
        <v>9.801</v>
      </c>
      <c r="J205" s="62">
        <v>4e-6</v>
      </c>
      <c r="K205" s="64">
        <v>0.00101</v>
      </c>
      <c r="L205" s="65"/>
      <c r="M205" s="66">
        <f t="shared" si="115"/>
        <v>0.00213137101053508</v>
      </c>
      <c r="N205" s="65">
        <f t="shared" si="116"/>
        <v>12.2958788861858</v>
      </c>
      <c r="O205" s="65">
        <f t="shared" si="117"/>
        <v>5.89714147165139</v>
      </c>
      <c r="P205" s="69">
        <f t="shared" si="107"/>
        <v>0.00987081848204709</v>
      </c>
      <c r="Q205" s="69">
        <f t="shared" si="108"/>
        <v>0.00281496744892147</v>
      </c>
      <c r="R205" s="65">
        <f t="shared" si="109"/>
        <v>0.0506442453122465</v>
      </c>
      <c r="S205" s="65">
        <f t="shared" si="110"/>
        <v>13.1674604305322</v>
      </c>
      <c r="T205" s="65">
        <f t="shared" si="111"/>
        <v>0.00384616650867731</v>
      </c>
      <c r="U205" s="65">
        <f t="shared" si="112"/>
        <v>14032.371722002</v>
      </c>
      <c r="V205" s="69">
        <f t="shared" si="113"/>
        <v>3.60910089296159e-6</v>
      </c>
      <c r="W205" s="69">
        <f t="shared" si="114"/>
        <v>1.76649839291844e-6</v>
      </c>
      <c r="X205" s="4"/>
      <c r="Y205" s="6"/>
      <c r="Z205" s="81"/>
      <c r="AA205" s="81"/>
    </row>
    <row r="206" ht="25" customHeight="1" spans="1:27">
      <c r="A206" s="54"/>
      <c r="B206" s="132"/>
      <c r="C206" s="85" t="s">
        <v>157</v>
      </c>
      <c r="D206" s="55">
        <v>0.353762708867561</v>
      </c>
      <c r="E206" s="55">
        <v>3.84446633405022</v>
      </c>
      <c r="F206" s="55">
        <v>2.12299206931222</v>
      </c>
      <c r="G206" s="59">
        <v>0.0302</v>
      </c>
      <c r="H206" s="61">
        <v>1000</v>
      </c>
      <c r="I206" s="59">
        <v>9.801</v>
      </c>
      <c r="J206" s="62">
        <v>4e-6</v>
      </c>
      <c r="K206" s="64">
        <v>0.00101</v>
      </c>
      <c r="L206" s="65"/>
      <c r="M206" s="66">
        <f t="shared" si="115"/>
        <v>0.00212299206931222</v>
      </c>
      <c r="N206" s="65">
        <f t="shared" si="116"/>
        <v>17.5952534122701</v>
      </c>
      <c r="O206" s="65">
        <f t="shared" si="117"/>
        <v>5.85086639651386</v>
      </c>
      <c r="P206" s="69">
        <f t="shared" si="107"/>
        <v>0.0118311369521933</v>
      </c>
      <c r="Q206" s="69">
        <f t="shared" si="108"/>
        <v>0.0028205169798024</v>
      </c>
      <c r="R206" s="65">
        <f t="shared" si="109"/>
        <v>0.0503458966241334</v>
      </c>
      <c r="S206" s="65">
        <f t="shared" si="110"/>
        <v>9.09356184013361</v>
      </c>
      <c r="T206" s="65">
        <f t="shared" si="111"/>
        <v>0.00553643308411192</v>
      </c>
      <c r="U206" s="65">
        <f t="shared" si="112"/>
        <v>9652.77983420195</v>
      </c>
      <c r="V206" s="69">
        <f t="shared" si="113"/>
        <v>5.21568889883375e-6</v>
      </c>
      <c r="W206" s="69">
        <f t="shared" si="114"/>
        <v>2.50800172353587e-6</v>
      </c>
      <c r="X206" s="4"/>
      <c r="Y206" s="6"/>
      <c r="Z206" s="81"/>
      <c r="AA206" s="81"/>
    </row>
    <row r="207" ht="25" customHeight="1" spans="1:27">
      <c r="A207" s="54"/>
      <c r="B207" s="132"/>
      <c r="C207" s="54">
        <v>180</v>
      </c>
      <c r="D207" s="55">
        <v>0.31485634605453</v>
      </c>
      <c r="E207" s="55">
        <v>2.68127014276962</v>
      </c>
      <c r="F207" s="55">
        <v>2.04439602773899</v>
      </c>
      <c r="G207" s="59">
        <v>0.0302</v>
      </c>
      <c r="H207" s="61">
        <v>1000</v>
      </c>
      <c r="I207" s="59">
        <v>9.801</v>
      </c>
      <c r="J207" s="62">
        <v>4e-6</v>
      </c>
      <c r="K207" s="64">
        <v>0.00101</v>
      </c>
      <c r="L207" s="65"/>
      <c r="M207" s="66">
        <f t="shared" si="115"/>
        <v>0.00204439602773899</v>
      </c>
      <c r="N207" s="65">
        <f t="shared" si="116"/>
        <v>13.4218686186445</v>
      </c>
      <c r="O207" s="65">
        <f t="shared" si="117"/>
        <v>5.42567148527428</v>
      </c>
      <c r="P207" s="69">
        <f t="shared" si="107"/>
        <v>0.0105299638912277</v>
      </c>
      <c r="Q207" s="69">
        <f t="shared" si="108"/>
        <v>0.00287422253599726</v>
      </c>
      <c r="R207" s="65">
        <f t="shared" si="109"/>
        <v>0.0475761247971233</v>
      </c>
      <c r="S207" s="65">
        <f t="shared" si="110"/>
        <v>10.6455115908883</v>
      </c>
      <c r="T207" s="65">
        <f t="shared" si="111"/>
        <v>0.00446912526381961</v>
      </c>
      <c r="U207" s="65">
        <f t="shared" si="112"/>
        <v>10881.8208048307</v>
      </c>
      <c r="V207" s="69">
        <f t="shared" si="113"/>
        <v>4.37207390660239e-6</v>
      </c>
      <c r="W207" s="69">
        <f t="shared" si="114"/>
        <v>1.77410206417326e-6</v>
      </c>
      <c r="X207" s="4"/>
      <c r="Y207" s="6"/>
      <c r="Z207" s="81"/>
      <c r="AA207" s="81"/>
    </row>
    <row r="208" ht="25" customHeight="1" spans="1:27">
      <c r="A208" s="54"/>
      <c r="B208" s="132"/>
      <c r="C208" s="54">
        <v>181</v>
      </c>
      <c r="D208" s="55">
        <v>0.368636584017437</v>
      </c>
      <c r="E208" s="55">
        <v>3.24502087999337</v>
      </c>
      <c r="F208" s="55">
        <v>2.09915619729952</v>
      </c>
      <c r="G208" s="59">
        <v>0.0302</v>
      </c>
      <c r="H208" s="61">
        <v>1000</v>
      </c>
      <c r="I208" s="59">
        <v>9.801</v>
      </c>
      <c r="J208" s="62">
        <v>4e-6</v>
      </c>
      <c r="K208" s="64">
        <v>0.00101</v>
      </c>
      <c r="L208" s="65"/>
      <c r="M208" s="66">
        <f t="shared" si="115"/>
        <v>0.00209915619729952</v>
      </c>
      <c r="N208" s="65">
        <f t="shared" si="116"/>
        <v>18.8914230753295</v>
      </c>
      <c r="O208" s="65">
        <f t="shared" si="117"/>
        <v>5.72022284969779</v>
      </c>
      <c r="P208" s="69">
        <f t="shared" si="107"/>
        <v>0.0123285744985964</v>
      </c>
      <c r="Q208" s="69">
        <f t="shared" si="108"/>
        <v>0.0028364852318107</v>
      </c>
      <c r="R208" s="65">
        <f t="shared" si="109"/>
        <v>0.0495003939386044</v>
      </c>
      <c r="S208" s="65">
        <f t="shared" si="110"/>
        <v>8.18755117140182</v>
      </c>
      <c r="T208" s="65">
        <f t="shared" si="111"/>
        <v>0.00604581185538157</v>
      </c>
      <c r="U208" s="65">
        <f t="shared" si="112"/>
        <v>8593.47439107754</v>
      </c>
      <c r="V208" s="69">
        <f t="shared" si="113"/>
        <v>5.76023057565631e-6</v>
      </c>
      <c r="W208" s="69">
        <f t="shared" si="114"/>
        <v>2.63262951540622e-6</v>
      </c>
      <c r="X208" s="4"/>
      <c r="Y208" s="6"/>
      <c r="Z208" s="81"/>
      <c r="AA208" s="81"/>
    </row>
    <row r="209" ht="25" customHeight="1" spans="1:27">
      <c r="A209" s="54"/>
      <c r="B209" s="132"/>
      <c r="C209" s="85" t="s">
        <v>158</v>
      </c>
      <c r="D209" s="55">
        <v>0.331090098625341</v>
      </c>
      <c r="E209" s="55">
        <v>4.99787619900537</v>
      </c>
      <c r="F209" s="55">
        <v>1.99952514299994</v>
      </c>
      <c r="G209" s="59">
        <v>0.0302</v>
      </c>
      <c r="H209" s="61">
        <v>1000</v>
      </c>
      <c r="I209" s="59">
        <v>9.801</v>
      </c>
      <c r="J209" s="62">
        <v>4e-6</v>
      </c>
      <c r="K209" s="64">
        <v>0.00101</v>
      </c>
      <c r="L209" s="65"/>
      <c r="M209" s="66">
        <f t="shared" si="115"/>
        <v>0.00199952514299994</v>
      </c>
      <c r="N209" s="65">
        <f t="shared" si="116"/>
        <v>14.5158445484009</v>
      </c>
      <c r="O209" s="65">
        <f t="shared" si="117"/>
        <v>5.19011733989259</v>
      </c>
      <c r="P209" s="69">
        <f t="shared" si="107"/>
        <v>0.0110728807818409</v>
      </c>
      <c r="Q209" s="69">
        <f t="shared" si="108"/>
        <v>0.00290629349405881</v>
      </c>
      <c r="R209" s="65">
        <f t="shared" si="109"/>
        <v>0.0460184330151818</v>
      </c>
      <c r="S209" s="65">
        <f t="shared" si="110"/>
        <v>9.20921760620243</v>
      </c>
      <c r="T209" s="65">
        <f t="shared" si="111"/>
        <v>0.00499699702873655</v>
      </c>
      <c r="U209" s="65">
        <f t="shared" si="112"/>
        <v>9207.03107547974</v>
      </c>
      <c r="V209" s="69">
        <f t="shared" si="113"/>
        <v>4.99818374000481e-6</v>
      </c>
      <c r="W209" s="69">
        <f t="shared" si="114"/>
        <v>1.8354037244455e-6</v>
      </c>
      <c r="X209" s="4"/>
      <c r="Y209" s="6"/>
      <c r="Z209" s="81"/>
      <c r="AA209" s="81"/>
    </row>
    <row r="210" ht="25" customHeight="1" spans="1:27">
      <c r="A210" s="54"/>
      <c r="B210" s="132"/>
      <c r="C210" s="54" t="s">
        <v>159</v>
      </c>
      <c r="D210" s="55">
        <v>0.318898518422777</v>
      </c>
      <c r="E210" s="55">
        <v>-2.20538457262442</v>
      </c>
      <c r="F210" s="55">
        <v>1.74565881107812</v>
      </c>
      <c r="G210" s="59">
        <v>0.0302</v>
      </c>
      <c r="H210" s="61">
        <v>1000</v>
      </c>
      <c r="I210" s="59">
        <v>9.801</v>
      </c>
      <c r="J210" s="62">
        <v>4e-6</v>
      </c>
      <c r="K210" s="64">
        <v>0.00101</v>
      </c>
      <c r="L210" s="65"/>
      <c r="M210" s="66">
        <f t="shared" si="115"/>
        <v>0.00174565881107812</v>
      </c>
      <c r="N210" s="65">
        <f t="shared" si="116"/>
        <v>11.7567537180253</v>
      </c>
      <c r="O210" s="65">
        <f t="shared" si="117"/>
        <v>3.95587142181358</v>
      </c>
      <c r="P210" s="69">
        <f t="shared" si="107"/>
        <v>0.0106651491260598</v>
      </c>
      <c r="Q210" s="69">
        <f t="shared" si="108"/>
        <v>0.00311044998236996</v>
      </c>
      <c r="R210" s="65">
        <f t="shared" si="109"/>
        <v>0.0375388158882538</v>
      </c>
      <c r="S210" s="65">
        <f t="shared" si="110"/>
        <v>7.56615282272297</v>
      </c>
      <c r="T210" s="65">
        <f t="shared" si="111"/>
        <v>0.00496141391375492</v>
      </c>
      <c r="U210" s="65">
        <f t="shared" si="112"/>
        <v>6603.96067047497</v>
      </c>
      <c r="V210" s="69">
        <f t="shared" si="113"/>
        <v>5.68428822662173e-6</v>
      </c>
      <c r="W210" s="69">
        <f t="shared" si="114"/>
        <v>1.13303078816207e-6</v>
      </c>
      <c r="X210" s="4"/>
      <c r="Y210" s="6"/>
      <c r="Z210" s="81"/>
      <c r="AA210" s="81"/>
    </row>
    <row r="211" ht="25" customHeight="1" spans="1:27">
      <c r="A211" s="54" t="s">
        <v>103</v>
      </c>
      <c r="B211" s="132"/>
      <c r="C211" s="85" t="s">
        <v>160</v>
      </c>
      <c r="D211" s="55">
        <v>0.413690260955138</v>
      </c>
      <c r="E211" s="55">
        <v>6.14453336358576</v>
      </c>
      <c r="F211" s="55">
        <v>2.26816577840144</v>
      </c>
      <c r="G211" s="59">
        <v>0.0302</v>
      </c>
      <c r="H211" s="61">
        <v>1000</v>
      </c>
      <c r="I211" s="59">
        <v>9.801</v>
      </c>
      <c r="J211" s="62">
        <v>4e-6</v>
      </c>
      <c r="K211" s="64">
        <v>0.00101</v>
      </c>
      <c r="L211" s="65"/>
      <c r="M211" s="66">
        <f t="shared" si="115"/>
        <v>0.00226816577840144</v>
      </c>
      <c r="N211" s="65">
        <f t="shared" si="116"/>
        <v>25.7068249437963</v>
      </c>
      <c r="O211" s="65">
        <f t="shared" si="117"/>
        <v>6.67840918668214</v>
      </c>
      <c r="P211" s="69">
        <f t="shared" si="107"/>
        <v>0.0138353365418771</v>
      </c>
      <c r="Q211" s="69">
        <f t="shared" si="108"/>
        <v>0.0027287610518094</v>
      </c>
      <c r="R211" s="65">
        <f t="shared" si="109"/>
        <v>0.0555973014347155</v>
      </c>
      <c r="S211" s="65">
        <f t="shared" si="110"/>
        <v>7.59032507154351</v>
      </c>
      <c r="T211" s="65">
        <f t="shared" si="111"/>
        <v>0.00732475894124118</v>
      </c>
      <c r="U211" s="65">
        <f t="shared" si="112"/>
        <v>8608.05778710873</v>
      </c>
      <c r="V211" s="69">
        <f t="shared" si="113"/>
        <v>6.45875095285454e-6</v>
      </c>
      <c r="W211" s="69">
        <f t="shared" si="114"/>
        <v>4.18247725904546e-6</v>
      </c>
      <c r="X211" s="4"/>
      <c r="Y211" s="6"/>
      <c r="Z211" s="81"/>
      <c r="AA211" s="81"/>
    </row>
    <row r="212" ht="25" customHeight="1" spans="1:27">
      <c r="A212" s="54"/>
      <c r="B212" s="132"/>
      <c r="C212" s="80" t="s">
        <v>161</v>
      </c>
      <c r="D212" s="55">
        <v>0.284883047914437</v>
      </c>
      <c r="E212" s="55">
        <v>1.33566001486239</v>
      </c>
      <c r="F212" s="55">
        <v>2.0470088526652</v>
      </c>
      <c r="G212" s="59">
        <v>0.0302</v>
      </c>
      <c r="H212" s="61">
        <v>1000</v>
      </c>
      <c r="I212" s="59">
        <v>9.801</v>
      </c>
      <c r="J212" s="62">
        <v>4e-6</v>
      </c>
      <c r="K212" s="64">
        <v>0.00101</v>
      </c>
      <c r="L212" s="65"/>
      <c r="M212" s="66">
        <f t="shared" si="115"/>
        <v>0.0020470088526652</v>
      </c>
      <c r="N212" s="65">
        <f t="shared" si="116"/>
        <v>11.0021101286247</v>
      </c>
      <c r="O212" s="65">
        <f t="shared" si="117"/>
        <v>5.43954882457774</v>
      </c>
      <c r="P212" s="69">
        <f t="shared" si="107"/>
        <v>0.00952754564217157</v>
      </c>
      <c r="Q212" s="69">
        <f t="shared" si="108"/>
        <v>0.00287238760543081</v>
      </c>
      <c r="R212" s="65">
        <f t="shared" si="109"/>
        <v>0.0476673603936308</v>
      </c>
      <c r="S212" s="65">
        <f t="shared" si="110"/>
        <v>13.0366981454909</v>
      </c>
      <c r="T212" s="65">
        <f t="shared" si="111"/>
        <v>0.00365639825833644</v>
      </c>
      <c r="U212" s="65">
        <f t="shared" si="112"/>
        <v>13343.1182566719</v>
      </c>
      <c r="V212" s="69">
        <f t="shared" si="113"/>
        <v>3.57243033275192e-6</v>
      </c>
      <c r="W212" s="69">
        <f t="shared" si="114"/>
        <v>1.4579780660329e-6</v>
      </c>
      <c r="X212" s="4"/>
      <c r="Y212" s="6"/>
      <c r="Z212" s="81"/>
      <c r="AA212" s="81"/>
    </row>
    <row r="213" ht="25" customHeight="1" spans="1:27">
      <c r="A213" s="54"/>
      <c r="B213" s="132"/>
      <c r="C213" s="85" t="s">
        <v>162</v>
      </c>
      <c r="D213" s="55">
        <v>0.398547606977585</v>
      </c>
      <c r="E213" s="55">
        <v>-91.1795669489701</v>
      </c>
      <c r="F213" s="55">
        <v>2.21867157428169</v>
      </c>
      <c r="G213" s="59">
        <v>0.0302</v>
      </c>
      <c r="H213" s="61">
        <v>1000</v>
      </c>
      <c r="I213" s="59">
        <v>9.801</v>
      </c>
      <c r="J213" s="62">
        <v>4e-6</v>
      </c>
      <c r="K213" s="64">
        <v>0.00101</v>
      </c>
      <c r="L213" s="65"/>
      <c r="M213" s="66">
        <f t="shared" si="115"/>
        <v>0.00221867157428169</v>
      </c>
      <c r="N213" s="65">
        <f t="shared" si="116"/>
        <v>23.3386904345037</v>
      </c>
      <c r="O213" s="65">
        <f t="shared" si="117"/>
        <v>6.39012679972256</v>
      </c>
      <c r="P213" s="69">
        <f t="shared" si="107"/>
        <v>0.0133289100346808</v>
      </c>
      <c r="Q213" s="69">
        <f t="shared" si="108"/>
        <v>0.00275902982283109</v>
      </c>
      <c r="R213" s="65">
        <f t="shared" si="109"/>
        <v>0.0537874618214977</v>
      </c>
      <c r="S213" s="65">
        <f t="shared" si="110"/>
        <v>7.82504798172816</v>
      </c>
      <c r="T213" s="65">
        <f t="shared" si="111"/>
        <v>0.00687375488905549</v>
      </c>
      <c r="U213" s="65">
        <f t="shared" si="112"/>
        <v>8680.60576222528</v>
      </c>
      <c r="V213" s="69">
        <f t="shared" si="113"/>
        <v>6.19627976374188e-6</v>
      </c>
      <c r="W213" s="69">
        <f t="shared" si="114"/>
        <v>3.63327343004733e-6</v>
      </c>
      <c r="X213" s="4" t="s">
        <v>147</v>
      </c>
      <c r="Y213" s="6"/>
      <c r="Z213" s="81"/>
      <c r="AA213" s="81"/>
    </row>
    <row r="214" ht="25" customHeight="1" spans="1:27">
      <c r="A214" s="54" t="s">
        <v>103</v>
      </c>
      <c r="B214" s="132"/>
      <c r="C214" s="80" t="s">
        <v>163</v>
      </c>
      <c r="D214" s="55">
        <v>0.356139731595115</v>
      </c>
      <c r="E214" s="55">
        <v>3.18322739234805</v>
      </c>
      <c r="F214" s="55">
        <v>2.06572978599415</v>
      </c>
      <c r="G214" s="59">
        <v>0.0302</v>
      </c>
      <c r="H214" s="61">
        <v>1000</v>
      </c>
      <c r="I214" s="59">
        <v>9.801</v>
      </c>
      <c r="J214" s="62">
        <v>4e-6</v>
      </c>
      <c r="K214" s="64">
        <v>0.00101</v>
      </c>
      <c r="L214" s="65"/>
      <c r="M214" s="66">
        <f t="shared" si="115"/>
        <v>0.00206572978599415</v>
      </c>
      <c r="N214" s="65">
        <f t="shared" si="116"/>
        <v>17.3515157394854</v>
      </c>
      <c r="O214" s="65">
        <f t="shared" si="117"/>
        <v>5.53949865128933</v>
      </c>
      <c r="P214" s="69">
        <f t="shared" si="107"/>
        <v>0.0119106334076512</v>
      </c>
      <c r="Q214" s="69">
        <f t="shared" si="108"/>
        <v>0.00285934229686286</v>
      </c>
      <c r="R214" s="65">
        <f t="shared" si="109"/>
        <v>0.0483227664656162</v>
      </c>
      <c r="S214" s="65">
        <f t="shared" si="110"/>
        <v>8.49508153887271</v>
      </c>
      <c r="T214" s="65">
        <f t="shared" si="111"/>
        <v>0.00568832285417104</v>
      </c>
      <c r="U214" s="65">
        <f t="shared" si="112"/>
        <v>8774.27148464919</v>
      </c>
      <c r="V214" s="69">
        <f t="shared" si="113"/>
        <v>5.50732520074835e-6</v>
      </c>
      <c r="W214" s="69">
        <f t="shared" si="114"/>
        <v>2.34163932457212e-6</v>
      </c>
      <c r="X214" s="4"/>
      <c r="Y214" s="6"/>
      <c r="Z214" s="81"/>
      <c r="AA214" s="81"/>
    </row>
    <row r="215" ht="25" customHeight="1" spans="1:27">
      <c r="A215" s="54"/>
      <c r="B215" s="132"/>
      <c r="C215" s="85">
        <v>185</v>
      </c>
      <c r="D215" s="55">
        <v>0</v>
      </c>
      <c r="E215" s="55">
        <v>0</v>
      </c>
      <c r="F215" s="55">
        <v>0</v>
      </c>
      <c r="G215" s="59">
        <v>0.0302</v>
      </c>
      <c r="H215" s="61">
        <v>1000</v>
      </c>
      <c r="I215" s="59">
        <v>9.801</v>
      </c>
      <c r="J215" s="62">
        <v>4e-6</v>
      </c>
      <c r="K215" s="64">
        <v>0.00101</v>
      </c>
      <c r="L215" s="65"/>
      <c r="M215" s="66">
        <f t="shared" si="115"/>
        <v>0</v>
      </c>
      <c r="N215" s="65">
        <f t="shared" si="116"/>
        <v>0</v>
      </c>
      <c r="O215" s="65">
        <f t="shared" si="117"/>
        <v>0</v>
      </c>
      <c r="P215" s="69">
        <f t="shared" si="107"/>
        <v>0</v>
      </c>
      <c r="Q215" s="69" t="e">
        <f t="shared" si="108"/>
        <v>#DIV/0!</v>
      </c>
      <c r="R215" s="65">
        <f t="shared" si="109"/>
        <v>0</v>
      </c>
      <c r="S215" s="65" t="e">
        <f t="shared" si="110"/>
        <v>#DIV/0!</v>
      </c>
      <c r="T215" s="65" t="e">
        <f t="shared" si="111"/>
        <v>#DIV/0!</v>
      </c>
      <c r="U215" s="65" t="e">
        <f t="shared" si="112"/>
        <v>#DIV/0!</v>
      </c>
      <c r="V215" s="69" t="e">
        <f t="shared" si="113"/>
        <v>#DIV/0!</v>
      </c>
      <c r="W215" s="69">
        <f t="shared" si="114"/>
        <v>0</v>
      </c>
      <c r="X215" s="112" t="s">
        <v>164</v>
      </c>
      <c r="Y215" s="6"/>
      <c r="Z215" s="81"/>
      <c r="AA215" s="81"/>
    </row>
    <row r="216" ht="25" customHeight="1" spans="1:27">
      <c r="A216" s="54"/>
      <c r="B216" s="132"/>
      <c r="C216" s="85">
        <v>186</v>
      </c>
      <c r="D216" s="55">
        <v>0.326471137634583</v>
      </c>
      <c r="E216" s="55">
        <v>10.637605277877</v>
      </c>
      <c r="F216" s="55">
        <v>2.08421197263709</v>
      </c>
      <c r="G216" s="59">
        <v>0.0302</v>
      </c>
      <c r="H216" s="61">
        <v>1000</v>
      </c>
      <c r="I216" s="59">
        <v>9.801</v>
      </c>
      <c r="J216" s="62">
        <v>4e-6</v>
      </c>
      <c r="K216" s="64">
        <v>0.00101</v>
      </c>
      <c r="L216" s="65"/>
      <c r="M216" s="66">
        <f t="shared" si="115"/>
        <v>0.00208421197263709</v>
      </c>
      <c r="N216" s="65">
        <f t="shared" si="116"/>
        <v>14.711417622086</v>
      </c>
      <c r="O216" s="65">
        <f t="shared" si="117"/>
        <v>5.63906642370967</v>
      </c>
      <c r="P216" s="69">
        <f t="shared" si="107"/>
        <v>0.0109184055963884</v>
      </c>
      <c r="Q216" s="69">
        <f t="shared" si="108"/>
        <v>0.00284663615689331</v>
      </c>
      <c r="R216" s="65">
        <f t="shared" si="109"/>
        <v>0.0489727341683887</v>
      </c>
      <c r="S216" s="65">
        <f t="shared" si="110"/>
        <v>10.2909524130868</v>
      </c>
      <c r="T216" s="65">
        <f t="shared" si="111"/>
        <v>0.00475881455890429</v>
      </c>
      <c r="U216" s="65">
        <f t="shared" si="112"/>
        <v>10724.263114597</v>
      </c>
      <c r="V216" s="69">
        <f t="shared" si="113"/>
        <v>4.56653605427965e-6</v>
      </c>
      <c r="W216" s="69">
        <f t="shared" si="114"/>
        <v>2.02103510814259e-6</v>
      </c>
      <c r="X216" s="4" t="s">
        <v>147</v>
      </c>
      <c r="Y216" s="6"/>
      <c r="Z216" s="81"/>
      <c r="AA216" s="81"/>
    </row>
    <row r="217" ht="25" customHeight="1" spans="1:27">
      <c r="A217" s="54" t="s">
        <v>103</v>
      </c>
      <c r="B217" s="132"/>
      <c r="C217" s="85" t="s">
        <v>165</v>
      </c>
      <c r="D217" s="55">
        <v>0.31861468085336</v>
      </c>
      <c r="E217" s="55">
        <v>-28.4995393390295</v>
      </c>
      <c r="F217" s="55">
        <v>2.264373878104</v>
      </c>
      <c r="G217" s="59">
        <v>0.0302</v>
      </c>
      <c r="H217" s="61">
        <v>1000</v>
      </c>
      <c r="I217" s="59">
        <v>9.801</v>
      </c>
      <c r="J217" s="62">
        <v>4e-6</v>
      </c>
      <c r="K217" s="64">
        <v>0.00101</v>
      </c>
      <c r="L217" s="65"/>
      <c r="M217" s="66">
        <f t="shared" si="115"/>
        <v>0.002264373878104</v>
      </c>
      <c r="N217" s="65">
        <f t="shared" si="116"/>
        <v>15.2230878931005</v>
      </c>
      <c r="O217" s="65">
        <f t="shared" si="117"/>
        <v>6.65609803648866</v>
      </c>
      <c r="P217" s="69">
        <f t="shared" si="107"/>
        <v>0.0106556565450958</v>
      </c>
      <c r="Q217" s="69">
        <f t="shared" si="108"/>
        <v>0.00273104487554966</v>
      </c>
      <c r="R217" s="65">
        <f t="shared" si="109"/>
        <v>0.0554579390765337</v>
      </c>
      <c r="S217" s="65">
        <f t="shared" si="110"/>
        <v>12.7534031634055</v>
      </c>
      <c r="T217" s="65">
        <f t="shared" si="111"/>
        <v>0.00434848160651459</v>
      </c>
      <c r="U217" s="65">
        <f t="shared" si="112"/>
        <v>14439.2364900721</v>
      </c>
      <c r="V217" s="69">
        <f t="shared" si="113"/>
        <v>3.84078057829889e-6</v>
      </c>
      <c r="W217" s="69">
        <f t="shared" si="114"/>
        <v>2.46850827949133e-6</v>
      </c>
      <c r="X217" s="4"/>
      <c r="Y217" s="6"/>
      <c r="Z217" s="81"/>
      <c r="AA217" s="81"/>
    </row>
    <row r="218" ht="25" customHeight="1" spans="1:27">
      <c r="A218" s="54"/>
      <c r="B218" s="133"/>
      <c r="C218" s="54" t="s">
        <v>166</v>
      </c>
      <c r="D218" s="55">
        <v>0.178317692856581</v>
      </c>
      <c r="E218" s="55">
        <v>7.46552173416134</v>
      </c>
      <c r="F218" s="55">
        <v>2.2322346025075</v>
      </c>
      <c r="G218" s="59">
        <v>0.0302</v>
      </c>
      <c r="H218" s="61">
        <v>1000</v>
      </c>
      <c r="I218" s="59">
        <v>9.801</v>
      </c>
      <c r="J218" s="62">
        <v>4e-6</v>
      </c>
      <c r="K218" s="64">
        <v>0.00101</v>
      </c>
      <c r="L218" s="65"/>
      <c r="M218" s="66">
        <f t="shared" si="115"/>
        <v>0.0022322346025075</v>
      </c>
      <c r="N218" s="65">
        <f t="shared" si="116"/>
        <v>4.70058338927306</v>
      </c>
      <c r="O218" s="65">
        <f t="shared" si="117"/>
        <v>6.46849295543211</v>
      </c>
      <c r="P218" s="69">
        <f t="shared" si="107"/>
        <v>0.00596360495977307</v>
      </c>
      <c r="Q218" s="69">
        <f t="shared" si="108"/>
        <v>0.00275063513735829</v>
      </c>
      <c r="R218" s="65">
        <f t="shared" si="109"/>
        <v>0.0542814294632269</v>
      </c>
      <c r="S218" s="65">
        <f t="shared" si="110"/>
        <v>39.5687363935535</v>
      </c>
      <c r="T218" s="65">
        <f t="shared" si="111"/>
        <v>0.00137182620448982</v>
      </c>
      <c r="U218" s="65">
        <f t="shared" si="112"/>
        <v>44163.351277594</v>
      </c>
      <c r="V218" s="69">
        <f t="shared" si="113"/>
        <v>1.22910576061211e-6</v>
      </c>
      <c r="W218" s="69">
        <f t="shared" si="114"/>
        <v>7.40742042010298e-7</v>
      </c>
      <c r="X218" s="4"/>
      <c r="Y218" s="6"/>
      <c r="Z218" s="81"/>
      <c r="AA218" s="81"/>
    </row>
  </sheetData>
  <mergeCells count="234">
    <mergeCell ref="A1:W1"/>
    <mergeCell ref="X3:Y3"/>
    <mergeCell ref="X4:Y4"/>
    <mergeCell ref="X5:Y5"/>
    <mergeCell ref="X6:Y6"/>
    <mergeCell ref="X7:Y7"/>
    <mergeCell ref="X8:Y8"/>
    <mergeCell ref="X9:Y9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X137:Y137"/>
    <mergeCell ref="X138:Y138"/>
    <mergeCell ref="X139:Y139"/>
    <mergeCell ref="X140:Y140"/>
    <mergeCell ref="X141:Y141"/>
    <mergeCell ref="X142:Y142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A3:A142"/>
    <mergeCell ref="A143:A146"/>
    <mergeCell ref="A147:A149"/>
    <mergeCell ref="A150:A152"/>
    <mergeCell ref="A153:A156"/>
    <mergeCell ref="A157:A159"/>
    <mergeCell ref="A160:A162"/>
    <mergeCell ref="A163:A165"/>
    <mergeCell ref="A166:A173"/>
    <mergeCell ref="A174:A183"/>
    <mergeCell ref="A184:A186"/>
    <mergeCell ref="A187:A195"/>
    <mergeCell ref="A196:A198"/>
    <mergeCell ref="A199:A201"/>
    <mergeCell ref="A202:A210"/>
    <mergeCell ref="A211:A213"/>
    <mergeCell ref="A214:A216"/>
    <mergeCell ref="A217:A218"/>
    <mergeCell ref="B3:B110"/>
    <mergeCell ref="B111:B119"/>
    <mergeCell ref="B120:B142"/>
    <mergeCell ref="B143:B174"/>
    <mergeCell ref="B175:B196"/>
    <mergeCell ref="B197:B218"/>
    <mergeCell ref="X1:Y2"/>
    <mergeCell ref="X154:Y158"/>
    <mergeCell ref="X143:Y144"/>
    <mergeCell ref="X159:Y163"/>
    <mergeCell ref="Z145:AA218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3" progId="Equation.DSMT4" r:id="rId3">
          <objectPr defaultSize="0" r:id="rId4">
            <anchor moveWithCells="1">
              <from>
                <xdr:col>13</xdr:col>
                <xdr:colOff>74295</xdr:colOff>
                <xdr:row>2</xdr:row>
                <xdr:rowOff>57785</xdr:rowOff>
              </from>
              <to>
                <xdr:col>13</xdr:col>
                <xdr:colOff>1035050</xdr:colOff>
                <xdr:row>3</xdr:row>
                <xdr:rowOff>288925</xdr:rowOff>
              </to>
            </anchor>
          </objectPr>
        </oleObject>
      </mc:Choice>
      <mc:Fallback>
        <oleObject shapeId="3073" progId="Equation.DSMT4" r:id="rId3"/>
      </mc:Fallback>
    </mc:AlternateContent>
    <mc:AlternateContent xmlns:mc="http://schemas.openxmlformats.org/markup-compatibility/2006">
      <mc:Choice Requires="x14">
        <oleObject shapeId="3074" progId="Equation.DSMT4" r:id="rId5">
          <objectPr defaultSize="0" r:id="rId6">
            <anchor moveWithCells="1">
              <from>
                <xdr:col>14</xdr:col>
                <xdr:colOff>92075</xdr:colOff>
                <xdr:row>2</xdr:row>
                <xdr:rowOff>75565</xdr:rowOff>
              </from>
              <to>
                <xdr:col>14</xdr:col>
                <xdr:colOff>1049655</xdr:colOff>
                <xdr:row>4</xdr:row>
                <xdr:rowOff>2540</xdr:rowOff>
              </to>
            </anchor>
          </objectPr>
        </oleObject>
      </mc:Choice>
      <mc:Fallback>
        <oleObject shapeId="3074" progId="Equation.DSMT4" r:id="rId5"/>
      </mc:Fallback>
    </mc:AlternateContent>
    <mc:AlternateContent xmlns:mc="http://schemas.openxmlformats.org/markup-compatibility/2006">
      <mc:Choice Requires="x14">
        <oleObject shapeId="3075" progId="Equation.DSMT4" r:id="rId7">
          <objectPr defaultSize="0" r:id="rId8">
            <anchor moveWithCells="1">
              <from>
                <xdr:col>15</xdr:col>
                <xdr:colOff>97790</xdr:colOff>
                <xdr:row>2</xdr:row>
                <xdr:rowOff>59690</xdr:rowOff>
              </from>
              <to>
                <xdr:col>15</xdr:col>
                <xdr:colOff>1005205</xdr:colOff>
                <xdr:row>4</xdr:row>
                <xdr:rowOff>40005</xdr:rowOff>
              </to>
            </anchor>
          </objectPr>
        </oleObject>
      </mc:Choice>
      <mc:Fallback>
        <oleObject shapeId="3075" progId="Equation.DSMT4" r:id="rId7"/>
      </mc:Fallback>
    </mc:AlternateContent>
    <mc:AlternateContent xmlns:mc="http://schemas.openxmlformats.org/markup-compatibility/2006">
      <mc:Choice Requires="x14">
        <oleObject shapeId="3076" progId="Equation.DSMT4" r:id="rId9">
          <objectPr defaultSize="0" r:id="rId10">
            <anchor moveWithCells="1">
              <from>
                <xdr:col>16</xdr:col>
                <xdr:colOff>36830</xdr:colOff>
                <xdr:row>2</xdr:row>
                <xdr:rowOff>85090</xdr:rowOff>
              </from>
              <to>
                <xdr:col>16</xdr:col>
                <xdr:colOff>1033145</xdr:colOff>
                <xdr:row>4</xdr:row>
                <xdr:rowOff>7620</xdr:rowOff>
              </to>
            </anchor>
          </objectPr>
        </oleObject>
      </mc:Choice>
      <mc:Fallback>
        <oleObject shapeId="3076" progId="Equation.DSMT4" r:id="rId9"/>
      </mc:Fallback>
    </mc:AlternateContent>
    <mc:AlternateContent xmlns:mc="http://schemas.openxmlformats.org/markup-compatibility/2006">
      <mc:Choice Requires="x14">
        <oleObject shapeId="3077" progId="Equation.DSMT4" r:id="rId11">
          <objectPr defaultSize="0" r:id="rId12">
            <anchor moveWithCells="1">
              <from>
                <xdr:col>17</xdr:col>
                <xdr:colOff>93980</xdr:colOff>
                <xdr:row>2</xdr:row>
                <xdr:rowOff>29845</xdr:rowOff>
              </from>
              <to>
                <xdr:col>17</xdr:col>
                <xdr:colOff>1088390</xdr:colOff>
                <xdr:row>3</xdr:row>
                <xdr:rowOff>301625</xdr:rowOff>
              </to>
            </anchor>
          </objectPr>
        </oleObject>
      </mc:Choice>
      <mc:Fallback>
        <oleObject shapeId="3077" progId="Equation.DSMT4" r:id="rId11"/>
      </mc:Fallback>
    </mc:AlternateContent>
    <mc:AlternateContent xmlns:mc="http://schemas.openxmlformats.org/markup-compatibility/2006">
      <mc:Choice Requires="x14">
        <oleObject shapeId="3078" progId="Equation.DSMT4" r:id="rId13">
          <objectPr defaultSize="0" r:id="rId14">
            <anchor moveWithCells="1">
              <from>
                <xdr:col>18</xdr:col>
                <xdr:colOff>53975</xdr:colOff>
                <xdr:row>1</xdr:row>
                <xdr:rowOff>631190</xdr:rowOff>
              </from>
              <to>
                <xdr:col>18</xdr:col>
                <xdr:colOff>1111885</xdr:colOff>
                <xdr:row>3</xdr:row>
                <xdr:rowOff>278130</xdr:rowOff>
              </to>
            </anchor>
          </objectPr>
        </oleObject>
      </mc:Choice>
      <mc:Fallback>
        <oleObject shapeId="3078" progId="Equation.DSMT4" r:id="rId13"/>
      </mc:Fallback>
    </mc:AlternateContent>
    <mc:AlternateContent xmlns:mc="http://schemas.openxmlformats.org/markup-compatibility/2006">
      <mc:Choice Requires="x14">
        <oleObject shapeId="3079" progId="Equation.DSMT4" r:id="rId15">
          <objectPr defaultSize="0" r:id="rId16">
            <anchor moveWithCells="1">
              <from>
                <xdr:col>27</xdr:col>
                <xdr:colOff>540385</xdr:colOff>
                <xdr:row>6</xdr:row>
                <xdr:rowOff>160655</xdr:rowOff>
              </from>
              <to>
                <xdr:col>31</xdr:col>
                <xdr:colOff>248920</xdr:colOff>
                <xdr:row>7</xdr:row>
                <xdr:rowOff>288290</xdr:rowOff>
              </to>
            </anchor>
          </objectPr>
        </oleObject>
      </mc:Choice>
      <mc:Fallback>
        <oleObject shapeId="3079" progId="Equation.DSMT4" r:id="rId15"/>
      </mc:Fallback>
    </mc:AlternateContent>
    <mc:AlternateContent xmlns:mc="http://schemas.openxmlformats.org/markup-compatibility/2006">
      <mc:Choice Requires="x14">
        <oleObject shapeId="3080" progId="Equation.DSMT4" r:id="rId17">
          <objectPr defaultSize="0" r:id="rId18">
            <anchor moveWithCells="1">
              <from>
                <xdr:col>30</xdr:col>
                <xdr:colOff>150495</xdr:colOff>
                <xdr:row>27</xdr:row>
                <xdr:rowOff>96520</xdr:rowOff>
              </from>
              <to>
                <xdr:col>34</xdr:col>
                <xdr:colOff>156845</xdr:colOff>
                <xdr:row>28</xdr:row>
                <xdr:rowOff>307975</xdr:rowOff>
              </to>
            </anchor>
          </objectPr>
        </oleObject>
      </mc:Choice>
      <mc:Fallback>
        <oleObject shapeId="3080" progId="Equation.DSMT4" r:id="rId17"/>
      </mc:Fallback>
    </mc:AlternateContent>
    <mc:AlternateContent xmlns:mc="http://schemas.openxmlformats.org/markup-compatibility/2006">
      <mc:Choice Requires="x14">
        <oleObject shapeId="3081" progId="Equation.DSMT4" r:id="rId19">
          <objectPr defaultSize="0" r:id="rId20">
            <anchor moveWithCells="1">
              <from>
                <xdr:col>50</xdr:col>
                <xdr:colOff>318135</xdr:colOff>
                <xdr:row>12</xdr:row>
                <xdr:rowOff>59690</xdr:rowOff>
              </from>
              <to>
                <xdr:col>56</xdr:col>
                <xdr:colOff>71120</xdr:colOff>
                <xdr:row>15</xdr:row>
                <xdr:rowOff>257810</xdr:rowOff>
              </to>
            </anchor>
          </objectPr>
        </oleObject>
      </mc:Choice>
      <mc:Fallback>
        <oleObject shapeId="3081" progId="Equation.DSMT4" r:id="rId19"/>
      </mc:Fallback>
    </mc:AlternateContent>
    <mc:AlternateContent xmlns:mc="http://schemas.openxmlformats.org/markup-compatibility/2006">
      <mc:Choice Requires="x14">
        <oleObject shapeId="3082" progId="Equation.DSMT4" r:id="rId21">
          <objectPr defaultSize="0" r:id="rId22">
            <anchor moveWithCells="1">
              <from>
                <xdr:col>20</xdr:col>
                <xdr:colOff>78105</xdr:colOff>
                <xdr:row>2</xdr:row>
                <xdr:rowOff>58420</xdr:rowOff>
              </from>
              <to>
                <xdr:col>20</xdr:col>
                <xdr:colOff>1026160</xdr:colOff>
                <xdr:row>3</xdr:row>
                <xdr:rowOff>278130</xdr:rowOff>
              </to>
            </anchor>
          </objectPr>
        </oleObject>
      </mc:Choice>
      <mc:Fallback>
        <oleObject shapeId="3082" progId="Equation.DSMT4" r:id="rId21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71"/>
  <sheetViews>
    <sheetView zoomScale="55" zoomScaleNormal="55" workbookViewId="0">
      <selection activeCell="AG3" sqref="AG3"/>
    </sheetView>
  </sheetViews>
  <sheetFormatPr defaultColWidth="9" defaultRowHeight="13.8"/>
  <cols>
    <col min="1" max="7" width="16.7777777777778" style="22" customWidth="1"/>
    <col min="8" max="26" width="16.7777777777778" style="22" hidden="1" customWidth="1"/>
    <col min="27" max="30" width="16.7777777777778" style="22" customWidth="1"/>
    <col min="31" max="34" width="16.7777777777778" style="90" customWidth="1"/>
    <col min="35" max="35" width="16.7777777777778" style="22" customWidth="1"/>
    <col min="36" max="36" width="25.7777777777778" style="22" customWidth="1"/>
    <col min="37" max="41" width="16.7777777777778" style="22" customWidth="1"/>
    <col min="42" max="45" width="20.7777777777778" style="22" customWidth="1"/>
    <col min="46" max="47" width="20.7777777777778" style="24" customWidth="1"/>
    <col min="48" max="54" width="16.7777777777778" style="22" customWidth="1"/>
    <col min="55" max="58" width="17.0648148148148" style="22" customWidth="1"/>
    <col min="59" max="59" width="9" style="22"/>
    <col min="60" max="60" width="10" style="22"/>
    <col min="61" max="61" width="10.6666666666667" style="22"/>
    <col min="62" max="16384" width="9" style="22"/>
  </cols>
  <sheetData>
    <row r="1" ht="51" customHeight="1" spans="1:58">
      <c r="A1" s="26" t="s">
        <v>167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91" t="s">
        <v>168</v>
      </c>
      <c r="AF1" s="91"/>
      <c r="AG1" s="91"/>
      <c r="AH1" s="91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8"/>
      <c r="AU1" s="28"/>
      <c r="AV1" s="26"/>
      <c r="AW1" s="26"/>
      <c r="AX1" s="26"/>
      <c r="AY1" s="26"/>
      <c r="AZ1" s="26"/>
      <c r="BA1" s="29"/>
      <c r="BB1" s="29"/>
      <c r="BC1" s="29"/>
      <c r="BD1" s="29"/>
      <c r="BE1" s="29"/>
      <c r="BF1" s="92"/>
    </row>
    <row r="2" ht="50" customHeight="1" spans="1:58">
      <c r="A2" s="31" t="s">
        <v>5</v>
      </c>
      <c r="B2" s="93" t="s">
        <v>169</v>
      </c>
      <c r="C2" s="32" t="s">
        <v>66</v>
      </c>
      <c r="D2" s="32" t="s">
        <v>170</v>
      </c>
      <c r="E2" s="32" t="s">
        <v>171</v>
      </c>
      <c r="F2" s="32" t="s">
        <v>11</v>
      </c>
      <c r="G2" s="32" t="s">
        <v>172</v>
      </c>
      <c r="H2" s="33" t="s">
        <v>173</v>
      </c>
      <c r="I2" s="33" t="s">
        <v>174</v>
      </c>
      <c r="J2" s="33" t="s">
        <v>175</v>
      </c>
      <c r="K2" s="33" t="s">
        <v>176</v>
      </c>
      <c r="L2" s="33" t="s">
        <v>177</v>
      </c>
      <c r="M2" s="33" t="s">
        <v>178</v>
      </c>
      <c r="N2" s="33" t="s">
        <v>179</v>
      </c>
      <c r="O2" s="33" t="s">
        <v>180</v>
      </c>
      <c r="P2" s="34" t="s">
        <v>68</v>
      </c>
      <c r="Q2" s="35" t="s">
        <v>181</v>
      </c>
      <c r="R2" s="34" t="s">
        <v>69</v>
      </c>
      <c r="S2" s="34" t="s">
        <v>182</v>
      </c>
      <c r="T2" s="34" t="s">
        <v>70</v>
      </c>
      <c r="U2" s="36" t="s">
        <v>97</v>
      </c>
      <c r="V2" s="37" t="s">
        <v>183</v>
      </c>
      <c r="W2" s="37" t="s">
        <v>184</v>
      </c>
      <c r="X2" s="36" t="s">
        <v>185</v>
      </c>
      <c r="Y2" s="36" t="s">
        <v>72</v>
      </c>
      <c r="Z2" s="38" t="s">
        <v>99</v>
      </c>
      <c r="AA2" s="39" t="s">
        <v>67</v>
      </c>
      <c r="AB2" s="39" t="s">
        <v>186</v>
      </c>
      <c r="AC2" s="40" t="s">
        <v>6</v>
      </c>
      <c r="AD2" s="40" t="s">
        <v>48</v>
      </c>
      <c r="AE2" s="94" t="s">
        <v>187</v>
      </c>
      <c r="AF2" s="94" t="s">
        <v>188</v>
      </c>
      <c r="AG2" s="94" t="s">
        <v>189</v>
      </c>
      <c r="AH2" s="48" t="s">
        <v>190</v>
      </c>
      <c r="AI2" s="35"/>
      <c r="AJ2" s="35"/>
      <c r="AK2" s="40" t="s">
        <v>191</v>
      </c>
      <c r="AL2" s="40" t="s">
        <v>48</v>
      </c>
      <c r="AM2" s="39" t="s">
        <v>74</v>
      </c>
      <c r="AN2" s="39" t="s">
        <v>75</v>
      </c>
      <c r="AO2" s="49" t="s">
        <v>100</v>
      </c>
      <c r="AP2" s="35" t="s">
        <v>192</v>
      </c>
      <c r="AQ2" s="50" t="s">
        <v>193</v>
      </c>
      <c r="AR2" s="35" t="s">
        <v>194</v>
      </c>
      <c r="AS2" s="35" t="s">
        <v>195</v>
      </c>
      <c r="AT2" s="51"/>
      <c r="AU2" s="51"/>
      <c r="AV2" s="49" t="s">
        <v>196</v>
      </c>
      <c r="AW2" s="39" t="s">
        <v>78</v>
      </c>
      <c r="AX2" s="40" t="s">
        <v>79</v>
      </c>
      <c r="AY2" s="52" t="s">
        <v>101</v>
      </c>
      <c r="AZ2" s="40" t="s">
        <v>102</v>
      </c>
      <c r="BA2" s="39" t="s">
        <v>80</v>
      </c>
      <c r="BB2" s="40" t="s">
        <v>197</v>
      </c>
      <c r="BC2" s="40"/>
      <c r="BD2" s="40"/>
      <c r="BE2" s="40"/>
      <c r="BF2" s="95" t="s">
        <v>94</v>
      </c>
    </row>
    <row r="3" ht="25" customHeight="1" spans="1:58">
      <c r="A3" s="54">
        <v>1</v>
      </c>
      <c r="B3" s="54" t="s">
        <v>198</v>
      </c>
      <c r="C3" s="55">
        <v>0.288000638960155</v>
      </c>
      <c r="D3" s="55">
        <v>-16.807789365467</v>
      </c>
      <c r="E3" s="55">
        <v>9.86828686451663</v>
      </c>
      <c r="F3" s="55">
        <v>1.56320345330512</v>
      </c>
      <c r="G3" s="56">
        <v>1</v>
      </c>
      <c r="H3" s="57">
        <f>0.001/11.95261</f>
        <v>8.36637353682585e-5</v>
      </c>
      <c r="I3" s="57">
        <f>1/3000</f>
        <v>0.000333333333333333</v>
      </c>
      <c r="J3" s="58">
        <f t="shared" ref="J3:J66" si="0">C3*SQRT((H3/AA3)^2+(I3/AO3)^2)</f>
        <v>0.0176197005831995</v>
      </c>
      <c r="K3" s="58"/>
      <c r="L3" s="58">
        <f t="shared" ref="L3:L66" si="1">AC3*SQRT((H3/AA3)^2+(2*J3/C3)^2)</f>
        <v>1.14676858774404</v>
      </c>
      <c r="M3" s="57">
        <f t="shared" ref="M3:M66" si="2">AO3*1.5*H3/AA3</f>
        <v>0.000902885734492174</v>
      </c>
      <c r="N3" s="57">
        <f t="shared" ref="N3:N66" si="3">AW3*SQRT((2*H3/AA3)^2+(2*J3/C3)^2)</f>
        <v>0.00553784170159268</v>
      </c>
      <c r="O3" s="57">
        <f t="shared" ref="O3:O66" si="4">AX3*SQRT((M3/AO3)^2+(N3/AW3)^2)</f>
        <v>0.0598623802354181</v>
      </c>
      <c r="P3" s="59">
        <v>0.0302</v>
      </c>
      <c r="Q3" s="60">
        <f>0.0252+0.005*G3</f>
        <v>0.0302</v>
      </c>
      <c r="R3" s="61">
        <v>1000</v>
      </c>
      <c r="S3" s="59">
        <v>1.1616</v>
      </c>
      <c r="T3" s="59">
        <v>9.801</v>
      </c>
      <c r="U3" s="62">
        <v>4e-6</v>
      </c>
      <c r="V3" s="63"/>
      <c r="W3" s="63">
        <f>0.000002+0.000002*G3</f>
        <v>4e-6</v>
      </c>
      <c r="X3" s="64">
        <v>0.001147</v>
      </c>
      <c r="Y3" s="64">
        <v>1.85e-5</v>
      </c>
      <c r="Z3" s="65">
        <f t="shared" ref="Z3:Z47" si="5">AD3*(1+D3/9.801)-7.5*AA3+18*AM3</f>
        <v>-2.0826260768444</v>
      </c>
      <c r="AA3" s="66">
        <f t="shared" ref="AA3:AA66" si="6">F3/1000</f>
        <v>0.00156320345330512</v>
      </c>
      <c r="AB3" s="65">
        <f>(C3^2-0.2^2)/(2*9.81)*1000</f>
        <v>2.18880571057378</v>
      </c>
      <c r="AC3" s="65">
        <f>R3*2*AA3*C3^2/P3</f>
        <v>8.58668361288856</v>
      </c>
      <c r="AD3" s="65">
        <f>R3*T3*(AA3*2)^2/P3</f>
        <v>3.17215535920555</v>
      </c>
      <c r="AE3" s="96">
        <f t="shared" ref="AE3:AE66" si="7">AC3/AD3</f>
        <v>2.7068925196145</v>
      </c>
      <c r="AF3" s="96">
        <f t="shared" ref="AF3:AF66" si="8">ATAN((1+1/AE3)/SQRT(1-1/(AE3^2)))</f>
        <v>0.974594488438493</v>
      </c>
      <c r="AG3" s="96">
        <f>2*AE3*(PI()-2*AF3)/SQRT(AE3^2-1)</f>
        <v>2.56635203386862</v>
      </c>
      <c r="AH3" s="96"/>
      <c r="AI3" s="63">
        <f>R3*C3*U3/Y3</f>
        <v>62.2704084238173</v>
      </c>
      <c r="AJ3" s="68">
        <f>((E3/9.801)-1)*AD3*(AI3^2)/64</f>
        <v>1.31946479013818</v>
      </c>
      <c r="AK3" s="69">
        <f t="shared" ref="AK3:AK66" si="9">G3*1*10^5/(0.5*R3*C3^2)</f>
        <v>2411.25473281122</v>
      </c>
      <c r="AL3" s="70" t="s">
        <v>199</v>
      </c>
      <c r="AM3" s="69">
        <f t="shared" ref="AM3:AM66" si="10">X3*C3/P3</f>
        <v>0.0109383024134867</v>
      </c>
      <c r="AN3" s="69">
        <f>Y3/SQRT(R3*P3*AA3)</f>
        <v>8.5145265498838e-5</v>
      </c>
      <c r="AO3" s="65">
        <f>SQRT(R3*(AA3^3)/P3)</f>
        <v>0.0112465621405789</v>
      </c>
      <c r="AP3" s="68">
        <v>17.003</v>
      </c>
      <c r="AQ3" s="68">
        <f>AP3/(1000*AO3)</f>
        <v>1.51183977712187</v>
      </c>
      <c r="AR3" s="68">
        <f>1.237*AO3*1000</f>
        <v>13.911997367896</v>
      </c>
      <c r="AS3" s="68">
        <f>1.75*1000*AO3</f>
        <v>19.681483746013</v>
      </c>
      <c r="AT3" s="71">
        <f>(X3/Y3)*4*AN3</f>
        <v>0.0211160258437118</v>
      </c>
      <c r="AU3" s="71">
        <f>(X3/Y3)*(AN3/4)</f>
        <v>0.00131975161523199</v>
      </c>
      <c r="AV3" s="69">
        <f>SQRT(X3^2/(R3*T3*P3))</f>
        <v>6.66691244730057e-5</v>
      </c>
      <c r="AW3" s="65">
        <f>Y3*(AA3)^2/(R3*(C3*W3)^2)</f>
        <v>0.0340640165219446</v>
      </c>
      <c r="AX3" s="65">
        <f t="shared" ref="AX3:AX66" si="11">AO3/AW3</f>
        <v>0.330159602093124</v>
      </c>
      <c r="AY3" s="65">
        <f t="shared" ref="AY3:AY66" si="12">Y3*(AA3)^3/(R3*(C3)^2*(U3)^3)</f>
        <v>13.3122470651366</v>
      </c>
      <c r="AZ3" s="69">
        <f t="shared" ref="AZ3:AZ66" si="13">AO3/AY3</f>
        <v>0.000844828231143066</v>
      </c>
      <c r="BA3" s="69">
        <f t="shared" ref="BA3:BA66" si="14">0.5*R3*(4/3)*PI()*AA3^3*C3^2</f>
        <v>6.63578083128233e-7</v>
      </c>
      <c r="BB3" s="72">
        <f>AN3*(AA3)^2/(U3)^2</f>
        <v>13.0038374750443</v>
      </c>
      <c r="BC3" s="72">
        <f>((AA3*2)^2)*(AN3)/(SQRT(2)*AC3*((U3)^2))</f>
        <v>4.28342399678021</v>
      </c>
      <c r="BD3" s="72">
        <f>(15-2*AD3)/(AC3)</f>
        <v>1.00803635860028</v>
      </c>
      <c r="BE3" s="72">
        <f>AC3+2*AD3</f>
        <v>14.9309943312997</v>
      </c>
      <c r="BF3" s="1"/>
    </row>
    <row r="4" ht="25" customHeight="1" spans="1:58">
      <c r="A4" s="54">
        <v>2</v>
      </c>
      <c r="B4" s="54" t="s">
        <v>198</v>
      </c>
      <c r="C4" s="55">
        <v>0.305701160961114</v>
      </c>
      <c r="D4" s="55">
        <v>-19.5766426469007</v>
      </c>
      <c r="E4" s="55">
        <v>10.2936321473971</v>
      </c>
      <c r="F4" s="55">
        <v>1.54510775179051</v>
      </c>
      <c r="G4" s="56">
        <v>1</v>
      </c>
      <c r="H4" s="57">
        <f t="shared" ref="H4:H67" si="15">0.001/11.95261</f>
        <v>8.36637353682585e-5</v>
      </c>
      <c r="I4" s="57">
        <f t="shared" ref="I4:I67" si="16">1/3000</f>
        <v>0.000333333333333333</v>
      </c>
      <c r="J4" s="58">
        <f t="shared" si="0"/>
        <v>0.0189476321624208</v>
      </c>
      <c r="K4" s="58"/>
      <c r="L4" s="58">
        <f t="shared" si="1"/>
        <v>1.29355082352982</v>
      </c>
      <c r="M4" s="57">
        <f t="shared" si="2"/>
        <v>0.000897644602977547</v>
      </c>
      <c r="N4" s="57">
        <f t="shared" si="3"/>
        <v>0.00486199354173104</v>
      </c>
      <c r="O4" s="57">
        <f t="shared" si="4"/>
        <v>0.0686780587494534</v>
      </c>
      <c r="P4" s="59">
        <v>0.0302</v>
      </c>
      <c r="Q4" s="60">
        <f t="shared" ref="Q4:Q67" si="17">0.0252+0.005*G4</f>
        <v>0.0302</v>
      </c>
      <c r="R4" s="61">
        <v>1000</v>
      </c>
      <c r="S4" s="59">
        <v>1.1616</v>
      </c>
      <c r="T4" s="59">
        <v>9.801</v>
      </c>
      <c r="U4" s="62">
        <v>4e-6</v>
      </c>
      <c r="V4" s="63"/>
      <c r="W4" s="63">
        <f t="shared" ref="W4:W67" si="18">0.000002+0.000002*G4</f>
        <v>4e-6</v>
      </c>
      <c r="X4" s="64">
        <v>0.001147</v>
      </c>
      <c r="Y4" s="64">
        <v>1.85e-5</v>
      </c>
      <c r="Z4" s="65">
        <f t="shared" si="5"/>
        <v>-2.89371834658645</v>
      </c>
      <c r="AA4" s="66">
        <f t="shared" si="6"/>
        <v>0.00154510775179051</v>
      </c>
      <c r="AB4" s="65">
        <f t="shared" ref="AB4:AB67" si="19">(C4^2-0.2^2)/(2*9.81)*1000</f>
        <v>2.72442404755214</v>
      </c>
      <c r="AC4" s="65">
        <f t="shared" ref="AC4:AC67" si="20">R4*2*AA4*C4^2/P4</f>
        <v>9.56260022918224</v>
      </c>
      <c r="AD4" s="65">
        <f t="shared" ref="AD4:AD67" si="21">R4*T4*(AA4*2)^2/P4</f>
        <v>3.099138465095</v>
      </c>
      <c r="AE4" s="96">
        <f t="shared" si="7"/>
        <v>3.08556727519082</v>
      </c>
      <c r="AF4" s="96">
        <f t="shared" si="8"/>
        <v>0.950422732297765</v>
      </c>
      <c r="AG4" s="96">
        <f t="shared" ref="AG4:AG35" si="22">2*AE4*(PI()-2*AF4)/SQRT(AE4^2-1)</f>
        <v>2.6230709063848</v>
      </c>
      <c r="AH4" s="96"/>
      <c r="AI4" s="63">
        <f t="shared" ref="AI4:AI67" si="23">R4*C4*U4/Y4</f>
        <v>66.0975483159165</v>
      </c>
      <c r="AJ4" s="68">
        <f t="shared" ref="AJ4:AJ23" si="24">((E4/9.801)-1)*AD4*(AI4^2)/64</f>
        <v>10.6336917796373</v>
      </c>
      <c r="AK4" s="69">
        <f t="shared" si="9"/>
        <v>2140.10863619714</v>
      </c>
      <c r="AL4" s="69" t="s">
        <v>199</v>
      </c>
      <c r="AM4" s="69">
        <f t="shared" si="10"/>
        <v>0.0116105705835231</v>
      </c>
      <c r="AN4" s="69">
        <f t="shared" ref="AN4:AN67" si="25">Y4/SQRT(R4*P4*AA4)</f>
        <v>8.56424082798974e-5</v>
      </c>
      <c r="AO4" s="65">
        <f t="shared" ref="AO3:AO67" si="26">SQRT(R4*(AA4^3)/P4)</f>
        <v>0.0110518424604449</v>
      </c>
      <c r="AP4" s="68">
        <v>16.835</v>
      </c>
      <c r="AQ4" s="68">
        <f t="shared" ref="AQ4:AQ23" si="27">AP4/(1000*AO4)</f>
        <v>1.52327542310282</v>
      </c>
      <c r="AR4" s="68">
        <f t="shared" ref="AR4:AR67" si="28">1.237*AO4*1000</f>
        <v>13.6711291235704</v>
      </c>
      <c r="AS4" s="68">
        <f t="shared" ref="AS4:AS67" si="29">1.75*1000*AO4</f>
        <v>19.3407243057786</v>
      </c>
      <c r="AT4" s="71">
        <f t="shared" ref="AT4:AT67" si="30">X4/Y4*4*AN4</f>
        <v>0.0212393172534146</v>
      </c>
      <c r="AU4" s="71"/>
      <c r="AV4" s="75" t="s">
        <v>200</v>
      </c>
      <c r="AW4" s="65">
        <f t="shared" ref="AW3:AW67" si="31">Y4*(AA4)^2/(R4*(C4*U4)^2)</f>
        <v>0.029537593706186</v>
      </c>
      <c r="AX4" s="65">
        <f t="shared" si="11"/>
        <v>0.374161909408699</v>
      </c>
      <c r="AY4" s="65">
        <f t="shared" si="12"/>
        <v>11.4096912511666</v>
      </c>
      <c r="AZ4" s="69">
        <f t="shared" si="13"/>
        <v>0.000968636417687015</v>
      </c>
      <c r="BA4" s="69">
        <f t="shared" si="14"/>
        <v>7.21986544647644e-7</v>
      </c>
      <c r="BB4" s="72">
        <f t="shared" ref="BB4:BB67" si="32">AN4*(AA4)^2/(U4)^2</f>
        <v>12.7786928448895</v>
      </c>
      <c r="BC4" s="72">
        <f>((AA4*2)^2)*(AN4)/(SQRT(2)*AC4*((U4)^2))</f>
        <v>3.77968341194331</v>
      </c>
      <c r="BD4" s="72">
        <f t="shared" ref="BD4:BD67" si="33">(15-2*AD4)/(AC4)</f>
        <v>0.920431980723164</v>
      </c>
      <c r="BE4" s="72">
        <f t="shared" ref="BE4:BE67" si="34">AC4+2*AD4</f>
        <v>15.7608771593722</v>
      </c>
      <c r="BF4" s="1"/>
    </row>
    <row r="5" ht="25" customHeight="1" spans="1:58">
      <c r="A5" s="54">
        <v>3</v>
      </c>
      <c r="B5" s="54" t="s">
        <v>198</v>
      </c>
      <c r="C5" s="55">
        <v>0.403494651772477</v>
      </c>
      <c r="D5" s="55">
        <v>-18.9839661928814</v>
      </c>
      <c r="E5" s="55">
        <v>10.5727604588363</v>
      </c>
      <c r="F5" s="55">
        <v>1.6483625286319</v>
      </c>
      <c r="G5" s="56">
        <v>1</v>
      </c>
      <c r="H5" s="57">
        <f t="shared" si="15"/>
        <v>8.36637353682585e-5</v>
      </c>
      <c r="I5" s="57">
        <f t="shared" si="16"/>
        <v>0.000333333333333333</v>
      </c>
      <c r="J5" s="58">
        <f t="shared" si="0"/>
        <v>0.0232678684268131</v>
      </c>
      <c r="K5" s="58"/>
      <c r="L5" s="58">
        <f t="shared" si="1"/>
        <v>2.23945859892536</v>
      </c>
      <c r="M5" s="57">
        <f t="shared" si="2"/>
        <v>0.000927152993936005</v>
      </c>
      <c r="N5" s="57">
        <f t="shared" si="3"/>
        <v>0.00296477994345861</v>
      </c>
      <c r="O5" s="57">
        <f t="shared" si="4"/>
        <v>0.108214234981745</v>
      </c>
      <c r="P5" s="59">
        <v>0.0302</v>
      </c>
      <c r="Q5" s="60">
        <f t="shared" si="17"/>
        <v>0.0302</v>
      </c>
      <c r="R5" s="61">
        <v>1000</v>
      </c>
      <c r="S5" s="59">
        <v>1.1616</v>
      </c>
      <c r="T5" s="59">
        <v>9.801</v>
      </c>
      <c r="U5" s="62">
        <v>4e-6</v>
      </c>
      <c r="V5" s="63"/>
      <c r="W5" s="63">
        <f t="shared" si="18"/>
        <v>4e-6</v>
      </c>
      <c r="X5" s="64">
        <v>0.001147</v>
      </c>
      <c r="Y5" s="64">
        <v>1.85e-5</v>
      </c>
      <c r="Z5" s="65">
        <f t="shared" si="5"/>
        <v>-3.04128865955919</v>
      </c>
      <c r="AA5" s="66">
        <f t="shared" si="6"/>
        <v>0.0016483625286319</v>
      </c>
      <c r="AB5" s="65">
        <f t="shared" si="19"/>
        <v>6.25932385366934</v>
      </c>
      <c r="AC5" s="65">
        <f t="shared" si="20"/>
        <v>17.7726157473111</v>
      </c>
      <c r="AD5" s="65">
        <f t="shared" si="21"/>
        <v>3.52719040421772</v>
      </c>
      <c r="AE5" s="96">
        <f t="shared" si="7"/>
        <v>5.03874577512434</v>
      </c>
      <c r="AF5" s="96">
        <f t="shared" si="8"/>
        <v>0.885292435973023</v>
      </c>
      <c r="AG5" s="96">
        <f t="shared" si="22"/>
        <v>2.79766513602853</v>
      </c>
      <c r="AH5" s="96"/>
      <c r="AI5" s="63">
        <f t="shared" si="23"/>
        <v>87.2420868697248</v>
      </c>
      <c r="AJ5" s="68">
        <f t="shared" si="24"/>
        <v>33.0303485028308</v>
      </c>
      <c r="AK5" s="69">
        <f t="shared" si="9"/>
        <v>1228.44136078131</v>
      </c>
      <c r="AL5" s="69"/>
      <c r="AM5" s="69">
        <f t="shared" si="10"/>
        <v>0.0153247803173189</v>
      </c>
      <c r="AN5" s="69">
        <f t="shared" si="25"/>
        <v>8.29166772703704e-5</v>
      </c>
      <c r="AO5" s="65">
        <f t="shared" si="26"/>
        <v>0.0121779904342546</v>
      </c>
      <c r="AP5" s="68">
        <v>16.498</v>
      </c>
      <c r="AQ5" s="68">
        <f t="shared" si="27"/>
        <v>1.35473911636471</v>
      </c>
      <c r="AR5" s="68">
        <f t="shared" si="28"/>
        <v>15.0641741671729</v>
      </c>
      <c r="AS5" s="68">
        <f t="shared" si="29"/>
        <v>21.3114832599455</v>
      </c>
      <c r="AT5" s="71">
        <f t="shared" si="30"/>
        <v>0.0205633359630519</v>
      </c>
      <c r="AU5" s="71"/>
      <c r="AV5" s="65"/>
      <c r="AW5" s="65">
        <f t="shared" si="31"/>
        <v>0.0192966378923838</v>
      </c>
      <c r="AX5" s="65">
        <f t="shared" si="11"/>
        <v>0.63109389843819</v>
      </c>
      <c r="AY5" s="65">
        <f t="shared" si="12"/>
        <v>7.95196370759599</v>
      </c>
      <c r="AZ5" s="69">
        <f t="shared" si="13"/>
        <v>0.00153144441826637</v>
      </c>
      <c r="BA5" s="69">
        <f t="shared" si="14"/>
        <v>1.52718756435507e-6</v>
      </c>
      <c r="BB5" s="72">
        <f t="shared" si="32"/>
        <v>14.0808014396069</v>
      </c>
      <c r="BC5" s="72">
        <f t="shared" ref="BC4:BC67" si="35">((AA5*2)^2)*(AN5)/(SQRT(2)*AC5*((U5)^2))</f>
        <v>2.24089246603864</v>
      </c>
      <c r="BD5" s="72">
        <f t="shared" si="33"/>
        <v>0.447070892913817</v>
      </c>
      <c r="BE5" s="72">
        <f t="shared" si="34"/>
        <v>24.8269965557466</v>
      </c>
      <c r="BF5" s="1"/>
    </row>
    <row r="6" ht="25" customHeight="1" spans="1:58">
      <c r="A6" s="54">
        <v>4</v>
      </c>
      <c r="B6" s="54" t="s">
        <v>198</v>
      </c>
      <c r="C6" s="55">
        <v>0.30892619704462</v>
      </c>
      <c r="D6" s="55">
        <v>-21.1321351458282</v>
      </c>
      <c r="E6" s="55">
        <v>10.1065120517512</v>
      </c>
      <c r="F6" s="55">
        <v>1.4990007014024</v>
      </c>
      <c r="G6" s="56">
        <v>1</v>
      </c>
      <c r="H6" s="57">
        <f t="shared" si="15"/>
        <v>8.36637353682585e-5</v>
      </c>
      <c r="I6" s="57">
        <f t="shared" si="16"/>
        <v>0.000333333333333333</v>
      </c>
      <c r="J6" s="58">
        <f t="shared" si="0"/>
        <v>0.0198082168794754</v>
      </c>
      <c r="K6" s="58"/>
      <c r="L6" s="58">
        <f t="shared" si="1"/>
        <v>1.32502148237215</v>
      </c>
      <c r="M6" s="57">
        <f t="shared" si="2"/>
        <v>0.000884150010464409</v>
      </c>
      <c r="N6" s="57">
        <f t="shared" si="3"/>
        <v>0.00462846824202536</v>
      </c>
      <c r="O6" s="57">
        <f t="shared" si="4"/>
        <v>0.0735171862823633</v>
      </c>
      <c r="P6" s="59">
        <v>0.0302</v>
      </c>
      <c r="Q6" s="60">
        <f t="shared" si="17"/>
        <v>0.0302</v>
      </c>
      <c r="R6" s="61">
        <v>1000</v>
      </c>
      <c r="S6" s="59">
        <v>1.1616</v>
      </c>
      <c r="T6" s="59">
        <v>9.801</v>
      </c>
      <c r="U6" s="62">
        <v>4e-6</v>
      </c>
      <c r="V6" s="63"/>
      <c r="W6" s="63">
        <f t="shared" si="18"/>
        <v>4e-6</v>
      </c>
      <c r="X6" s="64">
        <v>0.001147</v>
      </c>
      <c r="Y6" s="64">
        <v>1.85e-5</v>
      </c>
      <c r="Z6" s="65">
        <f t="shared" si="5"/>
        <v>-3.17237803703955</v>
      </c>
      <c r="AA6" s="66">
        <f t="shared" si="6"/>
        <v>0.0014990007014024</v>
      </c>
      <c r="AB6" s="65">
        <f t="shared" si="19"/>
        <v>2.82545337515043</v>
      </c>
      <c r="AC6" s="65">
        <f t="shared" si="20"/>
        <v>9.47402148172661</v>
      </c>
      <c r="AD6" s="65">
        <f t="shared" si="21"/>
        <v>2.91693740537625</v>
      </c>
      <c r="AE6" s="96">
        <f t="shared" si="7"/>
        <v>3.24793444804983</v>
      </c>
      <c r="AF6" s="96">
        <f t="shared" si="8"/>
        <v>0.941884356204794</v>
      </c>
      <c r="AG6" s="96">
        <f t="shared" si="22"/>
        <v>2.64409091154841</v>
      </c>
      <c r="AH6" s="96"/>
      <c r="AI6" s="63">
        <f t="shared" si="23"/>
        <v>66.794853415053</v>
      </c>
      <c r="AJ6" s="68">
        <f t="shared" si="24"/>
        <v>6.33856715009961</v>
      </c>
      <c r="AK6" s="69">
        <f t="shared" si="9"/>
        <v>2095.65852939582</v>
      </c>
      <c r="AL6" s="69"/>
      <c r="AM6" s="69">
        <f t="shared" si="10"/>
        <v>0.0117330578811318</v>
      </c>
      <c r="AN6" s="69">
        <f t="shared" si="25"/>
        <v>8.69495500408005e-5</v>
      </c>
      <c r="AO6" s="65">
        <f t="shared" si="26"/>
        <v>0.0105608599313064</v>
      </c>
      <c r="AP6" s="68">
        <v>17.172</v>
      </c>
      <c r="AQ6" s="68">
        <f t="shared" si="27"/>
        <v>1.62600395343714</v>
      </c>
      <c r="AR6" s="68">
        <f t="shared" si="28"/>
        <v>13.063783735026</v>
      </c>
      <c r="AS6" s="68">
        <f t="shared" si="29"/>
        <v>18.4815048797861</v>
      </c>
      <c r="AT6" s="71">
        <f t="shared" si="30"/>
        <v>0.0215634884101185</v>
      </c>
      <c r="AU6" s="71"/>
      <c r="AV6" s="65"/>
      <c r="AW6" s="65">
        <f t="shared" si="31"/>
        <v>0.0272236242289002</v>
      </c>
      <c r="AX6" s="65">
        <f t="shared" si="11"/>
        <v>0.387929977379539</v>
      </c>
      <c r="AY6" s="65">
        <f t="shared" si="12"/>
        <v>10.2020579534592</v>
      </c>
      <c r="AZ6" s="69">
        <f t="shared" si="13"/>
        <v>0.00103516956867761</v>
      </c>
      <c r="BA6" s="69">
        <f t="shared" si="14"/>
        <v>6.73245715367951e-7</v>
      </c>
      <c r="BB6" s="72">
        <f t="shared" si="32"/>
        <v>12.210994295573</v>
      </c>
      <c r="BC6" s="72">
        <f t="shared" si="35"/>
        <v>3.64553822812582</v>
      </c>
      <c r="BD6" s="72">
        <f t="shared" si="33"/>
        <v>0.967500992786117</v>
      </c>
      <c r="BE6" s="72">
        <f t="shared" si="34"/>
        <v>15.3078962924791</v>
      </c>
      <c r="BF6" s="1"/>
    </row>
    <row r="7" ht="25" customHeight="1" spans="1:58">
      <c r="A7" s="54">
        <v>5</v>
      </c>
      <c r="B7" s="54" t="s">
        <v>198</v>
      </c>
      <c r="C7" s="55">
        <v>0.375399200272031</v>
      </c>
      <c r="D7" s="55">
        <v>-14.2293116489042</v>
      </c>
      <c r="E7" s="55">
        <v>9.81549974232818</v>
      </c>
      <c r="F7" s="55">
        <v>1.44487015160013</v>
      </c>
      <c r="G7" s="56">
        <v>1</v>
      </c>
      <c r="H7" s="57">
        <f t="shared" si="15"/>
        <v>8.36637353682585e-5</v>
      </c>
      <c r="I7" s="57">
        <f t="shared" si="16"/>
        <v>0.000333333333333333</v>
      </c>
      <c r="J7" s="58">
        <f t="shared" si="0"/>
        <v>0.0250853045343212</v>
      </c>
      <c r="K7" s="58"/>
      <c r="L7" s="58">
        <f t="shared" si="1"/>
        <v>1.96404380364327</v>
      </c>
      <c r="M7" s="57">
        <f t="shared" si="2"/>
        <v>0.000868039419969708</v>
      </c>
      <c r="N7" s="57">
        <f t="shared" si="3"/>
        <v>0.00302904474029802</v>
      </c>
      <c r="O7" s="57">
        <f t="shared" si="4"/>
        <v>0.114954607618007</v>
      </c>
      <c r="P7" s="59">
        <v>0.0302</v>
      </c>
      <c r="Q7" s="60">
        <f t="shared" si="17"/>
        <v>0.0302</v>
      </c>
      <c r="R7" s="61">
        <v>1000</v>
      </c>
      <c r="S7" s="59">
        <v>1.1616</v>
      </c>
      <c r="T7" s="59">
        <v>9.801</v>
      </c>
      <c r="U7" s="62">
        <v>4e-6</v>
      </c>
      <c r="V7" s="63"/>
      <c r="W7" s="63">
        <f t="shared" si="18"/>
        <v>4e-6</v>
      </c>
      <c r="X7" s="64">
        <v>0.001147</v>
      </c>
      <c r="Y7" s="64">
        <v>1.85e-5</v>
      </c>
      <c r="Z7" s="65">
        <f t="shared" si="5"/>
        <v>-0.9786697389354</v>
      </c>
      <c r="AA7" s="66">
        <f t="shared" si="6"/>
        <v>0.00144487015160013</v>
      </c>
      <c r="AB7" s="65">
        <f t="shared" si="19"/>
        <v>5.14396328057494</v>
      </c>
      <c r="AC7" s="65">
        <f t="shared" si="20"/>
        <v>13.4846152147477</v>
      </c>
      <c r="AD7" s="65">
        <f t="shared" si="21"/>
        <v>2.71007354286196</v>
      </c>
      <c r="AE7" s="96">
        <f t="shared" si="7"/>
        <v>4.97573774345154</v>
      </c>
      <c r="AF7" s="96">
        <f t="shared" si="8"/>
        <v>0.886574840579489</v>
      </c>
      <c r="AG7" s="96">
        <f t="shared" si="22"/>
        <v>2.79389160108249</v>
      </c>
      <c r="AH7" s="96"/>
      <c r="AI7" s="63">
        <f t="shared" si="23"/>
        <v>81.1673946534121</v>
      </c>
      <c r="AJ7" s="68">
        <f t="shared" si="24"/>
        <v>0.412718759789169</v>
      </c>
      <c r="AK7" s="69">
        <f t="shared" si="9"/>
        <v>1419.19904250559</v>
      </c>
      <c r="AL7" s="69"/>
      <c r="AM7" s="69">
        <f t="shared" si="10"/>
        <v>0.0142577113480801</v>
      </c>
      <c r="AN7" s="69">
        <f t="shared" si="25"/>
        <v>8.85633115384693e-5</v>
      </c>
      <c r="AO7" s="65">
        <f t="shared" si="26"/>
        <v>0.00999400949372671</v>
      </c>
      <c r="AP7" s="68">
        <v>16.023</v>
      </c>
      <c r="AQ7" s="68">
        <f t="shared" si="27"/>
        <v>1.60326043416886</v>
      </c>
      <c r="AR7" s="68">
        <f t="shared" si="28"/>
        <v>12.3625897437399</v>
      </c>
      <c r="AS7" s="68">
        <f t="shared" si="29"/>
        <v>17.4895166140217</v>
      </c>
      <c r="AT7" s="71">
        <f t="shared" si="30"/>
        <v>0.0219637012615404</v>
      </c>
      <c r="AU7" s="71"/>
      <c r="AV7" s="65"/>
      <c r="AW7" s="65">
        <f t="shared" si="31"/>
        <v>0.0171286327709974</v>
      </c>
      <c r="AX7" s="65">
        <f t="shared" si="11"/>
        <v>0.583468022657874</v>
      </c>
      <c r="AY7" s="65">
        <f t="shared" si="12"/>
        <v>6.18716255713349</v>
      </c>
      <c r="AZ7" s="69">
        <f t="shared" si="13"/>
        <v>0.00161528154488265</v>
      </c>
      <c r="BA7" s="69">
        <f t="shared" si="14"/>
        <v>8.90290538774941e-7</v>
      </c>
      <c r="BB7" s="72">
        <f t="shared" si="32"/>
        <v>11.5555734771215</v>
      </c>
      <c r="BC7" s="72">
        <f t="shared" si="35"/>
        <v>2.42380645974551</v>
      </c>
      <c r="BD7" s="72">
        <f t="shared" si="33"/>
        <v>0.710428348285303</v>
      </c>
      <c r="BE7" s="72">
        <f t="shared" si="34"/>
        <v>18.9047623004716</v>
      </c>
      <c r="BF7" s="1"/>
    </row>
    <row r="8" ht="25" customHeight="1" spans="1:58">
      <c r="A8" s="54">
        <v>6</v>
      </c>
      <c r="B8" s="54" t="s">
        <v>198</v>
      </c>
      <c r="C8" s="55">
        <v>0.46038295904576</v>
      </c>
      <c r="D8" s="55">
        <v>-12.4653892243224</v>
      </c>
      <c r="E8" s="55">
        <v>9.37346227673995</v>
      </c>
      <c r="F8" s="55">
        <v>1.43575679958388</v>
      </c>
      <c r="G8" s="56">
        <v>1</v>
      </c>
      <c r="H8" s="57">
        <f t="shared" si="15"/>
        <v>8.36637353682585e-5</v>
      </c>
      <c r="I8" s="57">
        <f t="shared" si="16"/>
        <v>0.000333333333333333</v>
      </c>
      <c r="J8" s="58">
        <f t="shared" si="0"/>
        <v>0.030983917174141</v>
      </c>
      <c r="K8" s="58"/>
      <c r="L8" s="58">
        <f t="shared" si="1"/>
        <v>2.95591459442732</v>
      </c>
      <c r="M8" s="57">
        <f t="shared" si="2"/>
        <v>0.00086529756032281</v>
      </c>
      <c r="N8" s="57">
        <f t="shared" si="3"/>
        <v>0.00200217479080233</v>
      </c>
      <c r="O8" s="57">
        <f t="shared" si="4"/>
        <v>0.174605544845919</v>
      </c>
      <c r="P8" s="59">
        <v>0.0302</v>
      </c>
      <c r="Q8" s="60">
        <f t="shared" si="17"/>
        <v>0.0302</v>
      </c>
      <c r="R8" s="61">
        <v>1000</v>
      </c>
      <c r="S8" s="59">
        <v>1.1616</v>
      </c>
      <c r="T8" s="59">
        <v>9.801</v>
      </c>
      <c r="U8" s="62">
        <v>4e-6</v>
      </c>
      <c r="V8" s="63"/>
      <c r="W8" s="63">
        <f t="shared" si="18"/>
        <v>4e-6</v>
      </c>
      <c r="X8" s="64">
        <v>0.001147</v>
      </c>
      <c r="Y8" s="64">
        <v>1.85e-5</v>
      </c>
      <c r="Z8" s="65">
        <f t="shared" si="5"/>
        <v>-0.423496503970562</v>
      </c>
      <c r="AA8" s="66">
        <f t="shared" si="6"/>
        <v>0.00143575679958388</v>
      </c>
      <c r="AB8" s="65">
        <f t="shared" si="19"/>
        <v>8.76414214983333</v>
      </c>
      <c r="AC8" s="65">
        <f t="shared" si="20"/>
        <v>20.1531257302145</v>
      </c>
      <c r="AD8" s="65">
        <f t="shared" si="21"/>
        <v>2.67599440471401</v>
      </c>
      <c r="AE8" s="96">
        <f t="shared" si="7"/>
        <v>7.53107917367575</v>
      </c>
      <c r="AF8" s="96">
        <f t="shared" si="8"/>
        <v>0.851986370595087</v>
      </c>
      <c r="AG8" s="96">
        <f t="shared" si="22"/>
        <v>2.90092718570164</v>
      </c>
      <c r="AH8" s="96"/>
      <c r="AI8" s="63">
        <f t="shared" si="23"/>
        <v>99.5422614152995</v>
      </c>
      <c r="AJ8" s="68">
        <f t="shared" si="24"/>
        <v>-18.0727517791247</v>
      </c>
      <c r="AK8" s="69">
        <f t="shared" si="9"/>
        <v>943.607786041535</v>
      </c>
      <c r="AL8" s="69"/>
      <c r="AM8" s="69">
        <f t="shared" si="10"/>
        <v>0.0174854057624333</v>
      </c>
      <c r="AN8" s="69">
        <f t="shared" si="25"/>
        <v>8.88439412099691e-5</v>
      </c>
      <c r="AO8" s="65">
        <f t="shared" si="26"/>
        <v>0.00989960465290724</v>
      </c>
      <c r="AP8" s="68">
        <v>15.449</v>
      </c>
      <c r="AQ8" s="68">
        <f t="shared" si="27"/>
        <v>1.56056737028009</v>
      </c>
      <c r="AR8" s="68">
        <f t="shared" si="28"/>
        <v>12.2458109556463</v>
      </c>
      <c r="AS8" s="68">
        <f t="shared" si="29"/>
        <v>17.3243081425877</v>
      </c>
      <c r="AT8" s="71">
        <f t="shared" si="30"/>
        <v>0.0220332974200723</v>
      </c>
      <c r="AU8" s="71"/>
      <c r="AV8" s="65"/>
      <c r="AW8" s="65">
        <f t="shared" si="31"/>
        <v>0.0112454031419383</v>
      </c>
      <c r="AX8" s="65">
        <f t="shared" si="11"/>
        <v>0.880324567110261</v>
      </c>
      <c r="AY8" s="65">
        <f t="shared" si="12"/>
        <v>4.03641600627498</v>
      </c>
      <c r="AZ8" s="69">
        <f t="shared" si="13"/>
        <v>0.00245257293537569</v>
      </c>
      <c r="BA8" s="69">
        <f t="shared" si="14"/>
        <v>1.3138317074706e-6</v>
      </c>
      <c r="BB8" s="72">
        <f t="shared" si="32"/>
        <v>11.446417879924</v>
      </c>
      <c r="BC8" s="72">
        <f t="shared" si="35"/>
        <v>1.60646835861388</v>
      </c>
      <c r="BD8" s="72">
        <f t="shared" si="33"/>
        <v>0.478735225479552</v>
      </c>
      <c r="BE8" s="72">
        <f t="shared" si="34"/>
        <v>25.5051145396425</v>
      </c>
      <c r="BF8" s="1"/>
    </row>
    <row r="9" ht="25" customHeight="1" spans="1:58">
      <c r="A9" s="54">
        <v>7</v>
      </c>
      <c r="B9" s="54" t="s">
        <v>198</v>
      </c>
      <c r="C9" s="55">
        <v>0.360030528595507</v>
      </c>
      <c r="D9" s="55">
        <v>-15.3195421708314</v>
      </c>
      <c r="E9" s="55">
        <v>9.82587667279957</v>
      </c>
      <c r="F9" s="55">
        <v>1.3459563421992</v>
      </c>
      <c r="G9" s="56">
        <v>1</v>
      </c>
      <c r="H9" s="57">
        <f t="shared" si="15"/>
        <v>8.36637353682585e-5</v>
      </c>
      <c r="I9" s="57">
        <f t="shared" si="16"/>
        <v>0.000333333333333333</v>
      </c>
      <c r="J9" s="58">
        <f t="shared" si="0"/>
        <v>0.0260617086412134</v>
      </c>
      <c r="K9" s="58"/>
      <c r="L9" s="58">
        <f t="shared" si="1"/>
        <v>1.82039188236887</v>
      </c>
      <c r="M9" s="57">
        <f t="shared" si="2"/>
        <v>0.000837800325943549</v>
      </c>
      <c r="N9" s="57">
        <f t="shared" si="3"/>
        <v>0.00308371861821514</v>
      </c>
      <c r="O9" s="57">
        <f t="shared" si="4"/>
        <v>0.118096444243126</v>
      </c>
      <c r="P9" s="59">
        <v>0.0302</v>
      </c>
      <c r="Q9" s="60">
        <f t="shared" si="17"/>
        <v>0.0302</v>
      </c>
      <c r="R9" s="61">
        <v>1000</v>
      </c>
      <c r="S9" s="59">
        <v>1.1616</v>
      </c>
      <c r="T9" s="59">
        <v>9.801</v>
      </c>
      <c r="U9" s="62">
        <v>4e-6</v>
      </c>
      <c r="V9" s="63"/>
      <c r="W9" s="63">
        <f t="shared" si="18"/>
        <v>4e-6</v>
      </c>
      <c r="X9" s="64">
        <v>0.001147</v>
      </c>
      <c r="Y9" s="64">
        <v>1.85e-5</v>
      </c>
      <c r="Z9" s="65">
        <f t="shared" si="5"/>
        <v>-1.08811917695616</v>
      </c>
      <c r="AA9" s="66">
        <f t="shared" si="6"/>
        <v>0.0013459563421992</v>
      </c>
      <c r="AB9" s="65">
        <f t="shared" si="19"/>
        <v>4.5678889663996</v>
      </c>
      <c r="AC9" s="65">
        <f t="shared" si="20"/>
        <v>11.5540084845228</v>
      </c>
      <c r="AD9" s="65">
        <f t="shared" si="21"/>
        <v>2.3517187621876</v>
      </c>
      <c r="AE9" s="96">
        <f t="shared" si="7"/>
        <v>4.91300604064371</v>
      </c>
      <c r="AF9" s="96">
        <f t="shared" si="8"/>
        <v>0.887884994743447</v>
      </c>
      <c r="AG9" s="96">
        <f t="shared" si="22"/>
        <v>2.79005129785875</v>
      </c>
      <c r="AH9" s="96"/>
      <c r="AI9" s="63">
        <f t="shared" si="23"/>
        <v>77.8444386152448</v>
      </c>
      <c r="AJ9" s="68">
        <f t="shared" si="24"/>
        <v>0.565174419415744</v>
      </c>
      <c r="AK9" s="69">
        <f t="shared" si="9"/>
        <v>1542.94817633202</v>
      </c>
      <c r="AL9" s="69"/>
      <c r="AM9" s="69">
        <f t="shared" si="10"/>
        <v>0.0136740071622201</v>
      </c>
      <c r="AN9" s="69">
        <f t="shared" si="25"/>
        <v>9.17598659225508e-5</v>
      </c>
      <c r="AO9" s="65">
        <f t="shared" si="26"/>
        <v>0.00898551530709443</v>
      </c>
      <c r="AP9" s="68">
        <v>13.722</v>
      </c>
      <c r="AQ9" s="68">
        <f t="shared" si="27"/>
        <v>1.52712443649903</v>
      </c>
      <c r="AR9" s="68">
        <f t="shared" si="28"/>
        <v>11.1150824348758</v>
      </c>
      <c r="AS9" s="68">
        <f t="shared" si="29"/>
        <v>15.7246517874153</v>
      </c>
      <c r="AT9" s="71">
        <f t="shared" si="30"/>
        <v>0.0227564467487926</v>
      </c>
      <c r="AU9" s="71"/>
      <c r="AV9" s="65"/>
      <c r="AW9" s="65">
        <f t="shared" si="31"/>
        <v>0.0161597648197202</v>
      </c>
      <c r="AX9" s="65">
        <f t="shared" si="11"/>
        <v>0.556042455279372</v>
      </c>
      <c r="AY9" s="65">
        <f t="shared" si="12"/>
        <v>5.43758448688748</v>
      </c>
      <c r="AZ9" s="69">
        <f t="shared" si="13"/>
        <v>0.00165248288624529</v>
      </c>
      <c r="BA9" s="69">
        <f t="shared" si="14"/>
        <v>6.61957625598416e-7</v>
      </c>
      <c r="BB9" s="72">
        <f t="shared" si="32"/>
        <v>10.3895020738279</v>
      </c>
      <c r="BC9" s="72">
        <f t="shared" si="35"/>
        <v>2.54335536602606</v>
      </c>
      <c r="BD9" s="72">
        <f t="shared" si="33"/>
        <v>0.891167986367464</v>
      </c>
      <c r="BE9" s="72">
        <f t="shared" si="34"/>
        <v>16.257446008898</v>
      </c>
      <c r="BF9" s="1"/>
    </row>
    <row r="10" ht="25" customHeight="1" spans="1:58">
      <c r="A10" s="54">
        <v>8</v>
      </c>
      <c r="B10" s="54" t="s">
        <v>198</v>
      </c>
      <c r="C10" s="55">
        <v>0.381427083576573</v>
      </c>
      <c r="D10" s="55">
        <v>-11.882242008582</v>
      </c>
      <c r="E10" s="55">
        <v>9.89833889075379</v>
      </c>
      <c r="F10" s="55">
        <v>1.4601683847812</v>
      </c>
      <c r="G10" s="56">
        <v>1</v>
      </c>
      <c r="H10" s="57">
        <f t="shared" si="15"/>
        <v>8.36637353682585e-5</v>
      </c>
      <c r="I10" s="57">
        <f t="shared" si="16"/>
        <v>0.000333333333333333</v>
      </c>
      <c r="J10" s="58">
        <f t="shared" si="0"/>
        <v>0.0251881293040343</v>
      </c>
      <c r="K10" s="58"/>
      <c r="L10" s="58">
        <f t="shared" si="1"/>
        <v>2.02539534423458</v>
      </c>
      <c r="M10" s="57">
        <f t="shared" si="2"/>
        <v>0.000872622705073441</v>
      </c>
      <c r="N10" s="57">
        <f t="shared" si="3"/>
        <v>0.00296291698354233</v>
      </c>
      <c r="O10" s="57">
        <f t="shared" si="4"/>
        <v>0.116745623804102</v>
      </c>
      <c r="P10" s="59">
        <v>0.0302</v>
      </c>
      <c r="Q10" s="60">
        <f t="shared" si="17"/>
        <v>0.0302</v>
      </c>
      <c r="R10" s="61">
        <v>1000</v>
      </c>
      <c r="S10" s="59">
        <v>1.1616</v>
      </c>
      <c r="T10" s="59">
        <v>9.801</v>
      </c>
      <c r="U10" s="62">
        <v>4e-6</v>
      </c>
      <c r="V10" s="63"/>
      <c r="W10" s="63">
        <f t="shared" si="18"/>
        <v>4e-6</v>
      </c>
      <c r="X10" s="64">
        <v>0.001147</v>
      </c>
      <c r="Y10" s="64">
        <v>1.85e-5</v>
      </c>
      <c r="Z10" s="65">
        <f t="shared" si="5"/>
        <v>-0.337926487403153</v>
      </c>
      <c r="AA10" s="66">
        <f t="shared" si="6"/>
        <v>0.0014601683847812</v>
      </c>
      <c r="AB10" s="65">
        <f t="shared" si="19"/>
        <v>5.37648420416565</v>
      </c>
      <c r="AC10" s="65">
        <f t="shared" si="20"/>
        <v>14.068540599858</v>
      </c>
      <c r="AD10" s="65">
        <f t="shared" si="21"/>
        <v>2.76776567794363</v>
      </c>
      <c r="AE10" s="96">
        <f t="shared" si="7"/>
        <v>5.08299554112203</v>
      </c>
      <c r="AF10" s="96">
        <f t="shared" si="8"/>
        <v>0.884411209858256</v>
      </c>
      <c r="AG10" s="96">
        <f t="shared" si="22"/>
        <v>2.80026657284676</v>
      </c>
      <c r="AH10" s="96"/>
      <c r="AI10" s="63">
        <f t="shared" si="23"/>
        <v>82.4707207733131</v>
      </c>
      <c r="AJ10" s="68">
        <f t="shared" si="24"/>
        <v>2.92122446771101</v>
      </c>
      <c r="AK10" s="69">
        <f t="shared" si="9"/>
        <v>1374.69686134812</v>
      </c>
      <c r="AL10" s="69"/>
      <c r="AM10" s="69">
        <f t="shared" si="10"/>
        <v>0.0144866511543818</v>
      </c>
      <c r="AN10" s="69">
        <f t="shared" si="25"/>
        <v>8.80981495570637e-5</v>
      </c>
      <c r="AO10" s="65">
        <f t="shared" si="26"/>
        <v>0.0101531532165202</v>
      </c>
      <c r="AP10" s="68">
        <v>16.008</v>
      </c>
      <c r="AQ10" s="68">
        <f t="shared" si="27"/>
        <v>1.57665305138442</v>
      </c>
      <c r="AR10" s="68">
        <f t="shared" si="28"/>
        <v>12.5594505288354</v>
      </c>
      <c r="AS10" s="68">
        <f t="shared" si="29"/>
        <v>17.7680181289103</v>
      </c>
      <c r="AT10" s="71">
        <f t="shared" si="30"/>
        <v>0.0218483410901518</v>
      </c>
      <c r="AU10" s="71"/>
      <c r="AV10" s="65"/>
      <c r="AW10" s="65">
        <f t="shared" si="31"/>
        <v>0.0169447268789976</v>
      </c>
      <c r="AX10" s="65">
        <f t="shared" si="11"/>
        <v>0.599192497407829</v>
      </c>
      <c r="AY10" s="65">
        <f t="shared" si="12"/>
        <v>6.18553861936614</v>
      </c>
      <c r="AZ10" s="69">
        <f t="shared" si="13"/>
        <v>0.00164143397063789</v>
      </c>
      <c r="BA10" s="69">
        <f t="shared" si="14"/>
        <v>9.48616099626904e-7</v>
      </c>
      <c r="BB10" s="72">
        <f t="shared" si="32"/>
        <v>11.7395834066014</v>
      </c>
      <c r="BC10" s="72">
        <f t="shared" si="35"/>
        <v>2.36019904870494</v>
      </c>
      <c r="BD10" s="72">
        <f t="shared" si="33"/>
        <v>0.672739903398953</v>
      </c>
      <c r="BE10" s="72">
        <f t="shared" si="34"/>
        <v>19.6040719557453</v>
      </c>
      <c r="BF10" s="1"/>
    </row>
    <row r="11" ht="25" customHeight="1" spans="1:58">
      <c r="A11" s="54">
        <v>9</v>
      </c>
      <c r="B11" s="54" t="s">
        <v>198</v>
      </c>
      <c r="C11" s="55">
        <v>0.449709287993055</v>
      </c>
      <c r="D11" s="55">
        <v>-15.1260850526811</v>
      </c>
      <c r="E11" s="55">
        <v>9.79398796943178</v>
      </c>
      <c r="F11" s="55">
        <v>1.36917403574902</v>
      </c>
      <c r="G11" s="56">
        <v>1</v>
      </c>
      <c r="H11" s="57">
        <f t="shared" si="15"/>
        <v>8.36637353682585e-5</v>
      </c>
      <c r="I11" s="57">
        <f t="shared" si="16"/>
        <v>0.000333333333333333</v>
      </c>
      <c r="J11" s="58">
        <f t="shared" si="0"/>
        <v>0.03192996924682</v>
      </c>
      <c r="K11" s="58"/>
      <c r="L11" s="58">
        <f t="shared" si="1"/>
        <v>2.83486160063513</v>
      </c>
      <c r="M11" s="57">
        <f t="shared" si="2"/>
        <v>0.000844995440957432</v>
      </c>
      <c r="N11" s="57">
        <f t="shared" si="3"/>
        <v>0.0020079829514981</v>
      </c>
      <c r="O11" s="57">
        <f t="shared" si="4"/>
        <v>0.179403345793349</v>
      </c>
      <c r="P11" s="59">
        <v>0.0302</v>
      </c>
      <c r="Q11" s="60">
        <f t="shared" si="17"/>
        <v>0.0302</v>
      </c>
      <c r="R11" s="61">
        <v>1000</v>
      </c>
      <c r="S11" s="59">
        <v>1.1616</v>
      </c>
      <c r="T11" s="59">
        <v>9.801</v>
      </c>
      <c r="U11" s="62">
        <v>4e-6</v>
      </c>
      <c r="V11" s="63"/>
      <c r="W11" s="63">
        <f t="shared" si="18"/>
        <v>4e-6</v>
      </c>
      <c r="X11" s="64">
        <v>0.001147</v>
      </c>
      <c r="Y11" s="64">
        <v>1.85e-5</v>
      </c>
      <c r="Z11" s="65">
        <f t="shared" si="5"/>
        <v>-1.02502772637726</v>
      </c>
      <c r="AA11" s="66">
        <f t="shared" si="6"/>
        <v>0.00136917403574902</v>
      </c>
      <c r="AB11" s="65">
        <f t="shared" si="19"/>
        <v>8.26903382809482</v>
      </c>
      <c r="AC11" s="65">
        <f t="shared" si="20"/>
        <v>18.3377235863719</v>
      </c>
      <c r="AD11" s="65">
        <f t="shared" si="21"/>
        <v>2.43355265313893</v>
      </c>
      <c r="AE11" s="96">
        <f t="shared" si="7"/>
        <v>7.53537161512365</v>
      </c>
      <c r="AF11" s="96">
        <f t="shared" si="8"/>
        <v>0.851948213699902</v>
      </c>
      <c r="AG11" s="96">
        <f t="shared" si="22"/>
        <v>2.90105152579072</v>
      </c>
      <c r="AH11" s="96"/>
      <c r="AI11" s="63">
        <f t="shared" si="23"/>
        <v>97.234440647147</v>
      </c>
      <c r="AJ11" s="68">
        <f t="shared" si="24"/>
        <v>-0.257202049637933</v>
      </c>
      <c r="AK11" s="69">
        <f t="shared" si="9"/>
        <v>988.931660735775</v>
      </c>
      <c r="AL11" s="69"/>
      <c r="AM11" s="69">
        <f t="shared" si="10"/>
        <v>0.0170800183221203</v>
      </c>
      <c r="AN11" s="69">
        <f t="shared" si="25"/>
        <v>9.09785329626674e-5</v>
      </c>
      <c r="AO11" s="65">
        <f t="shared" si="26"/>
        <v>0.00921901476980231</v>
      </c>
      <c r="AP11" s="68">
        <v>14.004</v>
      </c>
      <c r="AQ11" s="68">
        <f t="shared" si="27"/>
        <v>1.51903433823225</v>
      </c>
      <c r="AR11" s="68">
        <f t="shared" si="28"/>
        <v>11.4039212702455</v>
      </c>
      <c r="AS11" s="68">
        <f t="shared" si="29"/>
        <v>16.133275847154</v>
      </c>
      <c r="AT11" s="71">
        <f t="shared" si="30"/>
        <v>0.0225626761747415</v>
      </c>
      <c r="AU11" s="71"/>
      <c r="AV11" s="65"/>
      <c r="AW11" s="65">
        <f t="shared" si="31"/>
        <v>0.0107177924042901</v>
      </c>
      <c r="AX11" s="65">
        <f t="shared" si="11"/>
        <v>0.860159855877793</v>
      </c>
      <c r="AY11" s="65">
        <f t="shared" si="12"/>
        <v>3.66863077012553</v>
      </c>
      <c r="AZ11" s="69">
        <f t="shared" si="13"/>
        <v>0.00251293066745086</v>
      </c>
      <c r="BA11" s="69">
        <f t="shared" si="14"/>
        <v>1.08717208518789e-6</v>
      </c>
      <c r="BB11" s="72">
        <f t="shared" si="32"/>
        <v>10.6594858275839</v>
      </c>
      <c r="BC11" s="72">
        <f t="shared" si="35"/>
        <v>1.64412876596047</v>
      </c>
      <c r="BD11" s="72">
        <f t="shared" si="33"/>
        <v>0.552571023660354</v>
      </c>
      <c r="BE11" s="72">
        <f t="shared" si="34"/>
        <v>23.2048288926498</v>
      </c>
      <c r="BF11" s="1"/>
    </row>
    <row r="12" ht="25" customHeight="1" spans="1:58">
      <c r="A12" s="54">
        <v>10</v>
      </c>
      <c r="B12" s="54" t="s">
        <v>198</v>
      </c>
      <c r="C12" s="55">
        <v>0.456369880305615</v>
      </c>
      <c r="D12" s="55">
        <v>-12.4415418612981</v>
      </c>
      <c r="E12" s="55">
        <v>9.09309231243999</v>
      </c>
      <c r="F12" s="55">
        <v>1.39952188008319</v>
      </c>
      <c r="G12" s="56">
        <v>1</v>
      </c>
      <c r="H12" s="57">
        <f t="shared" si="15"/>
        <v>8.36637353682585e-5</v>
      </c>
      <c r="I12" s="57">
        <f t="shared" si="16"/>
        <v>0.000333333333333333</v>
      </c>
      <c r="J12" s="58">
        <f t="shared" si="0"/>
        <v>0.0316109839810334</v>
      </c>
      <c r="K12" s="58"/>
      <c r="L12" s="58">
        <f t="shared" si="1"/>
        <v>2.91252262932112</v>
      </c>
      <c r="M12" s="57">
        <f t="shared" si="2"/>
        <v>0.000854308809326333</v>
      </c>
      <c r="N12" s="57">
        <f t="shared" si="3"/>
        <v>0.00198979423185943</v>
      </c>
      <c r="O12" s="57">
        <f t="shared" si="4"/>
        <v>0.178546949409186</v>
      </c>
      <c r="P12" s="59">
        <v>0.0302</v>
      </c>
      <c r="Q12" s="60">
        <f t="shared" si="17"/>
        <v>0.0302</v>
      </c>
      <c r="R12" s="61">
        <v>1000</v>
      </c>
      <c r="S12" s="59">
        <v>1.1616</v>
      </c>
      <c r="T12" s="59">
        <v>9.801</v>
      </c>
      <c r="U12" s="62">
        <v>4e-6</v>
      </c>
      <c r="V12" s="63"/>
      <c r="W12" s="63">
        <f t="shared" si="18"/>
        <v>4e-6</v>
      </c>
      <c r="X12" s="64">
        <v>0.001147</v>
      </c>
      <c r="Y12" s="64">
        <v>1.85e-5</v>
      </c>
      <c r="Z12" s="65">
        <f t="shared" si="5"/>
        <v>-0.383526152741287</v>
      </c>
      <c r="AA12" s="66">
        <f t="shared" si="6"/>
        <v>0.00139952188008319</v>
      </c>
      <c r="AB12" s="65">
        <f t="shared" si="19"/>
        <v>8.57662933996745</v>
      </c>
      <c r="AC12" s="65">
        <f t="shared" si="20"/>
        <v>19.3035281468344</v>
      </c>
      <c r="AD12" s="65">
        <f t="shared" si="21"/>
        <v>2.54262798559502</v>
      </c>
      <c r="AE12" s="96">
        <f t="shared" si="7"/>
        <v>7.59195928629608</v>
      </c>
      <c r="AF12" s="96">
        <f t="shared" si="8"/>
        <v>0.851449257235402</v>
      </c>
      <c r="AG12" s="96">
        <f t="shared" si="22"/>
        <v>2.90267877365402</v>
      </c>
      <c r="AH12" s="96"/>
      <c r="AI12" s="63">
        <f t="shared" si="23"/>
        <v>98.6745687147276</v>
      </c>
      <c r="AJ12" s="68">
        <f t="shared" si="24"/>
        <v>-27.9395599663014</v>
      </c>
      <c r="AK12" s="69">
        <f t="shared" si="9"/>
        <v>960.275940360976</v>
      </c>
      <c r="AL12" s="69"/>
      <c r="AM12" s="69">
        <f t="shared" si="10"/>
        <v>0.017332988500349</v>
      </c>
      <c r="AN12" s="69">
        <f t="shared" si="25"/>
        <v>8.99867176121835e-5</v>
      </c>
      <c r="AO12" s="65">
        <f t="shared" si="26"/>
        <v>0.00952721722450237</v>
      </c>
      <c r="AP12" s="68">
        <v>15.178</v>
      </c>
      <c r="AQ12" s="68">
        <f t="shared" si="27"/>
        <v>1.59311996801803</v>
      </c>
      <c r="AR12" s="68">
        <f t="shared" si="28"/>
        <v>11.7851677067094</v>
      </c>
      <c r="AS12" s="68">
        <f t="shared" si="29"/>
        <v>16.6726301428791</v>
      </c>
      <c r="AT12" s="71">
        <f t="shared" si="30"/>
        <v>0.0223167059678215</v>
      </c>
      <c r="AU12" s="71"/>
      <c r="AV12" s="65"/>
      <c r="AW12" s="65">
        <f t="shared" si="31"/>
        <v>0.0108736958991366</v>
      </c>
      <c r="AX12" s="65">
        <f t="shared" si="11"/>
        <v>0.876171019759605</v>
      </c>
      <c r="AY12" s="65">
        <f t="shared" si="12"/>
        <v>3.80449383205314</v>
      </c>
      <c r="AZ12" s="69">
        <f t="shared" si="13"/>
        <v>0.00250420099100566</v>
      </c>
      <c r="BA12" s="69">
        <f t="shared" si="14"/>
        <v>1.19572590811916e-6</v>
      </c>
      <c r="BB12" s="72">
        <f t="shared" si="32"/>
        <v>11.0158449158309</v>
      </c>
      <c r="BC12" s="72">
        <f t="shared" si="35"/>
        <v>1.61408392936931</v>
      </c>
      <c r="BD12" s="72">
        <f t="shared" si="33"/>
        <v>0.513623413989007</v>
      </c>
      <c r="BE12" s="72">
        <f t="shared" si="34"/>
        <v>24.3887841180244</v>
      </c>
      <c r="BF12" s="1"/>
    </row>
    <row r="13" ht="25" customHeight="1" spans="1:58">
      <c r="A13" s="54">
        <v>11</v>
      </c>
      <c r="B13" s="54" t="s">
        <v>198</v>
      </c>
      <c r="C13" s="55">
        <v>0.839488626875709</v>
      </c>
      <c r="D13" s="55">
        <v>-33.3288531850998</v>
      </c>
      <c r="E13" s="55">
        <v>7.6070861687787</v>
      </c>
      <c r="F13" s="55">
        <v>1.41311904509994</v>
      </c>
      <c r="G13" s="56">
        <v>1</v>
      </c>
      <c r="H13" s="57">
        <f t="shared" si="15"/>
        <v>8.36637353682585e-5</v>
      </c>
      <c r="I13" s="57">
        <f t="shared" si="16"/>
        <v>0.000333333333333333</v>
      </c>
      <c r="J13" s="58">
        <f t="shared" si="0"/>
        <v>0.0575179033849927</v>
      </c>
      <c r="K13" s="58"/>
      <c r="L13" s="58">
        <f t="shared" si="1"/>
        <v>9.84498632192932</v>
      </c>
      <c r="M13" s="57">
        <f t="shared" si="2"/>
        <v>0.000858448830208204</v>
      </c>
      <c r="N13" s="57">
        <f t="shared" si="3"/>
        <v>0.000593342965993863</v>
      </c>
      <c r="O13" s="57">
        <f t="shared" si="4"/>
        <v>0.595117920350521</v>
      </c>
      <c r="P13" s="59">
        <v>0.0302</v>
      </c>
      <c r="Q13" s="60">
        <f t="shared" si="17"/>
        <v>0.0302</v>
      </c>
      <c r="R13" s="61">
        <v>1000</v>
      </c>
      <c r="S13" s="59">
        <v>1.1616</v>
      </c>
      <c r="T13" s="59">
        <v>9.801</v>
      </c>
      <c r="U13" s="62">
        <v>4e-6</v>
      </c>
      <c r="V13" s="63"/>
      <c r="W13" s="63">
        <f t="shared" si="18"/>
        <v>4e-6</v>
      </c>
      <c r="X13" s="64">
        <v>0.001147</v>
      </c>
      <c r="Y13" s="64">
        <v>1.85e-5</v>
      </c>
      <c r="Z13" s="65">
        <f t="shared" si="5"/>
        <v>-5.65958877247721</v>
      </c>
      <c r="AA13" s="66">
        <f t="shared" si="6"/>
        <v>0.00141311904509994</v>
      </c>
      <c r="AB13" s="65">
        <f t="shared" si="19"/>
        <v>33.8807927958034</v>
      </c>
      <c r="AC13" s="65">
        <f t="shared" si="20"/>
        <v>65.9525263249546</v>
      </c>
      <c r="AD13" s="65">
        <f t="shared" si="21"/>
        <v>2.59227419530496</v>
      </c>
      <c r="AE13" s="96">
        <f t="shared" si="7"/>
        <v>25.4419561188417</v>
      </c>
      <c r="AF13" s="96">
        <f t="shared" si="8"/>
        <v>0.805055804048489</v>
      </c>
      <c r="AG13" s="96">
        <f t="shared" si="22"/>
        <v>3.06533081350481</v>
      </c>
      <c r="AH13" s="96"/>
      <c r="AI13" s="63">
        <f t="shared" si="23"/>
        <v>181.511054459613</v>
      </c>
      <c r="AJ13" s="68">
        <f t="shared" si="24"/>
        <v>-298.714496418609</v>
      </c>
      <c r="AK13" s="69">
        <f t="shared" si="9"/>
        <v>283.79213939661</v>
      </c>
      <c r="AL13" s="69"/>
      <c r="AM13" s="69">
        <f t="shared" si="10"/>
        <v>0.031883889239286</v>
      </c>
      <c r="AN13" s="69">
        <f t="shared" si="25"/>
        <v>8.95527407962152e-5</v>
      </c>
      <c r="AO13" s="65">
        <f t="shared" si="26"/>
        <v>0.00966639756059482</v>
      </c>
      <c r="AP13" s="68">
        <v>16.283</v>
      </c>
      <c r="AQ13" s="68">
        <f t="shared" si="27"/>
        <v>1.6844951697805</v>
      </c>
      <c r="AR13" s="68">
        <f t="shared" si="28"/>
        <v>11.9573337824558</v>
      </c>
      <c r="AS13" s="68">
        <f t="shared" si="29"/>
        <v>16.9161957310409</v>
      </c>
      <c r="AT13" s="71">
        <f t="shared" si="30"/>
        <v>0.0222090797174614</v>
      </c>
      <c r="AU13" s="71"/>
      <c r="AV13" s="65"/>
      <c r="AW13" s="65">
        <f t="shared" si="31"/>
        <v>0.00327626944260852</v>
      </c>
      <c r="AX13" s="65">
        <f t="shared" si="11"/>
        <v>2.95042814088531</v>
      </c>
      <c r="AY13" s="65">
        <f t="shared" si="12"/>
        <v>1.15743968655727</v>
      </c>
      <c r="AZ13" s="69">
        <f t="shared" si="13"/>
        <v>0.00835153457485714</v>
      </c>
      <c r="BA13" s="69">
        <f t="shared" si="14"/>
        <v>4.1650910152266e-6</v>
      </c>
      <c r="BB13" s="72">
        <f t="shared" si="32"/>
        <v>11.1767721794378</v>
      </c>
      <c r="BC13" s="72">
        <f t="shared" si="35"/>
        <v>0.479324862305828</v>
      </c>
      <c r="BD13" s="72">
        <f t="shared" si="33"/>
        <v>0.148826014048778</v>
      </c>
      <c r="BE13" s="72">
        <f t="shared" si="34"/>
        <v>71.1370747155645</v>
      </c>
      <c r="BF13" s="1"/>
    </row>
    <row r="14" ht="25" customHeight="1" spans="1:58">
      <c r="A14" s="54">
        <v>23</v>
      </c>
      <c r="B14" s="54" t="s">
        <v>198</v>
      </c>
      <c r="C14" s="55">
        <v>0.515224834674623</v>
      </c>
      <c r="D14" s="55">
        <v>-29.9789765760212</v>
      </c>
      <c r="E14" s="55">
        <v>9.57244412355886</v>
      </c>
      <c r="F14" s="55">
        <v>1.12748012513518</v>
      </c>
      <c r="G14" s="56">
        <v>1</v>
      </c>
      <c r="H14" s="57">
        <f t="shared" si="15"/>
        <v>8.36637353682585e-5</v>
      </c>
      <c r="I14" s="57">
        <f t="shared" si="16"/>
        <v>0.000333333333333333</v>
      </c>
      <c r="J14" s="58">
        <f t="shared" si="0"/>
        <v>0.0456416386691082</v>
      </c>
      <c r="K14" s="58"/>
      <c r="L14" s="58">
        <f t="shared" si="1"/>
        <v>3.80728736665975</v>
      </c>
      <c r="M14" s="57">
        <f t="shared" si="2"/>
        <v>0.000766795377038458</v>
      </c>
      <c r="N14" s="57">
        <f t="shared" si="3"/>
        <v>0.00127969660787076</v>
      </c>
      <c r="O14" s="57">
        <f t="shared" si="4"/>
        <v>0.319161052005455</v>
      </c>
      <c r="P14" s="59">
        <v>0.0302</v>
      </c>
      <c r="Q14" s="60">
        <f t="shared" si="17"/>
        <v>0.0302</v>
      </c>
      <c r="R14" s="61">
        <v>1000</v>
      </c>
      <c r="S14" s="59">
        <v>1.1616</v>
      </c>
      <c r="T14" s="59">
        <v>9.801</v>
      </c>
      <c r="U14" s="62">
        <v>4e-6</v>
      </c>
      <c r="V14" s="63"/>
      <c r="W14" s="63">
        <f t="shared" si="18"/>
        <v>4e-6</v>
      </c>
      <c r="X14" s="64">
        <v>0.001147</v>
      </c>
      <c r="Y14" s="64">
        <v>1.85e-5</v>
      </c>
      <c r="Z14" s="65">
        <f t="shared" si="5"/>
        <v>-3.05364040895076</v>
      </c>
      <c r="AA14" s="66">
        <f t="shared" si="6"/>
        <v>0.00112748012513518</v>
      </c>
      <c r="AB14" s="65">
        <f t="shared" si="19"/>
        <v>11.4911636220944</v>
      </c>
      <c r="AC14" s="65">
        <f t="shared" si="20"/>
        <v>19.8209983251457</v>
      </c>
      <c r="AD14" s="65">
        <f t="shared" si="21"/>
        <v>1.65021764909484</v>
      </c>
      <c r="AE14" s="96">
        <f t="shared" si="7"/>
        <v>12.0111418854463</v>
      </c>
      <c r="AF14" s="96">
        <f t="shared" si="8"/>
        <v>0.827074420704892</v>
      </c>
      <c r="AG14" s="96">
        <f t="shared" si="22"/>
        <v>2.98525185181103</v>
      </c>
      <c r="AH14" s="96"/>
      <c r="AI14" s="63">
        <f t="shared" si="23"/>
        <v>111.399964253973</v>
      </c>
      <c r="AJ14" s="68">
        <f t="shared" si="24"/>
        <v>-7.46196760634825</v>
      </c>
      <c r="AK14" s="69">
        <f t="shared" si="9"/>
        <v>753.418740379447</v>
      </c>
      <c r="AL14" s="69"/>
      <c r="AM14" s="69">
        <f t="shared" si="10"/>
        <v>0.0195683074626421</v>
      </c>
      <c r="AN14" s="69">
        <f t="shared" si="25"/>
        <v>0.000100256793246934</v>
      </c>
      <c r="AO14" s="65">
        <f t="shared" si="26"/>
        <v>0.00688905847398889</v>
      </c>
      <c r="AP14" s="68">
        <v>10.619</v>
      </c>
      <c r="AQ14" s="68">
        <f t="shared" si="27"/>
        <v>1.54142979626233</v>
      </c>
      <c r="AR14" s="68">
        <f t="shared" si="28"/>
        <v>8.52176533232426</v>
      </c>
      <c r="AS14" s="68">
        <f t="shared" si="29"/>
        <v>12.0558523294806</v>
      </c>
      <c r="AT14" s="71">
        <f t="shared" si="30"/>
        <v>0.0248636847252396</v>
      </c>
      <c r="AU14" s="71"/>
      <c r="AV14" s="65"/>
      <c r="AW14" s="65">
        <f t="shared" si="31"/>
        <v>0.00553701829728127</v>
      </c>
      <c r="AX14" s="65">
        <f t="shared" si="11"/>
        <v>1.2441819954562</v>
      </c>
      <c r="AY14" s="65">
        <f t="shared" si="12"/>
        <v>1.56071952067362</v>
      </c>
      <c r="AZ14" s="69">
        <f t="shared" si="13"/>
        <v>0.00441402723726781</v>
      </c>
      <c r="BA14" s="69">
        <f t="shared" si="14"/>
        <v>7.96854217899883e-7</v>
      </c>
      <c r="BB14" s="72">
        <f t="shared" si="32"/>
        <v>7.96547386054966</v>
      </c>
      <c r="BC14" s="72">
        <f t="shared" si="35"/>
        <v>1.13666133052709</v>
      </c>
      <c r="BD14" s="72">
        <f t="shared" si="33"/>
        <v>0.590261121558533</v>
      </c>
      <c r="BE14" s="72">
        <f t="shared" si="34"/>
        <v>23.1214336233354</v>
      </c>
      <c r="BF14" s="1"/>
    </row>
    <row r="15" ht="25" customHeight="1" spans="1:58">
      <c r="A15" s="54">
        <v>34</v>
      </c>
      <c r="B15" s="54" t="s">
        <v>198</v>
      </c>
      <c r="C15" s="55">
        <v>0.413764589074592</v>
      </c>
      <c r="D15" s="55">
        <v>-22.4763455062503</v>
      </c>
      <c r="E15" s="55">
        <v>10.1814417080287</v>
      </c>
      <c r="F15" s="55">
        <v>1.12344815011812</v>
      </c>
      <c r="G15" s="56">
        <v>1</v>
      </c>
      <c r="H15" s="57">
        <f t="shared" si="15"/>
        <v>8.36637353682585e-5</v>
      </c>
      <c r="I15" s="57">
        <f t="shared" si="16"/>
        <v>0.000333333333333333</v>
      </c>
      <c r="J15" s="58">
        <f t="shared" si="0"/>
        <v>0.0368049303133325</v>
      </c>
      <c r="K15" s="58"/>
      <c r="L15" s="58">
        <f t="shared" si="1"/>
        <v>2.45655467907236</v>
      </c>
      <c r="M15" s="57">
        <f t="shared" si="2"/>
        <v>0.000765423082866653</v>
      </c>
      <c r="N15" s="57">
        <f t="shared" si="3"/>
        <v>0.00197776498658288</v>
      </c>
      <c r="O15" s="57">
        <f t="shared" si="4"/>
        <v>0.206998702536703</v>
      </c>
      <c r="P15" s="59">
        <v>0.0302</v>
      </c>
      <c r="Q15" s="60">
        <f t="shared" si="17"/>
        <v>0.0302</v>
      </c>
      <c r="R15" s="61">
        <v>1000</v>
      </c>
      <c r="S15" s="59">
        <v>1.1616</v>
      </c>
      <c r="T15" s="59">
        <v>9.801</v>
      </c>
      <c r="U15" s="62">
        <v>4e-6</v>
      </c>
      <c r="V15" s="63"/>
      <c r="W15" s="63">
        <f t="shared" si="18"/>
        <v>4e-6</v>
      </c>
      <c r="X15" s="64">
        <v>0.001147</v>
      </c>
      <c r="Y15" s="64">
        <v>1.85e-5</v>
      </c>
      <c r="Z15" s="65">
        <f t="shared" si="5"/>
        <v>-1.84450012998403</v>
      </c>
      <c r="AA15" s="66">
        <f t="shared" si="6"/>
        <v>0.00112344815011812</v>
      </c>
      <c r="AB15" s="65">
        <f t="shared" si="19"/>
        <v>6.68711188440703</v>
      </c>
      <c r="AC15" s="65">
        <f t="shared" si="20"/>
        <v>12.7374568614026</v>
      </c>
      <c r="AD15" s="65">
        <f t="shared" si="21"/>
        <v>1.6384360856402</v>
      </c>
      <c r="AE15" s="96">
        <f t="shared" si="7"/>
        <v>7.77415547242762</v>
      </c>
      <c r="AF15" s="96">
        <f t="shared" si="8"/>
        <v>0.849892526223708</v>
      </c>
      <c r="AG15" s="96">
        <f t="shared" si="22"/>
        <v>2.90777156588383</v>
      </c>
      <c r="AH15" s="96"/>
      <c r="AI15" s="63">
        <f t="shared" si="23"/>
        <v>89.4626138539658</v>
      </c>
      <c r="AJ15" s="68">
        <f t="shared" si="24"/>
        <v>7.95335613996153</v>
      </c>
      <c r="AK15" s="69">
        <f t="shared" si="9"/>
        <v>1168.21655299768</v>
      </c>
      <c r="AL15" s="69"/>
      <c r="AM15" s="69">
        <f t="shared" si="10"/>
        <v>0.0157148338963098</v>
      </c>
      <c r="AN15" s="69">
        <f t="shared" si="25"/>
        <v>0.000100436539345708</v>
      </c>
      <c r="AO15" s="65">
        <f t="shared" si="26"/>
        <v>0.00685213764935877</v>
      </c>
      <c r="AP15" s="68">
        <v>10.545</v>
      </c>
      <c r="AQ15" s="68">
        <f t="shared" si="27"/>
        <v>1.53893580946769</v>
      </c>
      <c r="AR15" s="68">
        <f t="shared" si="28"/>
        <v>8.4760942722568</v>
      </c>
      <c r="AS15" s="68">
        <f t="shared" si="29"/>
        <v>11.9912408863779</v>
      </c>
      <c r="AT15" s="71">
        <f t="shared" si="30"/>
        <v>0.0249082617577355</v>
      </c>
      <c r="AU15" s="71"/>
      <c r="AV15" s="65"/>
      <c r="AW15" s="65">
        <f t="shared" si="31"/>
        <v>0.00852415175197412</v>
      </c>
      <c r="AX15" s="65">
        <f t="shared" si="11"/>
        <v>0.803849796288749</v>
      </c>
      <c r="AY15" s="65">
        <f t="shared" si="12"/>
        <v>2.39411062927036</v>
      </c>
      <c r="AZ15" s="69">
        <f t="shared" si="13"/>
        <v>0.00286208062634393</v>
      </c>
      <c r="BA15" s="69">
        <f t="shared" si="14"/>
        <v>5.08422022621902e-7</v>
      </c>
      <c r="BB15" s="72">
        <f t="shared" si="32"/>
        <v>7.92278415707108</v>
      </c>
      <c r="BC15" s="72">
        <f t="shared" si="35"/>
        <v>1.75930076601661</v>
      </c>
      <c r="BD15" s="72">
        <f t="shared" si="33"/>
        <v>0.920366440199168</v>
      </c>
      <c r="BE15" s="72">
        <f t="shared" si="34"/>
        <v>16.014329032683</v>
      </c>
      <c r="BF15" s="1"/>
    </row>
    <row r="16" ht="25" customHeight="1" spans="1:58">
      <c r="A16" s="54">
        <v>35</v>
      </c>
      <c r="B16" s="54" t="s">
        <v>198</v>
      </c>
      <c r="C16" s="55">
        <v>0.39823539947186</v>
      </c>
      <c r="D16" s="55">
        <v>-22.7517607063105</v>
      </c>
      <c r="E16" s="55">
        <v>10.0744543592977</v>
      </c>
      <c r="F16" s="55">
        <v>1.12528803677558</v>
      </c>
      <c r="G16" s="56">
        <v>1</v>
      </c>
      <c r="H16" s="57">
        <f t="shared" si="15"/>
        <v>8.36637353682585e-5</v>
      </c>
      <c r="I16" s="57">
        <f t="shared" si="16"/>
        <v>0.000333333333333333</v>
      </c>
      <c r="J16" s="58">
        <f t="shared" si="0"/>
        <v>0.0353570203221665</v>
      </c>
      <c r="K16" s="58"/>
      <c r="L16" s="58">
        <f t="shared" si="1"/>
        <v>2.27514533494251</v>
      </c>
      <c r="M16" s="57">
        <f t="shared" si="2"/>
        <v>0.000766049598471429</v>
      </c>
      <c r="N16" s="57">
        <f t="shared" si="3"/>
        <v>0.00213820739921697</v>
      </c>
      <c r="O16" s="57">
        <f t="shared" si="4"/>
        <v>0.191259940524074</v>
      </c>
      <c r="P16" s="59">
        <v>0.0302</v>
      </c>
      <c r="Q16" s="60">
        <f t="shared" si="17"/>
        <v>0.0302</v>
      </c>
      <c r="R16" s="61">
        <v>1000</v>
      </c>
      <c r="S16" s="59">
        <v>1.1616</v>
      </c>
      <c r="T16" s="59">
        <v>9.801</v>
      </c>
      <c r="U16" s="62">
        <v>4e-6</v>
      </c>
      <c r="V16" s="63"/>
      <c r="W16" s="63">
        <f t="shared" si="18"/>
        <v>4e-6</v>
      </c>
      <c r="X16" s="64">
        <v>0.001147</v>
      </c>
      <c r="Y16" s="64">
        <v>1.85e-5</v>
      </c>
      <c r="Z16" s="65">
        <f t="shared" si="5"/>
        <v>-1.90826863293298</v>
      </c>
      <c r="AA16" s="66">
        <f t="shared" si="6"/>
        <v>0.00112528803677558</v>
      </c>
      <c r="AB16" s="65">
        <f t="shared" si="19"/>
        <v>6.04441556536758</v>
      </c>
      <c r="AC16" s="65">
        <f t="shared" si="20"/>
        <v>11.8186121014361</v>
      </c>
      <c r="AD16" s="65">
        <f t="shared" si="21"/>
        <v>1.64380705922199</v>
      </c>
      <c r="AE16" s="96">
        <f t="shared" si="7"/>
        <v>7.18978059811337</v>
      </c>
      <c r="AF16" s="96">
        <f t="shared" si="8"/>
        <v>0.855167508065723</v>
      </c>
      <c r="AG16" s="96">
        <f t="shared" si="22"/>
        <v>2.89061125441839</v>
      </c>
      <c r="AH16" s="96"/>
      <c r="AI16" s="63">
        <f t="shared" si="23"/>
        <v>86.1049512371589</v>
      </c>
      <c r="AJ16" s="68">
        <f t="shared" si="24"/>
        <v>5.31302157330274</v>
      </c>
      <c r="AK16" s="69">
        <f t="shared" si="9"/>
        <v>1261.10216498897</v>
      </c>
      <c r="AL16" s="69"/>
      <c r="AM16" s="69">
        <f t="shared" si="10"/>
        <v>0.0151250332183518</v>
      </c>
      <c r="AN16" s="69">
        <f t="shared" si="25"/>
        <v>0.000100354397067564</v>
      </c>
      <c r="AO16" s="65">
        <f t="shared" si="26"/>
        <v>0.006868977300956</v>
      </c>
      <c r="AP16" s="68">
        <v>10.236</v>
      </c>
      <c r="AQ16" s="68">
        <f t="shared" si="27"/>
        <v>1.49017816648999</v>
      </c>
      <c r="AR16" s="68">
        <f t="shared" si="28"/>
        <v>8.49692492128257</v>
      </c>
      <c r="AS16" s="68">
        <f t="shared" si="29"/>
        <v>12.020710276673</v>
      </c>
      <c r="AT16" s="71">
        <f t="shared" si="30"/>
        <v>0.0248878904727558</v>
      </c>
      <c r="AU16" s="71"/>
      <c r="AV16" s="65"/>
      <c r="AW16" s="65">
        <f t="shared" si="31"/>
        <v>0.00923207714649229</v>
      </c>
      <c r="AX16" s="65">
        <f t="shared" si="11"/>
        <v>0.744033784809289</v>
      </c>
      <c r="AY16" s="65">
        <f t="shared" si="12"/>
        <v>2.59718649188425</v>
      </c>
      <c r="AZ16" s="69">
        <f t="shared" si="13"/>
        <v>0.00264477630790871</v>
      </c>
      <c r="BA16" s="69">
        <f t="shared" si="14"/>
        <v>4.73292304856492e-7</v>
      </c>
      <c r="BB16" s="72">
        <f t="shared" si="32"/>
        <v>7.94225500423038</v>
      </c>
      <c r="BC16" s="72">
        <f t="shared" si="35"/>
        <v>1.90073836866909</v>
      </c>
      <c r="BD16" s="72">
        <f t="shared" si="33"/>
        <v>0.9910119547906</v>
      </c>
      <c r="BE16" s="72">
        <f t="shared" si="34"/>
        <v>15.1062262198801</v>
      </c>
      <c r="BF16" s="1"/>
    </row>
    <row r="17" ht="25" customHeight="1" spans="1:58">
      <c r="A17" s="54">
        <v>36</v>
      </c>
      <c r="B17" s="54" t="s">
        <v>198</v>
      </c>
      <c r="C17" s="55">
        <v>0.351669338204214</v>
      </c>
      <c r="D17" s="55">
        <v>-21.1230303559552</v>
      </c>
      <c r="E17" s="55">
        <v>10.1389246156869</v>
      </c>
      <c r="F17" s="55">
        <v>1.13200164611805</v>
      </c>
      <c r="G17" s="56">
        <v>1</v>
      </c>
      <c r="H17" s="57">
        <f t="shared" si="15"/>
        <v>8.36637353682585e-5</v>
      </c>
      <c r="I17" s="57">
        <f t="shared" si="16"/>
        <v>0.000333333333333333</v>
      </c>
      <c r="J17" s="58">
        <f t="shared" si="0"/>
        <v>0.0310100070007248</v>
      </c>
      <c r="K17" s="58"/>
      <c r="L17" s="58">
        <f t="shared" si="1"/>
        <v>1.77284526607401</v>
      </c>
      <c r="M17" s="57">
        <f t="shared" si="2"/>
        <v>0.00076833137410955</v>
      </c>
      <c r="N17" s="57">
        <f t="shared" si="3"/>
        <v>0.00275687854345832</v>
      </c>
      <c r="O17" s="57">
        <f t="shared" si="4"/>
        <v>0.147759224854633</v>
      </c>
      <c r="P17" s="59">
        <v>0.0302</v>
      </c>
      <c r="Q17" s="60">
        <f t="shared" si="17"/>
        <v>0.0302</v>
      </c>
      <c r="R17" s="61">
        <v>1000</v>
      </c>
      <c r="S17" s="59">
        <v>1.1616</v>
      </c>
      <c r="T17" s="59">
        <v>9.801</v>
      </c>
      <c r="U17" s="62">
        <v>4e-6</v>
      </c>
      <c r="V17" s="63"/>
      <c r="W17" s="63">
        <f t="shared" si="18"/>
        <v>4e-6</v>
      </c>
      <c r="X17" s="64">
        <v>0.001147</v>
      </c>
      <c r="Y17" s="64">
        <v>1.85e-5</v>
      </c>
      <c r="Z17" s="65">
        <f t="shared" si="5"/>
        <v>-1.68971151338025</v>
      </c>
      <c r="AA17" s="66">
        <f t="shared" si="6"/>
        <v>0.00113200164611805</v>
      </c>
      <c r="AB17" s="65">
        <f t="shared" si="19"/>
        <v>4.26459344714525</v>
      </c>
      <c r="AC17" s="65">
        <f t="shared" si="20"/>
        <v>9.27126766249949</v>
      </c>
      <c r="AD17" s="65">
        <f t="shared" si="21"/>
        <v>1.66347988748394</v>
      </c>
      <c r="AE17" s="96">
        <f t="shared" si="7"/>
        <v>5.57341734772792</v>
      </c>
      <c r="AF17" s="96">
        <f t="shared" si="8"/>
        <v>0.875598181726309</v>
      </c>
      <c r="AG17" s="96">
        <f t="shared" si="22"/>
        <v>2.82666369087254</v>
      </c>
      <c r="AH17" s="96"/>
      <c r="AI17" s="63">
        <f t="shared" si="23"/>
        <v>76.036613665776</v>
      </c>
      <c r="AJ17" s="68">
        <f t="shared" si="24"/>
        <v>5.18122621067381</v>
      </c>
      <c r="AK17" s="69">
        <f t="shared" si="9"/>
        <v>1617.18977729197</v>
      </c>
      <c r="AL17" s="69"/>
      <c r="AM17" s="69">
        <f t="shared" si="10"/>
        <v>0.0133564480437163</v>
      </c>
      <c r="AN17" s="69">
        <f t="shared" si="25"/>
        <v>0.00010005636652225</v>
      </c>
      <c r="AO17" s="65">
        <f t="shared" si="26"/>
        <v>0.00693054066518234</v>
      </c>
      <c r="AP17" s="68">
        <v>10.505</v>
      </c>
      <c r="AQ17" s="68">
        <f t="shared" si="27"/>
        <v>1.51575475962143</v>
      </c>
      <c r="AR17" s="68">
        <f t="shared" si="28"/>
        <v>8.57307880283055</v>
      </c>
      <c r="AS17" s="68">
        <f t="shared" si="29"/>
        <v>12.1284461640691</v>
      </c>
      <c r="AT17" s="71">
        <f t="shared" si="30"/>
        <v>0.0248139788975181</v>
      </c>
      <c r="AU17" s="71"/>
      <c r="AV17" s="65"/>
      <c r="AW17" s="65">
        <f t="shared" si="31"/>
        <v>0.0119805527101962</v>
      </c>
      <c r="AX17" s="65">
        <f t="shared" si="11"/>
        <v>0.57848254857925</v>
      </c>
      <c r="AY17" s="65">
        <f t="shared" si="12"/>
        <v>3.39050134733654</v>
      </c>
      <c r="AZ17" s="69">
        <f t="shared" si="13"/>
        <v>0.0020441049730379</v>
      </c>
      <c r="BA17" s="69">
        <f t="shared" si="14"/>
        <v>3.75723878758349e-7</v>
      </c>
      <c r="BB17" s="72">
        <f t="shared" si="32"/>
        <v>8.01343764411708</v>
      </c>
      <c r="BC17" s="72">
        <f t="shared" si="35"/>
        <v>2.44469529088889</v>
      </c>
      <c r="BD17" s="72">
        <f t="shared" si="33"/>
        <v>1.25905546576412</v>
      </c>
      <c r="BE17" s="72">
        <f t="shared" si="34"/>
        <v>12.5982274374674</v>
      </c>
      <c r="BF17" s="1"/>
    </row>
    <row r="18" ht="25" customHeight="1" spans="1:58">
      <c r="A18" s="54">
        <v>39</v>
      </c>
      <c r="B18" s="54" t="s">
        <v>198</v>
      </c>
      <c r="C18" s="55">
        <v>0.34844810002651</v>
      </c>
      <c r="D18" s="55">
        <v>-21.4933309330614</v>
      </c>
      <c r="E18" s="55">
        <v>10.192037738067</v>
      </c>
      <c r="F18" s="55">
        <v>1.12992329148895</v>
      </c>
      <c r="G18" s="56">
        <v>1</v>
      </c>
      <c r="H18" s="57">
        <f t="shared" si="15"/>
        <v>8.36637353682585e-5</v>
      </c>
      <c r="I18" s="57">
        <f t="shared" si="16"/>
        <v>0.000333333333333333</v>
      </c>
      <c r="J18" s="58">
        <f t="shared" si="0"/>
        <v>0.0307908978115504</v>
      </c>
      <c r="K18" s="58"/>
      <c r="L18" s="58">
        <f t="shared" si="1"/>
        <v>1.74092105229327</v>
      </c>
      <c r="M18" s="57">
        <f t="shared" si="2"/>
        <v>0.000767625721998486</v>
      </c>
      <c r="N18" s="57">
        <f t="shared" si="3"/>
        <v>0.0028033810079273</v>
      </c>
      <c r="O18" s="57">
        <f t="shared" si="4"/>
        <v>0.145484117332185</v>
      </c>
      <c r="P18" s="59">
        <v>0.0302</v>
      </c>
      <c r="Q18" s="60">
        <f t="shared" si="17"/>
        <v>0.0302</v>
      </c>
      <c r="R18" s="61">
        <v>1000</v>
      </c>
      <c r="S18" s="59">
        <v>1.1616</v>
      </c>
      <c r="T18" s="59">
        <v>9.801</v>
      </c>
      <c r="U18" s="62">
        <v>4e-6</v>
      </c>
      <c r="V18" s="63"/>
      <c r="W18" s="63">
        <f t="shared" si="18"/>
        <v>4e-6</v>
      </c>
      <c r="X18" s="64">
        <v>0.001147</v>
      </c>
      <c r="Y18" s="64">
        <v>1.85e-5</v>
      </c>
      <c r="Z18" s="65">
        <f t="shared" si="5"/>
        <v>-1.74746721568073</v>
      </c>
      <c r="AA18" s="66">
        <f t="shared" si="6"/>
        <v>0.00112992329148895</v>
      </c>
      <c r="AB18" s="65">
        <f t="shared" si="19"/>
        <v>4.14964721774132</v>
      </c>
      <c r="AC18" s="65">
        <f t="shared" si="20"/>
        <v>9.08548708338167</v>
      </c>
      <c r="AD18" s="65">
        <f t="shared" si="21"/>
        <v>1.65737719790822</v>
      </c>
      <c r="AE18" s="96">
        <f t="shared" si="7"/>
        <v>5.48184631407293</v>
      </c>
      <c r="AF18" s="96">
        <f t="shared" si="8"/>
        <v>0.877121906836395</v>
      </c>
      <c r="AG18" s="96">
        <f t="shared" si="22"/>
        <v>2.82204985522681</v>
      </c>
      <c r="AH18" s="96"/>
      <c r="AI18" s="63">
        <f t="shared" si="23"/>
        <v>75.3401297354616</v>
      </c>
      <c r="AJ18" s="68">
        <f t="shared" si="24"/>
        <v>5.86465401334791</v>
      </c>
      <c r="AK18" s="69">
        <f t="shared" si="9"/>
        <v>1647.22829641394</v>
      </c>
      <c r="AL18" s="69"/>
      <c r="AM18" s="69">
        <f t="shared" si="10"/>
        <v>0.0132341049910731</v>
      </c>
      <c r="AN18" s="69">
        <f t="shared" si="25"/>
        <v>0.000100148344922972</v>
      </c>
      <c r="AO18" s="65">
        <f t="shared" si="26"/>
        <v>0.00691146272327992</v>
      </c>
      <c r="AP18" s="68">
        <v>10.43</v>
      </c>
      <c r="AQ18" s="68">
        <f t="shared" si="27"/>
        <v>1.50908721027585</v>
      </c>
      <c r="AR18" s="68">
        <f t="shared" si="28"/>
        <v>8.54947938869726</v>
      </c>
      <c r="AS18" s="68">
        <f t="shared" si="29"/>
        <v>12.0950597657399</v>
      </c>
      <c r="AT18" s="71">
        <f t="shared" si="30"/>
        <v>0.0248367895408969</v>
      </c>
      <c r="AU18" s="71"/>
      <c r="AV18" s="65"/>
      <c r="AW18" s="65">
        <f t="shared" si="31"/>
        <v>0.0121583171041434</v>
      </c>
      <c r="AX18" s="65">
        <f t="shared" si="11"/>
        <v>0.568455540687007</v>
      </c>
      <c r="AY18" s="65">
        <f t="shared" si="12"/>
        <v>3.43449142032002</v>
      </c>
      <c r="AZ18" s="69">
        <f t="shared" si="13"/>
        <v>0.00201236860933428</v>
      </c>
      <c r="BA18" s="69">
        <f t="shared" si="14"/>
        <v>3.66844234776734e-7</v>
      </c>
      <c r="BB18" s="72">
        <f t="shared" si="32"/>
        <v>7.9913787737924</v>
      </c>
      <c r="BC18" s="72">
        <f t="shared" si="35"/>
        <v>2.48781735976035</v>
      </c>
      <c r="BD18" s="72">
        <f t="shared" si="33"/>
        <v>1.28614409958902</v>
      </c>
      <c r="BE18" s="72">
        <f t="shared" si="34"/>
        <v>12.4002414791981</v>
      </c>
      <c r="BF18" s="1"/>
    </row>
    <row r="19" ht="25" customHeight="1" spans="1:58">
      <c r="A19" s="54">
        <v>44</v>
      </c>
      <c r="B19" s="54" t="s">
        <v>198</v>
      </c>
      <c r="C19" s="55">
        <v>0.18248599114776</v>
      </c>
      <c r="D19" s="55">
        <v>-14.2504330683497</v>
      </c>
      <c r="E19" s="55">
        <v>11.0154936145945</v>
      </c>
      <c r="F19" s="55">
        <v>1.75057525713118</v>
      </c>
      <c r="G19" s="56">
        <v>1</v>
      </c>
      <c r="H19" s="57">
        <f t="shared" si="15"/>
        <v>8.36637353682585e-5</v>
      </c>
      <c r="I19" s="57">
        <f t="shared" si="16"/>
        <v>0.000333333333333333</v>
      </c>
      <c r="J19" s="58">
        <f t="shared" si="0"/>
        <v>0.00984339140834744</v>
      </c>
      <c r="K19" s="58"/>
      <c r="L19" s="58">
        <f t="shared" si="1"/>
        <v>0.455533317814771</v>
      </c>
      <c r="M19" s="57">
        <f t="shared" si="2"/>
        <v>0.00095546642649772</v>
      </c>
      <c r="N19" s="57">
        <f t="shared" si="3"/>
        <v>0.0153363286211498</v>
      </c>
      <c r="O19" s="57">
        <f t="shared" si="4"/>
        <v>0.0201641374260595</v>
      </c>
      <c r="P19" s="59">
        <v>0.0302</v>
      </c>
      <c r="Q19" s="60">
        <f t="shared" si="17"/>
        <v>0.0302</v>
      </c>
      <c r="R19" s="61">
        <v>1000</v>
      </c>
      <c r="S19" s="59">
        <v>1.1616</v>
      </c>
      <c r="T19" s="59">
        <v>9.801</v>
      </c>
      <c r="U19" s="62">
        <v>4e-6</v>
      </c>
      <c r="V19" s="63"/>
      <c r="W19" s="63">
        <f t="shared" si="18"/>
        <v>4e-6</v>
      </c>
      <c r="X19" s="64">
        <v>0.001147</v>
      </c>
      <c r="Y19" s="64">
        <v>1.85e-5</v>
      </c>
      <c r="Z19" s="65">
        <f t="shared" si="5"/>
        <v>-1.6943806110218</v>
      </c>
      <c r="AA19" s="66">
        <f t="shared" si="6"/>
        <v>0.00175057525713118</v>
      </c>
      <c r="AB19" s="65">
        <f t="shared" si="19"/>
        <v>-0.34143032797246</v>
      </c>
      <c r="AC19" s="65">
        <f t="shared" si="20"/>
        <v>3.86067194738948</v>
      </c>
      <c r="AD19" s="65">
        <f t="shared" si="21"/>
        <v>3.97818530812634</v>
      </c>
      <c r="AE19" s="96">
        <f t="shared" si="7"/>
        <v>0.970460561377871</v>
      </c>
      <c r="AF19" s="96" t="e">
        <f t="shared" si="8"/>
        <v>#NUM!</v>
      </c>
      <c r="AG19" s="96" t="e">
        <f t="shared" si="22"/>
        <v>#NUM!</v>
      </c>
      <c r="AH19" s="96"/>
      <c r="AI19" s="63">
        <f t="shared" si="23"/>
        <v>39.4564305184346</v>
      </c>
      <c r="AJ19" s="68">
        <f t="shared" si="24"/>
        <v>11.9912779294493</v>
      </c>
      <c r="AK19" s="69">
        <f t="shared" si="9"/>
        <v>6005.80094935257</v>
      </c>
      <c r="AL19" s="69"/>
      <c r="AM19" s="69">
        <f t="shared" si="10"/>
        <v>0.00693084211412188</v>
      </c>
      <c r="AN19" s="69">
        <f t="shared" si="25"/>
        <v>8.04595990465531e-5</v>
      </c>
      <c r="AO19" s="65">
        <f t="shared" si="26"/>
        <v>0.0133280835707704</v>
      </c>
      <c r="AP19" s="68">
        <v>20.909</v>
      </c>
      <c r="AQ19" s="68">
        <f t="shared" si="27"/>
        <v>1.56879268418268</v>
      </c>
      <c r="AR19" s="68">
        <f t="shared" si="28"/>
        <v>16.486839377043</v>
      </c>
      <c r="AS19" s="68">
        <f t="shared" si="29"/>
        <v>23.3241462488483</v>
      </c>
      <c r="AT19" s="71">
        <f t="shared" si="30"/>
        <v>0.0199539805635452</v>
      </c>
      <c r="AU19" s="71"/>
      <c r="AV19" s="65"/>
      <c r="AW19" s="65">
        <f t="shared" si="31"/>
        <v>0.106403093835349</v>
      </c>
      <c r="AX19" s="65">
        <f t="shared" si="11"/>
        <v>0.125260301090443</v>
      </c>
      <c r="AY19" s="65">
        <f t="shared" si="12"/>
        <v>46.5666558375921</v>
      </c>
      <c r="AZ19" s="69">
        <f t="shared" si="13"/>
        <v>0.000286215175452024</v>
      </c>
      <c r="BA19" s="69">
        <f t="shared" si="14"/>
        <v>3.7416230508182e-7</v>
      </c>
      <c r="BB19" s="72">
        <f t="shared" si="32"/>
        <v>15.4105966287033</v>
      </c>
      <c r="BC19" s="72">
        <f t="shared" si="35"/>
        <v>11.2901976928187</v>
      </c>
      <c r="BD19" s="72">
        <f t="shared" si="33"/>
        <v>1.82445685096608</v>
      </c>
      <c r="BE19" s="72">
        <f t="shared" si="34"/>
        <v>11.8170425636422</v>
      </c>
      <c r="BF19" s="1"/>
    </row>
    <row r="20" ht="25" customHeight="1" spans="1:58">
      <c r="A20" s="54">
        <v>45</v>
      </c>
      <c r="B20" s="54" t="s">
        <v>198</v>
      </c>
      <c r="C20" s="55">
        <v>1.75763280241481</v>
      </c>
      <c r="D20" s="55">
        <v>-95.4574380371422</v>
      </c>
      <c r="E20" s="55">
        <v>9.04189162333139</v>
      </c>
      <c r="F20" s="55">
        <v>1.73275075410634</v>
      </c>
      <c r="G20" s="56">
        <v>1</v>
      </c>
      <c r="H20" s="57">
        <f t="shared" si="15"/>
        <v>8.36637353682585e-5</v>
      </c>
      <c r="I20" s="57">
        <f t="shared" si="16"/>
        <v>0.000333333333333333</v>
      </c>
      <c r="J20" s="58">
        <f t="shared" si="0"/>
        <v>0.095888767776451</v>
      </c>
      <c r="K20" s="58"/>
      <c r="L20" s="58">
        <f t="shared" si="1"/>
        <v>42.2978640576897</v>
      </c>
      <c r="M20" s="57">
        <f t="shared" si="2"/>
        <v>0.000950589661474662</v>
      </c>
      <c r="N20" s="57">
        <f t="shared" si="3"/>
        <v>0.000163737566859572</v>
      </c>
      <c r="O20" s="57">
        <f t="shared" si="4"/>
        <v>1.90046326897932</v>
      </c>
      <c r="P20" s="59">
        <v>0.0302</v>
      </c>
      <c r="Q20" s="60">
        <f t="shared" si="17"/>
        <v>0.0302</v>
      </c>
      <c r="R20" s="61">
        <v>1000</v>
      </c>
      <c r="S20" s="59">
        <v>1.1616</v>
      </c>
      <c r="T20" s="59">
        <v>9.801</v>
      </c>
      <c r="U20" s="62">
        <v>4e-6</v>
      </c>
      <c r="V20" s="63"/>
      <c r="W20" s="63">
        <f t="shared" si="18"/>
        <v>4e-6</v>
      </c>
      <c r="X20" s="64">
        <v>0.001147</v>
      </c>
      <c r="Y20" s="64">
        <v>1.85e-5</v>
      </c>
      <c r="Z20" s="65">
        <f t="shared" si="5"/>
        <v>-32.8745882567762</v>
      </c>
      <c r="AA20" s="66">
        <f t="shared" si="6"/>
        <v>0.00173275075410634</v>
      </c>
      <c r="AB20" s="65">
        <f t="shared" si="19"/>
        <v>155.416568202066</v>
      </c>
      <c r="AC20" s="65">
        <f t="shared" si="20"/>
        <v>354.499353538623</v>
      </c>
      <c r="AD20" s="65">
        <f t="shared" si="21"/>
        <v>3.8975853176908</v>
      </c>
      <c r="AE20" s="96">
        <f t="shared" si="7"/>
        <v>90.9535839868805</v>
      </c>
      <c r="AF20" s="96">
        <f t="shared" si="8"/>
        <v>0.790895583643039</v>
      </c>
      <c r="AG20" s="96">
        <f t="shared" si="22"/>
        <v>3.11979154107505</v>
      </c>
      <c r="AH20" s="96"/>
      <c r="AI20" s="63">
        <f t="shared" si="23"/>
        <v>380.028714035635</v>
      </c>
      <c r="AJ20" s="68">
        <f t="shared" si="24"/>
        <v>-681.211350148647</v>
      </c>
      <c r="AK20" s="69">
        <f t="shared" si="9"/>
        <v>64.74014941043</v>
      </c>
      <c r="AL20" s="69"/>
      <c r="AM20" s="69">
        <f t="shared" si="10"/>
        <v>0.0667551266347612</v>
      </c>
      <c r="AN20" s="69">
        <f t="shared" si="25"/>
        <v>8.08723771087411e-5</v>
      </c>
      <c r="AO20" s="65">
        <f t="shared" si="26"/>
        <v>0.0131250411385196</v>
      </c>
      <c r="AP20" s="68"/>
      <c r="AQ20" s="68"/>
      <c r="AR20" s="68">
        <f t="shared" si="28"/>
        <v>16.2356758883487</v>
      </c>
      <c r="AS20" s="68">
        <f t="shared" si="29"/>
        <v>22.9688219924093</v>
      </c>
      <c r="AT20" s="71">
        <f t="shared" si="30"/>
        <v>0.0200563495229678</v>
      </c>
      <c r="AU20" s="71"/>
      <c r="AV20" s="65"/>
      <c r="AW20" s="65">
        <f t="shared" si="31"/>
        <v>0.00112374465870417</v>
      </c>
      <c r="AX20" s="65">
        <f t="shared" si="11"/>
        <v>11.679736172143</v>
      </c>
      <c r="AY20" s="65">
        <f t="shared" si="12"/>
        <v>0.486792351198157</v>
      </c>
      <c r="AZ20" s="69">
        <f t="shared" si="13"/>
        <v>0.0269622994408489</v>
      </c>
      <c r="BA20" s="69">
        <f t="shared" si="14"/>
        <v>3.36607045195473e-5</v>
      </c>
      <c r="BB20" s="72">
        <f t="shared" si="32"/>
        <v>15.1758288164133</v>
      </c>
      <c r="BC20" s="72">
        <f t="shared" si="35"/>
        <v>0.121082663300743</v>
      </c>
      <c r="BD20" s="72">
        <f t="shared" si="33"/>
        <v>0.0203239562856733</v>
      </c>
      <c r="BE20" s="72">
        <f t="shared" si="34"/>
        <v>362.294524174004</v>
      </c>
      <c r="BF20" s="1"/>
    </row>
    <row r="21" ht="25" customHeight="1" spans="1:58">
      <c r="A21" s="54">
        <v>46</v>
      </c>
      <c r="B21" s="54" t="s">
        <v>198</v>
      </c>
      <c r="C21" s="55">
        <v>0.368767369066553</v>
      </c>
      <c r="D21" s="55">
        <v>-9.5297995869277</v>
      </c>
      <c r="E21" s="55">
        <v>10.2311976738908</v>
      </c>
      <c r="F21" s="55">
        <v>1.90436999185702</v>
      </c>
      <c r="G21" s="56">
        <v>1</v>
      </c>
      <c r="H21" s="57">
        <f t="shared" si="15"/>
        <v>8.36637353682585e-5</v>
      </c>
      <c r="I21" s="57">
        <f t="shared" si="16"/>
        <v>0.000333333333333333</v>
      </c>
      <c r="J21" s="58">
        <f t="shared" si="0"/>
        <v>0.0181256713581543</v>
      </c>
      <c r="K21" s="58"/>
      <c r="L21" s="58">
        <f t="shared" si="1"/>
        <v>1.8466793858566</v>
      </c>
      <c r="M21" s="57">
        <f t="shared" si="2"/>
        <v>0.000996553693503585</v>
      </c>
      <c r="N21" s="57">
        <f t="shared" si="3"/>
        <v>0.00406559123690894</v>
      </c>
      <c r="O21" s="57">
        <f t="shared" si="4"/>
        <v>0.0722886245136612</v>
      </c>
      <c r="P21" s="59">
        <v>0.0302</v>
      </c>
      <c r="Q21" s="60">
        <f t="shared" si="17"/>
        <v>0.0302</v>
      </c>
      <c r="R21" s="61">
        <v>1000</v>
      </c>
      <c r="S21" s="59">
        <v>1.1616</v>
      </c>
      <c r="T21" s="59">
        <v>9.801</v>
      </c>
      <c r="U21" s="62">
        <v>4e-6</v>
      </c>
      <c r="V21" s="63"/>
      <c r="W21" s="63">
        <f t="shared" si="18"/>
        <v>4e-6</v>
      </c>
      <c r="X21" s="64">
        <v>0.001147</v>
      </c>
      <c r="Y21" s="64">
        <v>1.85e-5</v>
      </c>
      <c r="Z21" s="65">
        <f t="shared" si="5"/>
        <v>0.368092720605909</v>
      </c>
      <c r="AA21" s="66">
        <f t="shared" si="6"/>
        <v>0.00190436999185702</v>
      </c>
      <c r="AB21" s="65">
        <f t="shared" si="19"/>
        <v>4.89242469359161</v>
      </c>
      <c r="AC21" s="65">
        <f t="shared" si="20"/>
        <v>17.1506013362995</v>
      </c>
      <c r="AD21" s="65">
        <f t="shared" si="21"/>
        <v>4.70788771797932</v>
      </c>
      <c r="AE21" s="96">
        <f t="shared" si="7"/>
        <v>3.64295037683286</v>
      </c>
      <c r="AF21" s="96">
        <f t="shared" si="8"/>
        <v>0.924434453127747</v>
      </c>
      <c r="AG21" s="96">
        <f t="shared" si="22"/>
        <v>2.68873160678891</v>
      </c>
      <c r="AH21" s="96"/>
      <c r="AI21" s="63">
        <f t="shared" si="23"/>
        <v>79.733485203579</v>
      </c>
      <c r="AJ21" s="68">
        <f t="shared" si="24"/>
        <v>20.526990754591</v>
      </c>
      <c r="AK21" s="69">
        <f t="shared" si="9"/>
        <v>1470.70316114044</v>
      </c>
      <c r="AL21" s="69"/>
      <c r="AM21" s="69">
        <f t="shared" si="10"/>
        <v>0.0140058335205078</v>
      </c>
      <c r="AN21" s="69">
        <f t="shared" si="25"/>
        <v>7.71423015935798e-5</v>
      </c>
      <c r="AO21" s="65">
        <f t="shared" si="26"/>
        <v>0.0151224975459122</v>
      </c>
      <c r="AP21" s="68">
        <v>23.407</v>
      </c>
      <c r="AQ21" s="68">
        <f t="shared" si="27"/>
        <v>1.54782633813865</v>
      </c>
      <c r="AR21" s="68">
        <f t="shared" si="28"/>
        <v>18.7065294642934</v>
      </c>
      <c r="AS21" s="68">
        <f t="shared" si="29"/>
        <v>26.4643707053464</v>
      </c>
      <c r="AT21" s="71">
        <f t="shared" si="30"/>
        <v>0.0191312907952078</v>
      </c>
      <c r="AU21" s="71"/>
      <c r="AV21" s="65"/>
      <c r="AW21" s="65">
        <f t="shared" si="31"/>
        <v>0.0308353892344926</v>
      </c>
      <c r="AX21" s="65">
        <f t="shared" si="11"/>
        <v>0.490426679258394</v>
      </c>
      <c r="AY21" s="65">
        <f t="shared" si="12"/>
        <v>14.6804974863497</v>
      </c>
      <c r="AZ21" s="69">
        <f t="shared" si="13"/>
        <v>0.00103010797556238</v>
      </c>
      <c r="BA21" s="69">
        <f t="shared" si="14"/>
        <v>1.96705983980724e-6</v>
      </c>
      <c r="BB21" s="72">
        <f t="shared" si="32"/>
        <v>17.485387787461</v>
      </c>
      <c r="BC21" s="72">
        <f t="shared" si="35"/>
        <v>2.88363912932229</v>
      </c>
      <c r="BD21" s="72">
        <f t="shared" si="33"/>
        <v>0.325599345150788</v>
      </c>
      <c r="BE21" s="72">
        <f t="shared" si="34"/>
        <v>26.5663767722582</v>
      </c>
      <c r="BF21" s="1"/>
    </row>
    <row r="22" ht="25" customHeight="1" spans="1:58">
      <c r="A22" s="54">
        <v>47</v>
      </c>
      <c r="B22" s="54" t="s">
        <v>198</v>
      </c>
      <c r="C22" s="55">
        <v>0.362662844019943</v>
      </c>
      <c r="D22" s="55">
        <v>-15.8177025636706</v>
      </c>
      <c r="E22" s="55">
        <v>11.285341625366</v>
      </c>
      <c r="F22" s="55">
        <v>2.01633771782216</v>
      </c>
      <c r="G22" s="56">
        <v>1</v>
      </c>
      <c r="H22" s="57">
        <f t="shared" si="15"/>
        <v>8.36637353682585e-5</v>
      </c>
      <c r="I22" s="57">
        <f t="shared" si="16"/>
        <v>0.000333333333333333</v>
      </c>
      <c r="J22" s="58">
        <f t="shared" si="0"/>
        <v>0.0167414895488641</v>
      </c>
      <c r="K22" s="58"/>
      <c r="L22" s="58">
        <f t="shared" si="1"/>
        <v>1.77771400804465</v>
      </c>
      <c r="M22" s="57">
        <f t="shared" si="2"/>
        <v>0.00102543154993125</v>
      </c>
      <c r="N22" s="57">
        <f t="shared" si="3"/>
        <v>0.00443692664900576</v>
      </c>
      <c r="O22" s="57">
        <f t="shared" si="4"/>
        <v>0.064013549221014</v>
      </c>
      <c r="P22" s="59">
        <v>0.0302</v>
      </c>
      <c r="Q22" s="60">
        <f t="shared" si="17"/>
        <v>0.0302</v>
      </c>
      <c r="R22" s="61">
        <v>1000</v>
      </c>
      <c r="S22" s="59">
        <v>1.1616</v>
      </c>
      <c r="T22" s="59">
        <v>9.801</v>
      </c>
      <c r="U22" s="62">
        <v>4e-6</v>
      </c>
      <c r="V22" s="63"/>
      <c r="W22" s="63">
        <f t="shared" si="18"/>
        <v>4e-6</v>
      </c>
      <c r="X22" s="64">
        <v>0.001147</v>
      </c>
      <c r="Y22" s="64">
        <v>1.85e-5</v>
      </c>
      <c r="Z22" s="65">
        <f t="shared" si="5"/>
        <v>-3.00713958248647</v>
      </c>
      <c r="AA22" s="66">
        <f t="shared" si="6"/>
        <v>0.00201633771782216</v>
      </c>
      <c r="AB22" s="65">
        <f t="shared" si="19"/>
        <v>4.66484905365104</v>
      </c>
      <c r="AC22" s="65">
        <f t="shared" si="20"/>
        <v>17.5627473108163</v>
      </c>
      <c r="AD22" s="65">
        <f t="shared" si="21"/>
        <v>5.27776423608644</v>
      </c>
      <c r="AE22" s="96">
        <f t="shared" si="7"/>
        <v>3.32768697599864</v>
      </c>
      <c r="AF22" s="96">
        <f t="shared" si="8"/>
        <v>0.938011319338899</v>
      </c>
      <c r="AG22" s="96">
        <f t="shared" si="22"/>
        <v>2.65380147197742</v>
      </c>
      <c r="AH22" s="96"/>
      <c r="AI22" s="63">
        <f t="shared" si="23"/>
        <v>78.4135878962039</v>
      </c>
      <c r="AJ22" s="68">
        <f t="shared" si="24"/>
        <v>76.7920287130282</v>
      </c>
      <c r="AK22" s="69">
        <f t="shared" si="9"/>
        <v>1520.63110435214</v>
      </c>
      <c r="AL22" s="69"/>
      <c r="AM22" s="69">
        <f t="shared" si="10"/>
        <v>0.0137739828506912</v>
      </c>
      <c r="AN22" s="69">
        <f t="shared" si="25"/>
        <v>7.49698461916876e-5</v>
      </c>
      <c r="AO22" s="65">
        <f t="shared" si="26"/>
        <v>0.0164756075980454</v>
      </c>
      <c r="AP22" s="68">
        <v>27.02</v>
      </c>
      <c r="AQ22" s="68">
        <f t="shared" si="27"/>
        <v>1.64000021481487</v>
      </c>
      <c r="AR22" s="68">
        <f t="shared" si="28"/>
        <v>20.3803265987822</v>
      </c>
      <c r="AS22" s="68">
        <f t="shared" si="29"/>
        <v>28.8323132965795</v>
      </c>
      <c r="AT22" s="71">
        <f t="shared" si="30"/>
        <v>0.0185925218555385</v>
      </c>
      <c r="AU22" s="71"/>
      <c r="AV22" s="65"/>
      <c r="AW22" s="65">
        <f t="shared" si="31"/>
        <v>0.0357414500493294</v>
      </c>
      <c r="AX22" s="65">
        <f t="shared" si="11"/>
        <v>0.460966401063924</v>
      </c>
      <c r="AY22" s="65">
        <f t="shared" si="12"/>
        <v>18.0167084560299</v>
      </c>
      <c r="AZ22" s="69">
        <f t="shared" si="13"/>
        <v>0.00091446268547079</v>
      </c>
      <c r="BA22" s="69">
        <f t="shared" si="14"/>
        <v>2.2581592295742e-6</v>
      </c>
      <c r="BB22" s="72">
        <f t="shared" si="32"/>
        <v>19.04992128524</v>
      </c>
      <c r="BC22" s="72">
        <f t="shared" si="35"/>
        <v>3.0679319774913</v>
      </c>
      <c r="BD22" s="72">
        <f t="shared" si="33"/>
        <v>0.253062430903958</v>
      </c>
      <c r="BE22" s="72">
        <f t="shared" si="34"/>
        <v>28.1182757829891</v>
      </c>
      <c r="BF22" s="1"/>
    </row>
    <row r="23" ht="25" customHeight="1" spans="1:58">
      <c r="A23" s="54">
        <v>48</v>
      </c>
      <c r="B23" s="54" t="s">
        <v>198</v>
      </c>
      <c r="C23" s="55">
        <v>0.450193968613005</v>
      </c>
      <c r="D23" s="55">
        <v>-2.57509198377522</v>
      </c>
      <c r="E23" s="55">
        <v>8.44410816909724</v>
      </c>
      <c r="F23" s="55">
        <v>2.16749446777331</v>
      </c>
      <c r="G23" s="56">
        <v>1</v>
      </c>
      <c r="H23" s="57">
        <f t="shared" si="15"/>
        <v>8.36637353682585e-5</v>
      </c>
      <c r="I23" s="57">
        <f t="shared" si="16"/>
        <v>0.000333333333333333</v>
      </c>
      <c r="J23" s="58">
        <f t="shared" si="0"/>
        <v>0.0192029303367667</v>
      </c>
      <c r="K23" s="58"/>
      <c r="L23" s="58">
        <f t="shared" si="1"/>
        <v>2.72409032413233</v>
      </c>
      <c r="M23" s="57">
        <f t="shared" si="2"/>
        <v>0.00106317324073926</v>
      </c>
      <c r="N23" s="57">
        <f t="shared" si="3"/>
        <v>0.00308367662950136</v>
      </c>
      <c r="O23" s="57">
        <f t="shared" si="4"/>
        <v>0.088243653161185</v>
      </c>
      <c r="P23" s="59">
        <v>0.0302</v>
      </c>
      <c r="Q23" s="60">
        <f t="shared" si="17"/>
        <v>0.0302</v>
      </c>
      <c r="R23" s="61">
        <v>1000</v>
      </c>
      <c r="S23" s="59">
        <v>1.1616</v>
      </c>
      <c r="T23" s="59">
        <v>9.801</v>
      </c>
      <c r="U23" s="62">
        <v>4e-6</v>
      </c>
      <c r="V23" s="63"/>
      <c r="W23" s="63">
        <f t="shared" si="18"/>
        <v>4e-6</v>
      </c>
      <c r="X23" s="64">
        <v>0.001147</v>
      </c>
      <c r="Y23" s="64">
        <v>1.85e-5</v>
      </c>
      <c r="Z23" s="65">
        <f t="shared" si="5"/>
        <v>4.78787957872036</v>
      </c>
      <c r="AA23" s="66">
        <f t="shared" si="6"/>
        <v>0.00216749446777331</v>
      </c>
      <c r="AB23" s="65">
        <f t="shared" si="19"/>
        <v>8.29126449416551</v>
      </c>
      <c r="AC23" s="65">
        <f t="shared" si="20"/>
        <v>29.0924565946736</v>
      </c>
      <c r="AD23" s="65">
        <f t="shared" si="21"/>
        <v>6.09873036516308</v>
      </c>
      <c r="AE23" s="96">
        <f t="shared" si="7"/>
        <v>4.77024804389687</v>
      </c>
      <c r="AF23" s="96">
        <f t="shared" si="8"/>
        <v>0.890997814764431</v>
      </c>
      <c r="AG23" s="96">
        <f t="shared" si="22"/>
        <v>2.78098700967428</v>
      </c>
      <c r="AH23" s="96"/>
      <c r="AI23" s="63">
        <f t="shared" si="23"/>
        <v>97.3392364568659</v>
      </c>
      <c r="AJ23" s="68">
        <f t="shared" si="24"/>
        <v>-125.00004462862</v>
      </c>
      <c r="AK23" s="69">
        <f t="shared" si="9"/>
        <v>986.803431452178</v>
      </c>
      <c r="AL23" s="69"/>
      <c r="AM23" s="69">
        <f t="shared" si="10"/>
        <v>0.0170984265562621</v>
      </c>
      <c r="AN23" s="69">
        <f t="shared" si="25"/>
        <v>7.23084842927337e-5</v>
      </c>
      <c r="AO23" s="65">
        <f t="shared" si="26"/>
        <v>0.0183625725645941</v>
      </c>
      <c r="AP23" s="68">
        <v>26.33</v>
      </c>
      <c r="AQ23" s="68">
        <f t="shared" si="27"/>
        <v>1.43389494622166</v>
      </c>
      <c r="AR23" s="68">
        <f t="shared" si="28"/>
        <v>22.7145022624029</v>
      </c>
      <c r="AS23" s="68">
        <f t="shared" si="29"/>
        <v>32.1345019880396</v>
      </c>
      <c r="AT23" s="71">
        <f t="shared" si="30"/>
        <v>0.017932504104598</v>
      </c>
      <c r="AU23" s="71"/>
      <c r="AV23" s="65"/>
      <c r="AW23" s="65">
        <f t="shared" si="31"/>
        <v>0.0268020736608951</v>
      </c>
      <c r="AX23" s="65">
        <f t="shared" si="11"/>
        <v>0.685117606828518</v>
      </c>
      <c r="AY23" s="65">
        <f t="shared" si="12"/>
        <v>14.5233365962107</v>
      </c>
      <c r="AZ23" s="69">
        <f t="shared" si="13"/>
        <v>0.00126434944497431</v>
      </c>
      <c r="BA23" s="69">
        <f t="shared" si="14"/>
        <v>4.3224696373897e-6</v>
      </c>
      <c r="BB23" s="72">
        <f t="shared" si="32"/>
        <v>21.2317245278119</v>
      </c>
      <c r="BC23" s="72">
        <f t="shared" si="35"/>
        <v>2.06419094806166</v>
      </c>
      <c r="BD23" s="72">
        <f t="shared" si="33"/>
        <v>0.0963321629630593</v>
      </c>
      <c r="BE23" s="72">
        <f t="shared" si="34"/>
        <v>41.2899173249998</v>
      </c>
      <c r="BF23" s="1"/>
    </row>
    <row r="24" ht="25" customHeight="1" spans="1:58">
      <c r="A24" s="54">
        <v>49</v>
      </c>
      <c r="B24" s="54" t="s">
        <v>198</v>
      </c>
      <c r="C24" s="55">
        <v>0.204631832448739</v>
      </c>
      <c r="D24" s="55">
        <v>-4.56304512411118</v>
      </c>
      <c r="E24" s="55"/>
      <c r="F24" s="55">
        <v>1.68994957274352</v>
      </c>
      <c r="G24" s="56">
        <v>1</v>
      </c>
      <c r="H24" s="57">
        <f t="shared" si="15"/>
        <v>8.36637353682585e-5</v>
      </c>
      <c r="I24" s="57">
        <f t="shared" si="16"/>
        <v>0.000333333333333333</v>
      </c>
      <c r="J24" s="58">
        <f t="shared" si="0"/>
        <v>0.011477933418663</v>
      </c>
      <c r="K24" s="58"/>
      <c r="L24" s="58">
        <f t="shared" si="1"/>
        <v>0.574649328957882</v>
      </c>
      <c r="M24" s="57">
        <f t="shared" si="2"/>
        <v>0.000938775855107679</v>
      </c>
      <c r="N24" s="57">
        <f t="shared" si="3"/>
        <v>0.0117994889289525</v>
      </c>
      <c r="O24" s="57">
        <f t="shared" si="4"/>
        <v>0.0267780133722264</v>
      </c>
      <c r="P24" s="59">
        <v>0.0302</v>
      </c>
      <c r="Q24" s="60">
        <f t="shared" si="17"/>
        <v>0.0302</v>
      </c>
      <c r="R24" s="61">
        <v>1000</v>
      </c>
      <c r="S24" s="59">
        <v>1.1616</v>
      </c>
      <c r="T24" s="59">
        <v>9.801</v>
      </c>
      <c r="U24" s="62">
        <v>4e-6</v>
      </c>
      <c r="V24" s="63"/>
      <c r="W24" s="63">
        <f t="shared" si="18"/>
        <v>4e-6</v>
      </c>
      <c r="X24" s="64">
        <v>0.001147</v>
      </c>
      <c r="Y24" s="64">
        <v>1.85e-5</v>
      </c>
      <c r="Z24" s="65">
        <f t="shared" si="5"/>
        <v>2.1085753595136</v>
      </c>
      <c r="AA24" s="66">
        <f t="shared" si="6"/>
        <v>0.00168994957274352</v>
      </c>
      <c r="AB24" s="65">
        <f t="shared" si="19"/>
        <v>0.0955243043490716</v>
      </c>
      <c r="AC24" s="65">
        <f t="shared" si="20"/>
        <v>4.68644133631692</v>
      </c>
      <c r="AD24" s="65">
        <f t="shared" si="21"/>
        <v>3.70741266252123</v>
      </c>
      <c r="AE24" s="96">
        <f t="shared" si="7"/>
        <v>1.26407329394238</v>
      </c>
      <c r="AF24" s="96">
        <f t="shared" si="8"/>
        <v>1.24169535158993</v>
      </c>
      <c r="AG24" s="96">
        <f t="shared" si="22"/>
        <v>2.1520578141586</v>
      </c>
      <c r="AH24" s="96"/>
      <c r="AI24" s="63">
        <f t="shared" si="23"/>
        <v>44.2447205294571</v>
      </c>
      <c r="AJ24" s="68"/>
      <c r="AK24" s="69">
        <f t="shared" si="9"/>
        <v>4776.21214974479</v>
      </c>
      <c r="AL24" s="69"/>
      <c r="AM24" s="69">
        <f t="shared" si="10"/>
        <v>0.00777194409995707</v>
      </c>
      <c r="AN24" s="69">
        <f t="shared" si="25"/>
        <v>8.18900967256253e-5</v>
      </c>
      <c r="AO24" s="65">
        <f t="shared" si="26"/>
        <v>0.0126417485286627</v>
      </c>
      <c r="AP24" s="68"/>
      <c r="AQ24" s="68"/>
      <c r="AR24" s="68">
        <f t="shared" si="28"/>
        <v>15.6378429299557</v>
      </c>
      <c r="AS24" s="68">
        <f t="shared" si="29"/>
        <v>22.1230599251596</v>
      </c>
      <c r="AT24" s="71">
        <f t="shared" si="30"/>
        <v>0.0203087439879551</v>
      </c>
      <c r="AU24" s="71"/>
      <c r="AV24" s="65"/>
      <c r="AW24" s="65">
        <f t="shared" si="31"/>
        <v>0.0788592877908916</v>
      </c>
      <c r="AX24" s="65">
        <f t="shared" si="11"/>
        <v>0.160307668035049</v>
      </c>
      <c r="AY24" s="65">
        <f t="shared" si="12"/>
        <v>33.3170549272689</v>
      </c>
      <c r="AZ24" s="69">
        <f t="shared" si="13"/>
        <v>0.000379437755115498</v>
      </c>
      <c r="BA24" s="69">
        <f t="shared" si="14"/>
        <v>4.23278527096446e-7</v>
      </c>
      <c r="BB24" s="72">
        <f t="shared" si="32"/>
        <v>14.6170217362662</v>
      </c>
      <c r="BC24" s="72">
        <f t="shared" si="35"/>
        <v>8.82187096667077</v>
      </c>
      <c r="BD24" s="72">
        <f t="shared" si="33"/>
        <v>1.61853614088313</v>
      </c>
      <c r="BE24" s="72">
        <f t="shared" si="34"/>
        <v>12.1012666613594</v>
      </c>
      <c r="BF24" s="1"/>
    </row>
    <row r="25" ht="25" customHeight="1" spans="1:58">
      <c r="A25" s="54">
        <v>50</v>
      </c>
      <c r="B25" s="54" t="s">
        <v>198</v>
      </c>
      <c r="C25" s="55">
        <v>0.634555126504022</v>
      </c>
      <c r="D25" s="55">
        <v>-3.54335492802703</v>
      </c>
      <c r="E25" s="55"/>
      <c r="F25" s="55">
        <v>2.15011440859963</v>
      </c>
      <c r="G25" s="56">
        <v>1</v>
      </c>
      <c r="H25" s="57">
        <f t="shared" si="15"/>
        <v>8.36637353682585e-5</v>
      </c>
      <c r="I25" s="57">
        <f t="shared" si="16"/>
        <v>0.000333333333333333</v>
      </c>
      <c r="J25" s="58">
        <f t="shared" si="0"/>
        <v>0.0273055728946871</v>
      </c>
      <c r="K25" s="58"/>
      <c r="L25" s="58">
        <f t="shared" si="1"/>
        <v>5.41532587943642</v>
      </c>
      <c r="M25" s="57">
        <f t="shared" si="2"/>
        <v>0.00105890213304625</v>
      </c>
      <c r="N25" s="57">
        <f t="shared" si="3"/>
        <v>0.00154030860691307</v>
      </c>
      <c r="O25" s="57">
        <f t="shared" si="4"/>
        <v>0.177503494948134</v>
      </c>
      <c r="P25" s="59">
        <v>0.0302</v>
      </c>
      <c r="Q25" s="60">
        <f t="shared" si="17"/>
        <v>0.0302</v>
      </c>
      <c r="R25" s="61">
        <v>1000</v>
      </c>
      <c r="S25" s="59">
        <v>1.1616</v>
      </c>
      <c r="T25" s="59">
        <v>9.801</v>
      </c>
      <c r="U25" s="62">
        <v>4e-6</v>
      </c>
      <c r="V25" s="63"/>
      <c r="W25" s="63">
        <f t="shared" si="18"/>
        <v>4e-6</v>
      </c>
      <c r="X25" s="64">
        <v>0.001147</v>
      </c>
      <c r="Y25" s="64">
        <v>1.85e-5</v>
      </c>
      <c r="Z25" s="65">
        <f t="shared" si="5"/>
        <v>4.2493442352753</v>
      </c>
      <c r="AA25" s="66">
        <f t="shared" si="6"/>
        <v>0.00215011440859963</v>
      </c>
      <c r="AB25" s="65">
        <f t="shared" si="19"/>
        <v>18.4842104267347</v>
      </c>
      <c r="AC25" s="65">
        <f t="shared" si="20"/>
        <v>57.3354646504331</v>
      </c>
      <c r="AD25" s="65">
        <f t="shared" si="21"/>
        <v>6.00131712564687</v>
      </c>
      <c r="AE25" s="96">
        <f t="shared" si="7"/>
        <v>9.5538135129383</v>
      </c>
      <c r="AF25" s="96">
        <f t="shared" si="8"/>
        <v>0.837829322787427</v>
      </c>
      <c r="AG25" s="96">
        <f t="shared" si="22"/>
        <v>2.94806176855285</v>
      </c>
      <c r="AH25" s="96"/>
      <c r="AI25" s="63">
        <f t="shared" si="23"/>
        <v>137.201108433302</v>
      </c>
      <c r="AJ25" s="68"/>
      <c r="AK25" s="69">
        <f t="shared" si="9"/>
        <v>496.696707899241</v>
      </c>
      <c r="AL25" s="69"/>
      <c r="AM25" s="69">
        <f t="shared" si="10"/>
        <v>0.0241004877516594</v>
      </c>
      <c r="AN25" s="69">
        <f t="shared" si="25"/>
        <v>7.26001423354315e-5</v>
      </c>
      <c r="AO25" s="65">
        <f t="shared" si="26"/>
        <v>0.0181421554077013</v>
      </c>
      <c r="AP25" s="68"/>
      <c r="AQ25" s="68"/>
      <c r="AR25" s="68">
        <f t="shared" si="28"/>
        <v>22.4418462393265</v>
      </c>
      <c r="AS25" s="68">
        <f t="shared" si="29"/>
        <v>31.7487719634773</v>
      </c>
      <c r="AT25" s="71">
        <f t="shared" si="30"/>
        <v>0.018004835299187</v>
      </c>
      <c r="AU25" s="71"/>
      <c r="AV25" s="65"/>
      <c r="AW25" s="65">
        <f t="shared" si="31"/>
        <v>0.0132750501578998</v>
      </c>
      <c r="AX25" s="65">
        <f t="shared" si="11"/>
        <v>1.3666355450194</v>
      </c>
      <c r="AY25" s="65">
        <f t="shared" si="12"/>
        <v>7.13571915484581</v>
      </c>
      <c r="AZ25" s="69">
        <f t="shared" si="13"/>
        <v>0.00254244246641645</v>
      </c>
      <c r="BA25" s="69">
        <f t="shared" si="14"/>
        <v>8.38266356817404e-6</v>
      </c>
      <c r="BB25" s="72">
        <f t="shared" si="32"/>
        <v>20.9768671901547</v>
      </c>
      <c r="BC25" s="72">
        <f t="shared" si="35"/>
        <v>1.03481397621121</v>
      </c>
      <c r="BD25" s="72">
        <f t="shared" si="33"/>
        <v>0.0522776917738576</v>
      </c>
      <c r="BE25" s="72">
        <f t="shared" si="34"/>
        <v>69.3380989017269</v>
      </c>
      <c r="BF25" s="1"/>
    </row>
    <row r="26" ht="25" customHeight="1" spans="1:58">
      <c r="A26" s="54">
        <v>51</v>
      </c>
      <c r="B26" s="54" t="s">
        <v>198</v>
      </c>
      <c r="C26" s="55">
        <v>0.819239556223383</v>
      </c>
      <c r="D26" s="55">
        <v>-5.33377152921793</v>
      </c>
      <c r="E26" s="55"/>
      <c r="F26" s="55">
        <v>2.20188660414056</v>
      </c>
      <c r="G26" s="56">
        <v>1</v>
      </c>
      <c r="H26" s="57">
        <f t="shared" si="15"/>
        <v>8.36637353682585e-5</v>
      </c>
      <c r="I26" s="57">
        <f t="shared" si="16"/>
        <v>0.000333333333333333</v>
      </c>
      <c r="J26" s="58">
        <f t="shared" si="0"/>
        <v>0.034349991647207</v>
      </c>
      <c r="K26" s="58"/>
      <c r="L26" s="58">
        <f t="shared" si="1"/>
        <v>9.01018036257252</v>
      </c>
      <c r="M26" s="57">
        <f t="shared" si="2"/>
        <v>0.0010715748522625</v>
      </c>
      <c r="N26" s="57">
        <f t="shared" si="3"/>
        <v>0.000945246997778419</v>
      </c>
      <c r="O26" s="57">
        <f t="shared" si="4"/>
        <v>0.285220596141648</v>
      </c>
      <c r="P26" s="59">
        <v>0.0302</v>
      </c>
      <c r="Q26" s="60">
        <f t="shared" si="17"/>
        <v>0.0302</v>
      </c>
      <c r="R26" s="61">
        <v>1000</v>
      </c>
      <c r="S26" s="59">
        <v>1.1616</v>
      </c>
      <c r="T26" s="59">
        <v>9.801</v>
      </c>
      <c r="U26" s="62">
        <v>4e-6</v>
      </c>
      <c r="V26" s="63"/>
      <c r="W26" s="63">
        <f t="shared" si="18"/>
        <v>4e-6</v>
      </c>
      <c r="X26" s="64">
        <v>0.001147</v>
      </c>
      <c r="Y26" s="64">
        <v>1.85e-5</v>
      </c>
      <c r="Z26" s="65">
        <f t="shared" si="5"/>
        <v>3.41222616725554</v>
      </c>
      <c r="AA26" s="66">
        <f t="shared" si="6"/>
        <v>0.00220188660414056</v>
      </c>
      <c r="AB26" s="65">
        <f t="shared" si="19"/>
        <v>32.1688812681491</v>
      </c>
      <c r="AC26" s="65">
        <f t="shared" si="20"/>
        <v>97.8678007905309</v>
      </c>
      <c r="AD26" s="65">
        <f t="shared" si="21"/>
        <v>6.29380576901394</v>
      </c>
      <c r="AE26" s="96">
        <f t="shared" si="7"/>
        <v>15.5498603519606</v>
      </c>
      <c r="AF26" s="96">
        <f t="shared" si="8"/>
        <v>0.81757499789765</v>
      </c>
      <c r="AG26" s="96">
        <f t="shared" si="22"/>
        <v>3.01913487292016</v>
      </c>
      <c r="AH26" s="96"/>
      <c r="AI26" s="63">
        <f t="shared" si="23"/>
        <v>177.132877021272</v>
      </c>
      <c r="AJ26" s="68"/>
      <c r="AK26" s="69">
        <f t="shared" si="9"/>
        <v>297.99444502094</v>
      </c>
      <c r="AL26" s="69"/>
      <c r="AM26" s="69">
        <f t="shared" si="10"/>
        <v>0.0311148268539146</v>
      </c>
      <c r="AN26" s="69">
        <f t="shared" si="25"/>
        <v>7.17415544197718e-5</v>
      </c>
      <c r="AO26" s="65">
        <f t="shared" si="26"/>
        <v>0.0188013464626785</v>
      </c>
      <c r="AP26" s="68"/>
      <c r="AQ26" s="68"/>
      <c r="AR26" s="68">
        <f t="shared" si="28"/>
        <v>23.2572655743332</v>
      </c>
      <c r="AS26" s="68">
        <f t="shared" si="29"/>
        <v>32.9023563096873</v>
      </c>
      <c r="AT26" s="71">
        <f t="shared" si="30"/>
        <v>0.0177919054961034</v>
      </c>
      <c r="AU26" s="71"/>
      <c r="AV26" s="65"/>
      <c r="AW26" s="65">
        <f t="shared" si="31"/>
        <v>0.00835256409686746</v>
      </c>
      <c r="AX26" s="65">
        <f t="shared" si="11"/>
        <v>2.2509670377423</v>
      </c>
      <c r="AY26" s="65">
        <f t="shared" si="12"/>
        <v>4.59784974877946</v>
      </c>
      <c r="AZ26" s="69">
        <f t="shared" si="13"/>
        <v>0.00408916069248879</v>
      </c>
      <c r="BA26" s="69">
        <f t="shared" si="14"/>
        <v>1.5006011980122e-5</v>
      </c>
      <c r="BB26" s="72">
        <f t="shared" si="32"/>
        <v>21.739056847472</v>
      </c>
      <c r="BC26" s="72">
        <f t="shared" si="35"/>
        <v>0.628269334317546</v>
      </c>
      <c r="BD26" s="72">
        <f t="shared" si="33"/>
        <v>0.0246494602155762</v>
      </c>
      <c r="BE26" s="72">
        <f t="shared" si="34"/>
        <v>110.455412328559</v>
      </c>
      <c r="BF26" s="1"/>
    </row>
    <row r="27" ht="25" customHeight="1" spans="1:58">
      <c r="A27" s="54">
        <v>52</v>
      </c>
      <c r="B27" s="54" t="s">
        <v>198</v>
      </c>
      <c r="C27" s="55">
        <v>0.610272638304513</v>
      </c>
      <c r="D27" s="55">
        <v>-3.89850946261095</v>
      </c>
      <c r="E27" s="55"/>
      <c r="F27" s="55">
        <v>2.22019576052202</v>
      </c>
      <c r="G27" s="56">
        <v>1</v>
      </c>
      <c r="H27" s="57">
        <f t="shared" si="15"/>
        <v>8.36637353682585e-5</v>
      </c>
      <c r="I27" s="57">
        <f t="shared" si="16"/>
        <v>0.000333333333333333</v>
      </c>
      <c r="J27" s="58">
        <f t="shared" si="0"/>
        <v>0.0253584611706192</v>
      </c>
      <c r="K27" s="58"/>
      <c r="L27" s="58">
        <f t="shared" si="1"/>
        <v>4.99681945905948</v>
      </c>
      <c r="M27" s="57">
        <f t="shared" si="2"/>
        <v>0.00107602081574822</v>
      </c>
      <c r="N27" s="57">
        <f t="shared" si="3"/>
        <v>0.00171687937957434</v>
      </c>
      <c r="O27" s="57">
        <f t="shared" si="4"/>
        <v>0.156268734951819</v>
      </c>
      <c r="P27" s="59">
        <v>0.0302</v>
      </c>
      <c r="Q27" s="60">
        <f t="shared" si="17"/>
        <v>0.0302</v>
      </c>
      <c r="R27" s="61">
        <v>1000</v>
      </c>
      <c r="S27" s="59">
        <v>1.1616</v>
      </c>
      <c r="T27" s="59">
        <v>9.801</v>
      </c>
      <c r="U27" s="62">
        <v>4e-6</v>
      </c>
      <c r="V27" s="63"/>
      <c r="W27" s="63">
        <f t="shared" si="18"/>
        <v>4e-6</v>
      </c>
      <c r="X27" s="64">
        <v>0.001147</v>
      </c>
      <c r="Y27" s="64">
        <v>1.85e-5</v>
      </c>
      <c r="Z27" s="65">
        <f t="shared" si="5"/>
        <v>4.25419450803783</v>
      </c>
      <c r="AA27" s="66">
        <f t="shared" si="6"/>
        <v>0.00222019576052202</v>
      </c>
      <c r="AB27" s="65">
        <f t="shared" si="19"/>
        <v>16.9435623375714</v>
      </c>
      <c r="AC27" s="65">
        <f t="shared" si="20"/>
        <v>54.759833524411</v>
      </c>
      <c r="AD27" s="65">
        <f t="shared" si="21"/>
        <v>6.39890961279557</v>
      </c>
      <c r="AE27" s="96">
        <f t="shared" si="7"/>
        <v>8.55768198614817</v>
      </c>
      <c r="AF27" s="96">
        <f t="shared" si="8"/>
        <v>0.843958992891791</v>
      </c>
      <c r="AG27" s="96">
        <f t="shared" si="22"/>
        <v>2.92740470626489</v>
      </c>
      <c r="AH27" s="96"/>
      <c r="AI27" s="63">
        <f t="shared" si="23"/>
        <v>131.950840714489</v>
      </c>
      <c r="AJ27" s="68"/>
      <c r="AK27" s="69">
        <f t="shared" si="9"/>
        <v>537.009783848614</v>
      </c>
      <c r="AL27" s="69"/>
      <c r="AM27" s="69">
        <f t="shared" si="10"/>
        <v>0.0231782356336184</v>
      </c>
      <c r="AN27" s="69">
        <f t="shared" si="25"/>
        <v>7.14451286195542e-5</v>
      </c>
      <c r="AO27" s="65">
        <f t="shared" si="26"/>
        <v>0.0190363390848075</v>
      </c>
      <c r="AP27" s="68"/>
      <c r="AQ27" s="68"/>
      <c r="AR27" s="68">
        <f t="shared" si="28"/>
        <v>23.5479514479068</v>
      </c>
      <c r="AS27" s="68">
        <f t="shared" si="29"/>
        <v>33.3135933984131</v>
      </c>
      <c r="AT27" s="71">
        <f t="shared" si="30"/>
        <v>0.0177183918976494</v>
      </c>
      <c r="AU27" s="71"/>
      <c r="AV27" s="65"/>
      <c r="AW27" s="65">
        <f t="shared" si="31"/>
        <v>0.015303349131392</v>
      </c>
      <c r="AX27" s="65">
        <f t="shared" si="11"/>
        <v>1.24393287517423</v>
      </c>
      <c r="AY27" s="65">
        <f t="shared" si="12"/>
        <v>8.4941077158262</v>
      </c>
      <c r="AZ27" s="69">
        <f t="shared" si="13"/>
        <v>0.00224112287266372</v>
      </c>
      <c r="BA27" s="69">
        <f t="shared" si="14"/>
        <v>8.53650734135381e-6</v>
      </c>
      <c r="BB27" s="72">
        <f t="shared" si="32"/>
        <v>22.0107670668086</v>
      </c>
      <c r="BC27" s="72">
        <f t="shared" si="35"/>
        <v>1.13688896772265</v>
      </c>
      <c r="BD27" s="72">
        <f t="shared" si="33"/>
        <v>0.0402152569259943</v>
      </c>
      <c r="BE27" s="72">
        <f t="shared" si="34"/>
        <v>67.5576527500021</v>
      </c>
      <c r="BF27" s="1"/>
    </row>
    <row r="28" ht="25" customHeight="1" spans="1:58">
      <c r="A28" s="54">
        <v>53</v>
      </c>
      <c r="B28" s="54" t="s">
        <v>198</v>
      </c>
      <c r="C28" s="55">
        <v>0.847624513445347</v>
      </c>
      <c r="D28" s="55">
        <v>-13.663454497276</v>
      </c>
      <c r="E28" s="55"/>
      <c r="F28" s="55">
        <v>2.09954401146699</v>
      </c>
      <c r="G28" s="56">
        <v>1</v>
      </c>
      <c r="H28" s="57">
        <f t="shared" si="15"/>
        <v>8.36637353682585e-5</v>
      </c>
      <c r="I28" s="57">
        <f t="shared" si="16"/>
        <v>0.000333333333333333</v>
      </c>
      <c r="J28" s="58">
        <f t="shared" si="0"/>
        <v>0.0374346251542761</v>
      </c>
      <c r="K28" s="58"/>
      <c r="L28" s="58">
        <f t="shared" si="1"/>
        <v>9.68017397760985</v>
      </c>
      <c r="M28" s="57">
        <f t="shared" si="2"/>
        <v>0.00104637542139294</v>
      </c>
      <c r="N28" s="57">
        <f t="shared" si="3"/>
        <v>0.000843969619626209</v>
      </c>
      <c r="O28" s="57">
        <f t="shared" si="4"/>
        <v>0.328547633314034</v>
      </c>
      <c r="P28" s="59">
        <v>0.0302</v>
      </c>
      <c r="Q28" s="60">
        <f t="shared" si="17"/>
        <v>0.0302</v>
      </c>
      <c r="R28" s="61">
        <v>1000</v>
      </c>
      <c r="S28" s="59">
        <v>1.1616</v>
      </c>
      <c r="T28" s="59">
        <v>9.801</v>
      </c>
      <c r="U28" s="62">
        <v>4e-6</v>
      </c>
      <c r="V28" s="63"/>
      <c r="W28" s="63">
        <f t="shared" si="18"/>
        <v>4e-6</v>
      </c>
      <c r="X28" s="64">
        <v>0.001147</v>
      </c>
      <c r="Y28" s="64">
        <v>1.85e-5</v>
      </c>
      <c r="Z28" s="65">
        <f t="shared" si="5"/>
        <v>-1.69137757652439</v>
      </c>
      <c r="AA28" s="66">
        <f t="shared" si="6"/>
        <v>0.00209954401146699</v>
      </c>
      <c r="AB28" s="65">
        <f t="shared" si="19"/>
        <v>34.5803932616443</v>
      </c>
      <c r="AC28" s="65">
        <f t="shared" si="20"/>
        <v>99.8975993582069</v>
      </c>
      <c r="AD28" s="65">
        <f t="shared" si="21"/>
        <v>5.72233664035863</v>
      </c>
      <c r="AE28" s="96">
        <f t="shared" si="7"/>
        <v>17.4574838281353</v>
      </c>
      <c r="AF28" s="96">
        <f t="shared" si="8"/>
        <v>0.814054861310507</v>
      </c>
      <c r="AG28" s="96">
        <f t="shared" si="22"/>
        <v>3.03194420254011</v>
      </c>
      <c r="AH28" s="96"/>
      <c r="AI28" s="63">
        <f t="shared" si="23"/>
        <v>183.270165069264</v>
      </c>
      <c r="AJ28" s="68"/>
      <c r="AK28" s="69">
        <f t="shared" si="9"/>
        <v>278.370352559634</v>
      </c>
      <c r="AL28" s="69"/>
      <c r="AM28" s="69">
        <f t="shared" si="10"/>
        <v>0.0321928912888018</v>
      </c>
      <c r="AN28" s="69">
        <f t="shared" si="25"/>
        <v>7.34692769026542e-5</v>
      </c>
      <c r="AO28" s="65">
        <f t="shared" si="26"/>
        <v>0.0175058822484379</v>
      </c>
      <c r="AP28" s="68"/>
      <c r="AQ28" s="68"/>
      <c r="AR28" s="68">
        <f t="shared" si="28"/>
        <v>21.6547763413176</v>
      </c>
      <c r="AS28" s="68">
        <f t="shared" si="29"/>
        <v>30.6352939347662</v>
      </c>
      <c r="AT28" s="71">
        <f t="shared" si="30"/>
        <v>0.0182203806718582</v>
      </c>
      <c r="AU28" s="71"/>
      <c r="AV28" s="65"/>
      <c r="AW28" s="65">
        <f t="shared" si="31"/>
        <v>0.0070940573552349</v>
      </c>
      <c r="AX28" s="65">
        <f t="shared" si="11"/>
        <v>2.46768264926978</v>
      </c>
      <c r="AY28" s="65">
        <f t="shared" si="12"/>
        <v>3.7235714092967</v>
      </c>
      <c r="AZ28" s="69">
        <f t="shared" si="13"/>
        <v>0.00470136874634139</v>
      </c>
      <c r="BA28" s="69">
        <f t="shared" si="14"/>
        <v>1.39264549487805e-5</v>
      </c>
      <c r="BB28" s="72">
        <f t="shared" si="32"/>
        <v>20.2411763497563</v>
      </c>
      <c r="BC28" s="72">
        <f t="shared" si="35"/>
        <v>0.573093773946815</v>
      </c>
      <c r="BD28" s="72">
        <f t="shared" si="33"/>
        <v>0.0355897112855961</v>
      </c>
      <c r="BE28" s="72">
        <f t="shared" si="34"/>
        <v>111.342272638924</v>
      </c>
      <c r="BF28" s="1"/>
    </row>
    <row r="29" ht="25" customHeight="1" spans="1:58">
      <c r="A29" s="54">
        <v>54</v>
      </c>
      <c r="B29" s="54" t="s">
        <v>198</v>
      </c>
      <c r="C29" s="55">
        <v>0.594689333958517</v>
      </c>
      <c r="D29" s="76" t="s">
        <v>34</v>
      </c>
      <c r="E29" s="55"/>
      <c r="F29" s="55">
        <v>2.09149505591736</v>
      </c>
      <c r="G29" s="56">
        <v>1</v>
      </c>
      <c r="H29" s="57">
        <f t="shared" si="15"/>
        <v>8.36637353682585e-5</v>
      </c>
      <c r="I29" s="57">
        <f t="shared" si="16"/>
        <v>0.000333333333333333</v>
      </c>
      <c r="J29" s="58">
        <f t="shared" si="0"/>
        <v>0.0263744587667309</v>
      </c>
      <c r="K29" s="58"/>
      <c r="L29" s="58">
        <f t="shared" si="1"/>
        <v>4.76634504185034</v>
      </c>
      <c r="M29" s="57">
        <f t="shared" si="2"/>
        <v>0.00104436776717674</v>
      </c>
      <c r="N29" s="57">
        <f t="shared" si="3"/>
        <v>0.00170832699228325</v>
      </c>
      <c r="O29" s="57">
        <f t="shared" si="4"/>
        <v>0.162683008839813</v>
      </c>
      <c r="P29" s="59">
        <v>0.0302</v>
      </c>
      <c r="Q29" s="60">
        <f t="shared" si="17"/>
        <v>0.0302</v>
      </c>
      <c r="R29" s="61">
        <v>1000</v>
      </c>
      <c r="S29" s="59">
        <v>1.1616</v>
      </c>
      <c r="T29" s="59">
        <v>9.801</v>
      </c>
      <c r="U29" s="62">
        <v>4e-6</v>
      </c>
      <c r="V29" s="63"/>
      <c r="W29" s="63">
        <f t="shared" si="18"/>
        <v>4e-6</v>
      </c>
      <c r="X29" s="64">
        <v>0.001147</v>
      </c>
      <c r="Y29" s="64">
        <v>1.85e-5</v>
      </c>
      <c r="Z29" s="65" t="e">
        <f t="shared" si="5"/>
        <v>#VALUE!</v>
      </c>
      <c r="AA29" s="66">
        <f t="shared" si="6"/>
        <v>0.00209149505591736</v>
      </c>
      <c r="AB29" s="65">
        <f t="shared" si="19"/>
        <v>15.9865139614691</v>
      </c>
      <c r="AC29" s="65">
        <f t="shared" si="20"/>
        <v>48.9846707818248</v>
      </c>
      <c r="AD29" s="65">
        <f t="shared" si="21"/>
        <v>5.67854565921208</v>
      </c>
      <c r="AE29" s="96">
        <f t="shared" si="7"/>
        <v>8.62627047866718</v>
      </c>
      <c r="AF29" s="96">
        <f t="shared" si="8"/>
        <v>0.843491253702324</v>
      </c>
      <c r="AG29" s="96">
        <f t="shared" si="22"/>
        <v>2.92896746369566</v>
      </c>
      <c r="AH29" s="96"/>
      <c r="AI29" s="63">
        <f t="shared" si="23"/>
        <v>128.581477612652</v>
      </c>
      <c r="AJ29" s="68"/>
      <c r="AK29" s="69">
        <f t="shared" si="9"/>
        <v>565.522250701889</v>
      </c>
      <c r="AL29" s="69"/>
      <c r="AM29" s="69">
        <f t="shared" si="10"/>
        <v>0.0225863796705437</v>
      </c>
      <c r="AN29" s="69">
        <f t="shared" si="25"/>
        <v>7.36105115406531e-5</v>
      </c>
      <c r="AO29" s="65">
        <f t="shared" si="26"/>
        <v>0.0174053111701274</v>
      </c>
      <c r="AP29" s="68"/>
      <c r="AQ29" s="68"/>
      <c r="AR29" s="68">
        <f t="shared" si="28"/>
        <v>21.5303699174476</v>
      </c>
      <c r="AS29" s="68">
        <f t="shared" si="29"/>
        <v>30.459294547723</v>
      </c>
      <c r="AT29" s="71">
        <f t="shared" si="30"/>
        <v>0.018255406862082</v>
      </c>
      <c r="AU29" s="71"/>
      <c r="AV29" s="65"/>
      <c r="AW29" s="65">
        <f t="shared" si="31"/>
        <v>0.014301616617339</v>
      </c>
      <c r="AX29" s="65">
        <f t="shared" si="11"/>
        <v>1.21701704330583</v>
      </c>
      <c r="AY29" s="65">
        <f t="shared" si="12"/>
        <v>7.47794011169753</v>
      </c>
      <c r="AZ29" s="69">
        <f t="shared" si="13"/>
        <v>0.00232755423420693</v>
      </c>
      <c r="BA29" s="69">
        <f t="shared" si="14"/>
        <v>6.7765623582677e-6</v>
      </c>
      <c r="BB29" s="72">
        <f t="shared" si="32"/>
        <v>20.1248910404598</v>
      </c>
      <c r="BC29" s="72">
        <f t="shared" si="35"/>
        <v>1.16203266844285</v>
      </c>
      <c r="BD29" s="72">
        <f t="shared" si="33"/>
        <v>0.0743683406141724</v>
      </c>
      <c r="BE29" s="72">
        <f t="shared" si="34"/>
        <v>60.3417621002489</v>
      </c>
      <c r="BF29" s="1"/>
    </row>
    <row r="30" ht="25" customHeight="1" spans="1:58">
      <c r="A30" s="54">
        <v>55</v>
      </c>
      <c r="B30" s="54" t="s">
        <v>198</v>
      </c>
      <c r="C30" s="55">
        <v>0.616903896608032</v>
      </c>
      <c r="D30" s="55">
        <v>-13.97951683482</v>
      </c>
      <c r="E30" s="55"/>
      <c r="F30" s="55">
        <v>2.00797902117415</v>
      </c>
      <c r="G30" s="56">
        <v>1</v>
      </c>
      <c r="H30" s="57">
        <f t="shared" si="15"/>
        <v>8.36637353682585e-5</v>
      </c>
      <c r="I30" s="57">
        <f t="shared" si="16"/>
        <v>0.000333333333333333</v>
      </c>
      <c r="J30" s="58">
        <f t="shared" si="0"/>
        <v>0.0286079152661532</v>
      </c>
      <c r="K30" s="58"/>
      <c r="L30" s="58">
        <f t="shared" si="1"/>
        <v>5.14559026865392</v>
      </c>
      <c r="M30" s="57">
        <f t="shared" si="2"/>
        <v>0.00102330388732262</v>
      </c>
      <c r="N30" s="57">
        <f t="shared" si="3"/>
        <v>0.00152737354113344</v>
      </c>
      <c r="O30" s="57">
        <f t="shared" si="4"/>
        <v>0.186416219565195</v>
      </c>
      <c r="P30" s="59">
        <v>0.0302</v>
      </c>
      <c r="Q30" s="60">
        <f t="shared" si="17"/>
        <v>0.0302</v>
      </c>
      <c r="R30" s="61">
        <v>1000</v>
      </c>
      <c r="S30" s="59">
        <v>1.1616</v>
      </c>
      <c r="T30" s="59">
        <v>9.801</v>
      </c>
      <c r="U30" s="62">
        <v>4e-6</v>
      </c>
      <c r="V30" s="63"/>
      <c r="W30" s="63">
        <f t="shared" si="18"/>
        <v>4e-6</v>
      </c>
      <c r="X30" s="64">
        <v>0.001147</v>
      </c>
      <c r="Y30" s="64">
        <v>1.85e-5</v>
      </c>
      <c r="Z30" s="65">
        <f t="shared" si="5"/>
        <v>-1.82480100802229</v>
      </c>
      <c r="AA30" s="66">
        <f t="shared" si="6"/>
        <v>0.00200797902117415</v>
      </c>
      <c r="AB30" s="65">
        <f t="shared" si="19"/>
        <v>17.3583291360945</v>
      </c>
      <c r="AC30" s="65">
        <f t="shared" si="20"/>
        <v>50.6077758093399</v>
      </c>
      <c r="AD30" s="65">
        <f t="shared" si="21"/>
        <v>5.2340971555774</v>
      </c>
      <c r="AE30" s="96">
        <f t="shared" si="7"/>
        <v>9.66886442973509</v>
      </c>
      <c r="AF30" s="96">
        <f t="shared" si="8"/>
        <v>0.837203182692511</v>
      </c>
      <c r="AG30" s="96">
        <f t="shared" si="22"/>
        <v>2.95019363900149</v>
      </c>
      <c r="AH30" s="96"/>
      <c r="AI30" s="63">
        <f t="shared" si="23"/>
        <v>133.384626293629</v>
      </c>
      <c r="AJ30" s="68"/>
      <c r="AK30" s="69">
        <f t="shared" si="9"/>
        <v>525.526921495625</v>
      </c>
      <c r="AL30" s="69"/>
      <c r="AM30" s="69">
        <f t="shared" si="10"/>
        <v>0.0234300917022984</v>
      </c>
      <c r="AN30" s="69">
        <f t="shared" si="25"/>
        <v>7.51257241674216e-5</v>
      </c>
      <c r="AO30" s="65">
        <f t="shared" si="26"/>
        <v>0.0163732647842014</v>
      </c>
      <c r="AP30" s="68"/>
      <c r="AQ30" s="68"/>
      <c r="AR30" s="68">
        <f t="shared" si="28"/>
        <v>20.2537285380571</v>
      </c>
      <c r="AS30" s="68">
        <f t="shared" si="29"/>
        <v>28.6532133723525</v>
      </c>
      <c r="AT30" s="71">
        <f t="shared" si="30"/>
        <v>0.0186311795935206</v>
      </c>
      <c r="AU30" s="71"/>
      <c r="AV30" s="65"/>
      <c r="AW30" s="65">
        <f t="shared" si="31"/>
        <v>0.0122499710148686</v>
      </c>
      <c r="AX30" s="65">
        <f t="shared" si="11"/>
        <v>1.33659620617291</v>
      </c>
      <c r="AY30" s="65">
        <f t="shared" si="12"/>
        <v>6.14942120196187</v>
      </c>
      <c r="AZ30" s="69">
        <f t="shared" si="13"/>
        <v>0.00266257006089903</v>
      </c>
      <c r="BA30" s="69">
        <f t="shared" si="14"/>
        <v>6.45314099016643e-6</v>
      </c>
      <c r="BB30" s="72">
        <f t="shared" si="32"/>
        <v>18.9315874067329</v>
      </c>
      <c r="BC30" s="72">
        <f t="shared" si="35"/>
        <v>1.05807090865717</v>
      </c>
      <c r="BD30" s="72">
        <f t="shared" si="33"/>
        <v>0.0895476162777507</v>
      </c>
      <c r="BE30" s="72">
        <f t="shared" si="34"/>
        <v>61.0759701204947</v>
      </c>
      <c r="BF30" s="1"/>
    </row>
    <row r="31" ht="25" customHeight="1" spans="1:58">
      <c r="A31" s="54">
        <v>56</v>
      </c>
      <c r="B31" s="54" t="s">
        <v>198</v>
      </c>
      <c r="C31" s="55">
        <v>1.17645914580751</v>
      </c>
      <c r="D31" s="55">
        <v>-14.4243720516871</v>
      </c>
      <c r="E31" s="55"/>
      <c r="F31" s="55">
        <v>1.98494818465063</v>
      </c>
      <c r="G31" s="56">
        <v>1</v>
      </c>
      <c r="H31" s="57">
        <f t="shared" si="15"/>
        <v>8.36637353682585e-5</v>
      </c>
      <c r="I31" s="57">
        <f t="shared" si="16"/>
        <v>0.000333333333333333</v>
      </c>
      <c r="J31" s="58">
        <f t="shared" si="0"/>
        <v>0.0552510564157517</v>
      </c>
      <c r="K31" s="58"/>
      <c r="L31" s="58">
        <f t="shared" si="1"/>
        <v>18.7308523771913</v>
      </c>
      <c r="M31" s="57">
        <f t="shared" si="2"/>
        <v>0.0010174184889762</v>
      </c>
      <c r="N31" s="57">
        <f t="shared" si="3"/>
        <v>0.00041541780836039</v>
      </c>
      <c r="O31" s="57">
        <f t="shared" si="4"/>
        <v>0.690131721891611</v>
      </c>
      <c r="P31" s="59">
        <v>0.0302</v>
      </c>
      <c r="Q31" s="60">
        <f t="shared" si="17"/>
        <v>0.0302</v>
      </c>
      <c r="R31" s="61">
        <v>1000</v>
      </c>
      <c r="S31" s="59">
        <v>1.1616</v>
      </c>
      <c r="T31" s="59">
        <v>9.801</v>
      </c>
      <c r="U31" s="62">
        <v>4e-6</v>
      </c>
      <c r="V31" s="63"/>
      <c r="W31" s="63">
        <f t="shared" si="18"/>
        <v>4e-6</v>
      </c>
      <c r="X31" s="64">
        <v>0.001147</v>
      </c>
      <c r="Y31" s="64">
        <v>1.85e-5</v>
      </c>
      <c r="Z31" s="65">
        <f t="shared" si="5"/>
        <v>-1.62334819932964</v>
      </c>
      <c r="AA31" s="66">
        <f t="shared" si="6"/>
        <v>0.00198494818465063</v>
      </c>
      <c r="AB31" s="65">
        <f t="shared" si="19"/>
        <v>68.5043894879784</v>
      </c>
      <c r="AC31" s="65">
        <f t="shared" si="20"/>
        <v>181.939052074865</v>
      </c>
      <c r="AD31" s="65">
        <f t="shared" si="21"/>
        <v>5.11471908842709</v>
      </c>
      <c r="AE31" s="96">
        <f t="shared" si="7"/>
        <v>35.5716607167211</v>
      </c>
      <c r="AF31" s="96">
        <f t="shared" si="8"/>
        <v>0.799456148648912</v>
      </c>
      <c r="AG31" s="96">
        <f t="shared" si="22"/>
        <v>3.08658061524059</v>
      </c>
      <c r="AH31" s="96"/>
      <c r="AI31" s="63">
        <f t="shared" si="23"/>
        <v>254.369545039462</v>
      </c>
      <c r="AJ31" s="68"/>
      <c r="AK31" s="69">
        <f t="shared" si="9"/>
        <v>144.502810873393</v>
      </c>
      <c r="AL31" s="69"/>
      <c r="AM31" s="69">
        <f t="shared" si="10"/>
        <v>0.0446820741801726</v>
      </c>
      <c r="AN31" s="69">
        <f t="shared" si="25"/>
        <v>7.55602993374026e-5</v>
      </c>
      <c r="AO31" s="65">
        <f t="shared" si="26"/>
        <v>0.0160923803990188</v>
      </c>
      <c r="AP31" s="68"/>
      <c r="AQ31" s="68"/>
      <c r="AR31" s="68">
        <f t="shared" si="28"/>
        <v>19.9062745535863</v>
      </c>
      <c r="AS31" s="68">
        <f t="shared" si="29"/>
        <v>28.161665698283</v>
      </c>
      <c r="AT31" s="71">
        <f t="shared" si="30"/>
        <v>0.0187389542356759</v>
      </c>
      <c r="AU31" s="71"/>
      <c r="AV31" s="65"/>
      <c r="AW31" s="65">
        <f t="shared" si="31"/>
        <v>0.00329151920872591</v>
      </c>
      <c r="AX31" s="65">
        <f t="shared" si="11"/>
        <v>4.88904344120413</v>
      </c>
      <c r="AY31" s="65">
        <f t="shared" si="12"/>
        <v>1.6333737695258</v>
      </c>
      <c r="AZ31" s="69">
        <f t="shared" si="13"/>
        <v>0.00985223388501629</v>
      </c>
      <c r="BA31" s="69">
        <f t="shared" si="14"/>
        <v>2.26704341582156e-5</v>
      </c>
      <c r="BB31" s="72">
        <f t="shared" si="32"/>
        <v>18.6068148363655</v>
      </c>
      <c r="BC31" s="72">
        <f t="shared" si="35"/>
        <v>0.289261811513948</v>
      </c>
      <c r="BD31" s="72">
        <f t="shared" si="33"/>
        <v>0.0262206588895649</v>
      </c>
      <c r="BE31" s="72">
        <f t="shared" si="34"/>
        <v>192.168490251719</v>
      </c>
      <c r="BF31" s="1"/>
    </row>
    <row r="32" ht="25" customHeight="1" spans="1:58">
      <c r="A32" s="54">
        <v>57</v>
      </c>
      <c r="B32" s="54" t="s">
        <v>198</v>
      </c>
      <c r="C32" s="55">
        <v>0.720804587198689</v>
      </c>
      <c r="D32" s="55">
        <v>-10.1212507808833</v>
      </c>
      <c r="E32" s="55"/>
      <c r="F32" s="55">
        <v>2.00659867762683</v>
      </c>
      <c r="G32" s="56">
        <v>1</v>
      </c>
      <c r="H32" s="57">
        <f t="shared" si="15"/>
        <v>8.36637353682585e-5</v>
      </c>
      <c r="I32" s="57">
        <f t="shared" si="16"/>
        <v>0.000333333333333333</v>
      </c>
      <c r="J32" s="58">
        <f t="shared" si="0"/>
        <v>0.0334513520490555</v>
      </c>
      <c r="K32" s="58"/>
      <c r="L32" s="58">
        <f t="shared" si="1"/>
        <v>7.02520839522701</v>
      </c>
      <c r="M32" s="57">
        <f t="shared" si="2"/>
        <v>0.00102295210233465</v>
      </c>
      <c r="N32" s="57">
        <f t="shared" si="3"/>
        <v>0.001118053243659</v>
      </c>
      <c r="O32" s="57">
        <f t="shared" si="4"/>
        <v>0.254767753710822</v>
      </c>
      <c r="P32" s="59">
        <v>0.0302</v>
      </c>
      <c r="Q32" s="60">
        <f t="shared" si="17"/>
        <v>0.0302</v>
      </c>
      <c r="R32" s="61">
        <v>1000</v>
      </c>
      <c r="S32" s="59">
        <v>1.1616</v>
      </c>
      <c r="T32" s="59">
        <v>9.801</v>
      </c>
      <c r="U32" s="62">
        <v>4e-6</v>
      </c>
      <c r="V32" s="63"/>
      <c r="W32" s="63">
        <f t="shared" si="18"/>
        <v>4e-6</v>
      </c>
      <c r="X32" s="64">
        <v>0.001147</v>
      </c>
      <c r="Y32" s="64">
        <v>1.85e-5</v>
      </c>
      <c r="Z32" s="65">
        <f t="shared" si="5"/>
        <v>0.306932348607492</v>
      </c>
      <c r="AA32" s="66">
        <f t="shared" si="6"/>
        <v>0.00200659867762683</v>
      </c>
      <c r="AB32" s="65">
        <f t="shared" si="19"/>
        <v>24.4423676313289</v>
      </c>
      <c r="AC32" s="65">
        <f t="shared" si="20"/>
        <v>69.0428417133407</v>
      </c>
      <c r="AD32" s="65">
        <f t="shared" si="21"/>
        <v>5.22690348585162</v>
      </c>
      <c r="AE32" s="96">
        <f t="shared" si="7"/>
        <v>13.2091288657287</v>
      </c>
      <c r="AF32" s="96">
        <f t="shared" si="8"/>
        <v>0.823287024031497</v>
      </c>
      <c r="AG32" s="96">
        <f t="shared" si="22"/>
        <v>2.99864258926506</v>
      </c>
      <c r="AH32" s="96"/>
      <c r="AI32" s="63">
        <f t="shared" si="23"/>
        <v>155.849640475392</v>
      </c>
      <c r="AJ32" s="68"/>
      <c r="AK32" s="69">
        <f t="shared" si="9"/>
        <v>384.941657517216</v>
      </c>
      <c r="AL32" s="69"/>
      <c r="AM32" s="69">
        <f t="shared" si="10"/>
        <v>0.0273762536926125</v>
      </c>
      <c r="AN32" s="69">
        <f t="shared" si="25"/>
        <v>7.51515592988146e-5</v>
      </c>
      <c r="AO32" s="65">
        <f t="shared" si="26"/>
        <v>0.0163563844939126</v>
      </c>
      <c r="AP32" s="68"/>
      <c r="AQ32" s="68"/>
      <c r="AR32" s="68">
        <f t="shared" si="28"/>
        <v>20.2328476189699</v>
      </c>
      <c r="AS32" s="68">
        <f t="shared" si="29"/>
        <v>28.6236728643471</v>
      </c>
      <c r="AT32" s="71">
        <f t="shared" si="30"/>
        <v>0.018637586706106</v>
      </c>
      <c r="AU32" s="71"/>
      <c r="AV32" s="65"/>
      <c r="AW32" s="65">
        <f t="shared" si="31"/>
        <v>0.0089606126805915</v>
      </c>
      <c r="AX32" s="65">
        <f t="shared" si="11"/>
        <v>1.82536452326973</v>
      </c>
      <c r="AY32" s="65">
        <f t="shared" si="12"/>
        <v>4.49508838890028</v>
      </c>
      <c r="AZ32" s="69">
        <f t="shared" si="13"/>
        <v>0.00363872366432248</v>
      </c>
      <c r="BA32" s="69">
        <f t="shared" si="14"/>
        <v>8.79174862968932e-6</v>
      </c>
      <c r="BB32" s="72">
        <f t="shared" si="32"/>
        <v>18.9120695710865</v>
      </c>
      <c r="BC32" s="72">
        <f t="shared" si="35"/>
        <v>0.774756792051511</v>
      </c>
      <c r="BD32" s="72">
        <f t="shared" si="33"/>
        <v>0.0658459720874775</v>
      </c>
      <c r="BE32" s="72">
        <f t="shared" si="34"/>
        <v>79.496648685044</v>
      </c>
      <c r="BF32" s="1"/>
    </row>
    <row r="33" ht="25" customHeight="1" spans="1:58">
      <c r="A33" s="54">
        <v>58</v>
      </c>
      <c r="B33" s="54" t="s">
        <v>198</v>
      </c>
      <c r="C33" s="55">
        <v>0.728891351645135</v>
      </c>
      <c r="D33" s="55">
        <v>-12.1237456072811</v>
      </c>
      <c r="E33" s="55"/>
      <c r="F33" s="55">
        <v>1.98118568043834</v>
      </c>
      <c r="G33" s="56">
        <v>1</v>
      </c>
      <c r="H33" s="57">
        <f t="shared" si="15"/>
        <v>8.36637353682585e-5</v>
      </c>
      <c r="I33" s="57">
        <f t="shared" si="16"/>
        <v>0.000333333333333333</v>
      </c>
      <c r="J33" s="58">
        <f t="shared" si="0"/>
        <v>0.0343028919143357</v>
      </c>
      <c r="K33" s="58"/>
      <c r="L33" s="58">
        <f t="shared" si="1"/>
        <v>7.19111444964365</v>
      </c>
      <c r="M33" s="57">
        <f t="shared" si="2"/>
        <v>0.00101645376427172</v>
      </c>
      <c r="N33" s="57">
        <f t="shared" si="3"/>
        <v>0.00108027332069931</v>
      </c>
      <c r="O33" s="57">
        <f t="shared" si="4"/>
        <v>0.265690112010712</v>
      </c>
      <c r="P33" s="59">
        <v>0.0302</v>
      </c>
      <c r="Q33" s="60">
        <f t="shared" si="17"/>
        <v>0.0302</v>
      </c>
      <c r="R33" s="61">
        <v>1000</v>
      </c>
      <c r="S33" s="59">
        <v>1.1616</v>
      </c>
      <c r="T33" s="59">
        <v>9.801</v>
      </c>
      <c r="U33" s="62">
        <v>4e-6</v>
      </c>
      <c r="V33" s="63"/>
      <c r="W33" s="63">
        <f t="shared" si="18"/>
        <v>4e-6</v>
      </c>
      <c r="X33" s="64">
        <v>0.001147</v>
      </c>
      <c r="Y33" s="64">
        <v>1.85e-5</v>
      </c>
      <c r="Z33" s="65">
        <f t="shared" si="5"/>
        <v>-0.724107688289476</v>
      </c>
      <c r="AA33" s="66">
        <f t="shared" si="6"/>
        <v>0.00198118568043834</v>
      </c>
      <c r="AB33" s="65">
        <f t="shared" si="19"/>
        <v>25.0398879970985</v>
      </c>
      <c r="AC33" s="65">
        <f t="shared" si="20"/>
        <v>69.7065883672252</v>
      </c>
      <c r="AD33" s="65">
        <f t="shared" si="21"/>
        <v>5.09534738547879</v>
      </c>
      <c r="AE33" s="96">
        <f t="shared" si="7"/>
        <v>13.6804388579828</v>
      </c>
      <c r="AF33" s="96">
        <f t="shared" si="8"/>
        <v>0.821979324598632</v>
      </c>
      <c r="AG33" s="96">
        <f t="shared" si="22"/>
        <v>3.00330235044016</v>
      </c>
      <c r="AH33" s="96"/>
      <c r="AI33" s="63">
        <f t="shared" si="23"/>
        <v>157.598130085435</v>
      </c>
      <c r="AJ33" s="68"/>
      <c r="AK33" s="69">
        <f t="shared" si="9"/>
        <v>376.447485872349</v>
      </c>
      <c r="AL33" s="69"/>
      <c r="AM33" s="69">
        <f t="shared" si="10"/>
        <v>0.0276833900773831</v>
      </c>
      <c r="AN33" s="69">
        <f t="shared" si="25"/>
        <v>7.5632014244672e-5</v>
      </c>
      <c r="AO33" s="65">
        <f t="shared" si="26"/>
        <v>0.0160466470029403</v>
      </c>
      <c r="AP33" s="68"/>
      <c r="AQ33" s="68"/>
      <c r="AR33" s="68">
        <f t="shared" si="28"/>
        <v>19.8497023426372</v>
      </c>
      <c r="AS33" s="68">
        <f t="shared" si="29"/>
        <v>28.0816322551456</v>
      </c>
      <c r="AT33" s="71">
        <f t="shared" si="30"/>
        <v>0.0187567395326787</v>
      </c>
      <c r="AU33" s="71"/>
      <c r="AV33" s="65"/>
      <c r="AW33" s="65">
        <f t="shared" si="31"/>
        <v>0.00854233328632499</v>
      </c>
      <c r="AX33" s="65">
        <f t="shared" si="11"/>
        <v>1.87848524110253</v>
      </c>
      <c r="AY33" s="65">
        <f t="shared" si="12"/>
        <v>4.23098709609971</v>
      </c>
      <c r="AZ33" s="69">
        <f t="shared" si="13"/>
        <v>0.00379264853294702</v>
      </c>
      <c r="BA33" s="69">
        <f t="shared" si="14"/>
        <v>8.65286143941666e-6</v>
      </c>
      <c r="BB33" s="72">
        <f t="shared" si="32"/>
        <v>18.5539355971497</v>
      </c>
      <c r="BC33" s="72">
        <f t="shared" si="35"/>
        <v>0.752847843267089</v>
      </c>
      <c r="BD33" s="72">
        <f t="shared" si="33"/>
        <v>0.0689935534315099</v>
      </c>
      <c r="BE33" s="72">
        <f t="shared" si="34"/>
        <v>79.8972831381828</v>
      </c>
      <c r="BF33" s="1"/>
    </row>
    <row r="34" ht="25" customHeight="1" spans="1:58">
      <c r="A34" s="54">
        <v>59</v>
      </c>
      <c r="B34" s="54" t="s">
        <v>198</v>
      </c>
      <c r="C34" s="55">
        <v>0.440889958896289</v>
      </c>
      <c r="D34" s="76" t="s">
        <v>34</v>
      </c>
      <c r="E34" s="55"/>
      <c r="F34" s="55">
        <v>2.25471248226262</v>
      </c>
      <c r="G34" s="56">
        <v>1</v>
      </c>
      <c r="H34" s="57">
        <f t="shared" si="15"/>
        <v>8.36637353682585e-5</v>
      </c>
      <c r="I34" s="57">
        <f t="shared" si="16"/>
        <v>0.000333333333333333</v>
      </c>
      <c r="J34" s="58">
        <f t="shared" si="0"/>
        <v>0.0180151625057177</v>
      </c>
      <c r="K34" s="58"/>
      <c r="L34" s="58">
        <f t="shared" si="1"/>
        <v>2.60505010098834</v>
      </c>
      <c r="M34" s="57">
        <f t="shared" si="2"/>
        <v>0.00108435284420679</v>
      </c>
      <c r="N34" s="57">
        <f t="shared" si="3"/>
        <v>0.0033381273802777</v>
      </c>
      <c r="O34" s="57">
        <f t="shared" si="4"/>
        <v>0.0796482742501747</v>
      </c>
      <c r="P34" s="59">
        <v>0.0302</v>
      </c>
      <c r="Q34" s="60">
        <f t="shared" si="17"/>
        <v>0.0302</v>
      </c>
      <c r="R34" s="61">
        <v>1000</v>
      </c>
      <c r="S34" s="59">
        <v>1.1616</v>
      </c>
      <c r="T34" s="59">
        <v>9.801</v>
      </c>
      <c r="U34" s="62">
        <v>4e-6</v>
      </c>
      <c r="V34" s="63"/>
      <c r="W34" s="63">
        <f t="shared" si="18"/>
        <v>4e-6</v>
      </c>
      <c r="X34" s="64">
        <v>0.001147</v>
      </c>
      <c r="Y34" s="64">
        <v>1.85e-5</v>
      </c>
      <c r="Z34" s="65" t="e">
        <f t="shared" si="5"/>
        <v>#VALUE!</v>
      </c>
      <c r="AA34" s="66">
        <f t="shared" si="6"/>
        <v>0.00225471248226262</v>
      </c>
      <c r="AB34" s="65">
        <f t="shared" si="19"/>
        <v>7.86870315267948</v>
      </c>
      <c r="AC34" s="65">
        <f t="shared" si="20"/>
        <v>29.0251610343803</v>
      </c>
      <c r="AD34" s="65">
        <f t="shared" si="21"/>
        <v>6.59942010987446</v>
      </c>
      <c r="AE34" s="96">
        <f t="shared" si="7"/>
        <v>4.39813810170247</v>
      </c>
      <c r="AF34" s="96">
        <f t="shared" si="8"/>
        <v>0.90008566486992</v>
      </c>
      <c r="AG34" s="96">
        <f t="shared" si="22"/>
        <v>2.75499969855292</v>
      </c>
      <c r="AH34" s="96"/>
      <c r="AI34" s="63">
        <f t="shared" si="23"/>
        <v>95.3275586802787</v>
      </c>
      <c r="AJ34" s="68"/>
      <c r="AK34" s="69">
        <f t="shared" si="9"/>
        <v>1028.89150043125</v>
      </c>
      <c r="AL34" s="69"/>
      <c r="AM34" s="69">
        <f t="shared" si="10"/>
        <v>0.0167450590349021</v>
      </c>
      <c r="AN34" s="69">
        <f t="shared" si="25"/>
        <v>7.08961533961622e-5</v>
      </c>
      <c r="AO34" s="65">
        <f t="shared" si="26"/>
        <v>0.0194819884804204</v>
      </c>
      <c r="AP34" s="68"/>
      <c r="AQ34" s="68"/>
      <c r="AR34" s="68">
        <f t="shared" si="28"/>
        <v>24.09921975028</v>
      </c>
      <c r="AS34" s="68">
        <f t="shared" si="29"/>
        <v>34.0934798407356</v>
      </c>
      <c r="AT34" s="71">
        <f t="shared" si="30"/>
        <v>0.0175822460422482</v>
      </c>
      <c r="AU34" s="71"/>
      <c r="AV34" s="65"/>
      <c r="AW34" s="65">
        <f t="shared" si="31"/>
        <v>0.0302394346838449</v>
      </c>
      <c r="AX34" s="65">
        <f t="shared" si="11"/>
        <v>0.64425769476532</v>
      </c>
      <c r="AY34" s="65">
        <f t="shared" si="12"/>
        <v>17.0453077095576</v>
      </c>
      <c r="AZ34" s="69">
        <f t="shared" si="13"/>
        <v>0.00114295317000916</v>
      </c>
      <c r="BA34" s="69">
        <f t="shared" si="14"/>
        <v>4.66651361340249e-6</v>
      </c>
      <c r="BB34" s="72">
        <f t="shared" si="32"/>
        <v>22.5260491804861</v>
      </c>
      <c r="BC34" s="72">
        <f t="shared" si="35"/>
        <v>2.19510542732166</v>
      </c>
      <c r="BD34" s="72">
        <f t="shared" si="33"/>
        <v>0.0620551175622284</v>
      </c>
      <c r="BE34" s="72">
        <f t="shared" si="34"/>
        <v>42.2240012541292</v>
      </c>
      <c r="BF34" s="1"/>
    </row>
    <row r="35" ht="25" customHeight="1" spans="1:58">
      <c r="A35" s="54">
        <v>60</v>
      </c>
      <c r="B35" s="54" t="s">
        <v>198</v>
      </c>
      <c r="C35" s="55">
        <v>0.456876595583573</v>
      </c>
      <c r="D35" s="76" t="s">
        <v>34</v>
      </c>
      <c r="E35" s="55"/>
      <c r="F35" s="55">
        <v>2.17396943901787</v>
      </c>
      <c r="G35" s="56">
        <v>1</v>
      </c>
      <c r="H35" s="57">
        <f t="shared" si="15"/>
        <v>8.36637353682585e-5</v>
      </c>
      <c r="I35" s="57">
        <f t="shared" si="16"/>
        <v>0.000333333333333333</v>
      </c>
      <c r="J35" s="58">
        <f t="shared" si="0"/>
        <v>0.0194246919289947</v>
      </c>
      <c r="K35" s="58"/>
      <c r="L35" s="58">
        <f t="shared" si="1"/>
        <v>2.80493452292224</v>
      </c>
      <c r="M35" s="57">
        <f t="shared" si="2"/>
        <v>0.00106476006893226</v>
      </c>
      <c r="N35" s="57">
        <f t="shared" si="3"/>
        <v>0.00300262695505429</v>
      </c>
      <c r="O35" s="57">
        <f t="shared" si="4"/>
        <v>0.0904664207317878</v>
      </c>
      <c r="P35" s="59">
        <v>0.0302</v>
      </c>
      <c r="Q35" s="60">
        <f t="shared" si="17"/>
        <v>0.0302</v>
      </c>
      <c r="R35" s="61">
        <v>1000</v>
      </c>
      <c r="S35" s="59">
        <v>1.1616</v>
      </c>
      <c r="T35" s="59">
        <v>9.801</v>
      </c>
      <c r="U35" s="62">
        <v>4e-6</v>
      </c>
      <c r="V35" s="63"/>
      <c r="W35" s="63">
        <f t="shared" si="18"/>
        <v>4e-6</v>
      </c>
      <c r="X35" s="64">
        <v>0.001147</v>
      </c>
      <c r="Y35" s="64">
        <v>1.85e-5</v>
      </c>
      <c r="Z35" s="65" t="e">
        <f t="shared" si="5"/>
        <v>#VALUE!</v>
      </c>
      <c r="AA35" s="66">
        <f t="shared" si="6"/>
        <v>0.00217396943901787</v>
      </c>
      <c r="AB35" s="65">
        <f t="shared" si="19"/>
        <v>8.60021526972659</v>
      </c>
      <c r="AC35" s="65">
        <f t="shared" si="20"/>
        <v>30.0520642983501</v>
      </c>
      <c r="AD35" s="65">
        <f t="shared" si="21"/>
        <v>6.13522234921878</v>
      </c>
      <c r="AE35" s="96">
        <f t="shared" si="7"/>
        <v>4.89828446106387</v>
      </c>
      <c r="AF35" s="96">
        <f t="shared" si="8"/>
        <v>0.888197422226069</v>
      </c>
      <c r="AG35" s="96">
        <f t="shared" si="22"/>
        <v>2.78913772993392</v>
      </c>
      <c r="AH35" s="96"/>
      <c r="AI35" s="63">
        <f t="shared" si="23"/>
        <v>98.7841287748266</v>
      </c>
      <c r="AJ35" s="68"/>
      <c r="AK35" s="69">
        <f t="shared" si="9"/>
        <v>958.147065029258</v>
      </c>
      <c r="AL35" s="69"/>
      <c r="AM35" s="69">
        <f t="shared" si="10"/>
        <v>0.0173522336137205</v>
      </c>
      <c r="AN35" s="69">
        <f t="shared" si="25"/>
        <v>7.22007218542115e-5</v>
      </c>
      <c r="AO35" s="65">
        <f t="shared" si="26"/>
        <v>0.0184449159448161</v>
      </c>
      <c r="AP35" s="68"/>
      <c r="AQ35" s="68"/>
      <c r="AR35" s="68">
        <f t="shared" si="28"/>
        <v>22.8163610237375</v>
      </c>
      <c r="AS35" s="68">
        <f t="shared" si="29"/>
        <v>32.2786029034282</v>
      </c>
      <c r="AT35" s="71">
        <f t="shared" si="30"/>
        <v>0.0179057790198445</v>
      </c>
      <c r="AU35" s="71"/>
      <c r="AV35" s="65"/>
      <c r="AW35" s="65">
        <f t="shared" si="31"/>
        <v>0.0261794665560428</v>
      </c>
      <c r="AX35" s="65">
        <f t="shared" si="11"/>
        <v>0.704556599934181</v>
      </c>
      <c r="AY35" s="65">
        <f t="shared" si="12"/>
        <v>14.2283400556569</v>
      </c>
      <c r="AZ35" s="69">
        <f t="shared" si="13"/>
        <v>0.00129635051402098</v>
      </c>
      <c r="BA35" s="69">
        <f t="shared" si="14"/>
        <v>4.49176202912594e-6</v>
      </c>
      <c r="BB35" s="72">
        <f t="shared" si="32"/>
        <v>21.3269340611936</v>
      </c>
      <c r="BC35" s="72">
        <f t="shared" si="35"/>
        <v>2.0072391096829</v>
      </c>
      <c r="BD35" s="72">
        <f t="shared" si="33"/>
        <v>0.0908275476341337</v>
      </c>
      <c r="BE35" s="72">
        <f t="shared" si="34"/>
        <v>42.3225089967877</v>
      </c>
      <c r="BF35" s="1"/>
    </row>
    <row r="36" ht="25" customHeight="1" spans="1:58">
      <c r="A36" s="54">
        <v>61</v>
      </c>
      <c r="B36" s="54" t="s">
        <v>198</v>
      </c>
      <c r="C36" s="55">
        <v>0.958670797549637</v>
      </c>
      <c r="D36" s="55">
        <v>0.239926808823828</v>
      </c>
      <c r="E36" s="55"/>
      <c r="F36" s="55">
        <v>2.15492154926932</v>
      </c>
      <c r="G36" s="56">
        <v>1</v>
      </c>
      <c r="H36" s="57">
        <f t="shared" si="15"/>
        <v>8.36637353682585e-5</v>
      </c>
      <c r="I36" s="57">
        <f t="shared" si="16"/>
        <v>0.000333333333333333</v>
      </c>
      <c r="J36" s="58">
        <f t="shared" si="0"/>
        <v>0.0411522142893953</v>
      </c>
      <c r="K36" s="58"/>
      <c r="L36" s="58">
        <f t="shared" si="1"/>
        <v>12.3580953703783</v>
      </c>
      <c r="M36" s="57">
        <f t="shared" si="2"/>
        <v>0.00106008519788612</v>
      </c>
      <c r="N36" s="57">
        <f t="shared" si="3"/>
        <v>0.000676283455924891</v>
      </c>
      <c r="O36" s="57">
        <f t="shared" si="4"/>
        <v>0.403750963452386</v>
      </c>
      <c r="P36" s="59">
        <v>0.0302</v>
      </c>
      <c r="Q36" s="60">
        <f t="shared" si="17"/>
        <v>0.0302</v>
      </c>
      <c r="R36" s="61">
        <v>1000</v>
      </c>
      <c r="S36" s="59">
        <v>1.1616</v>
      </c>
      <c r="T36" s="59">
        <v>9.801</v>
      </c>
      <c r="U36" s="62">
        <v>4e-6</v>
      </c>
      <c r="V36" s="63"/>
      <c r="W36" s="63">
        <f t="shared" si="18"/>
        <v>4e-6</v>
      </c>
      <c r="X36" s="64">
        <v>0.001147</v>
      </c>
      <c r="Y36" s="64">
        <v>1.85e-5</v>
      </c>
      <c r="Z36" s="65">
        <f t="shared" si="5"/>
        <v>6.81497708731085</v>
      </c>
      <c r="AA36" s="66">
        <f t="shared" si="6"/>
        <v>0.00215492154926932</v>
      </c>
      <c r="AB36" s="65">
        <f t="shared" si="19"/>
        <v>44.8037562729081</v>
      </c>
      <c r="AC36" s="65">
        <f t="shared" si="20"/>
        <v>131.157615843054</v>
      </c>
      <c r="AD36" s="65">
        <f t="shared" si="21"/>
        <v>6.02818213844176</v>
      </c>
      <c r="AE36" s="96">
        <f t="shared" si="7"/>
        <v>21.7574075950129</v>
      </c>
      <c r="AF36" s="96">
        <f t="shared" si="8"/>
        <v>0.808386941015838</v>
      </c>
      <c r="AG36" s="96">
        <f t="shared" ref="AG36:AG67" si="36">2*AE36*(PI()-2*AF36)/SQRT(AE36^2-1)</f>
        <v>3.05286375338583</v>
      </c>
      <c r="AH36" s="96"/>
      <c r="AI36" s="63">
        <f t="shared" si="23"/>
        <v>207.280172443165</v>
      </c>
      <c r="AJ36" s="68"/>
      <c r="AK36" s="69">
        <f t="shared" si="9"/>
        <v>217.616088029874</v>
      </c>
      <c r="AL36" s="69"/>
      <c r="AM36" s="69">
        <f t="shared" si="10"/>
        <v>0.0364104438671998</v>
      </c>
      <c r="AN36" s="69">
        <f t="shared" si="25"/>
        <v>7.25191199082357e-5</v>
      </c>
      <c r="AO36" s="65">
        <f t="shared" si="26"/>
        <v>0.0182030316714174</v>
      </c>
      <c r="AP36" s="68"/>
      <c r="AQ36" s="68"/>
      <c r="AR36" s="68">
        <f t="shared" si="28"/>
        <v>22.5171501775433</v>
      </c>
      <c r="AS36" s="68">
        <f t="shared" si="29"/>
        <v>31.8553054249804</v>
      </c>
      <c r="AT36" s="71">
        <f t="shared" si="30"/>
        <v>0.0179847417372425</v>
      </c>
      <c r="AU36" s="71"/>
      <c r="AV36" s="65"/>
      <c r="AW36" s="65">
        <f t="shared" si="31"/>
        <v>0.00584219000376408</v>
      </c>
      <c r="AX36" s="65">
        <f t="shared" si="11"/>
        <v>3.11578905507854</v>
      </c>
      <c r="AY36" s="65">
        <f t="shared" si="12"/>
        <v>3.14736528350926</v>
      </c>
      <c r="AZ36" s="69">
        <f t="shared" si="13"/>
        <v>0.00578357770125789</v>
      </c>
      <c r="BA36" s="69">
        <f t="shared" si="14"/>
        <v>1.92615841661487e-5</v>
      </c>
      <c r="BB36" s="72">
        <f t="shared" si="32"/>
        <v>21.0472553700763</v>
      </c>
      <c r="BC36" s="72">
        <f t="shared" si="35"/>
        <v>0.453886170524932</v>
      </c>
      <c r="BD36" s="72">
        <f t="shared" si="33"/>
        <v>0.0224434982611982</v>
      </c>
      <c r="BE36" s="72">
        <f t="shared" si="34"/>
        <v>143.213980119937</v>
      </c>
      <c r="BF36" s="1"/>
    </row>
    <row r="37" ht="25" customHeight="1" spans="1:58">
      <c r="A37" s="54">
        <v>62</v>
      </c>
      <c r="B37" s="54" t="s">
        <v>198</v>
      </c>
      <c r="C37" s="55">
        <v>0.548373697696861</v>
      </c>
      <c r="D37" s="55">
        <v>-3.09583019582868</v>
      </c>
      <c r="E37" s="55"/>
      <c r="F37" s="55">
        <v>2.17410467374145</v>
      </c>
      <c r="G37" s="56">
        <v>1</v>
      </c>
      <c r="H37" s="57">
        <f t="shared" si="15"/>
        <v>8.36637353682585e-5</v>
      </c>
      <c r="I37" s="57">
        <f t="shared" si="16"/>
        <v>0.000333333333333333</v>
      </c>
      <c r="J37" s="58">
        <f t="shared" si="0"/>
        <v>0.0233132268334406</v>
      </c>
      <c r="K37" s="58"/>
      <c r="L37" s="58">
        <f t="shared" si="1"/>
        <v>4.0408814762249</v>
      </c>
      <c r="M37" s="57">
        <f t="shared" si="2"/>
        <v>0.00106479318584085</v>
      </c>
      <c r="N37" s="57">
        <f t="shared" si="3"/>
        <v>0.00208435478035525</v>
      </c>
      <c r="O37" s="57">
        <f t="shared" si="4"/>
        <v>0.130317045479493</v>
      </c>
      <c r="P37" s="59">
        <v>0.0302</v>
      </c>
      <c r="Q37" s="60">
        <f t="shared" si="17"/>
        <v>0.0302</v>
      </c>
      <c r="R37" s="61">
        <v>1000</v>
      </c>
      <c r="S37" s="59">
        <v>1.1616</v>
      </c>
      <c r="T37" s="59">
        <v>9.801</v>
      </c>
      <c r="U37" s="62">
        <v>4e-6</v>
      </c>
      <c r="V37" s="63"/>
      <c r="W37" s="63">
        <f t="shared" si="18"/>
        <v>4e-6</v>
      </c>
      <c r="X37" s="64">
        <v>0.001147</v>
      </c>
      <c r="Y37" s="64">
        <v>1.85e-5</v>
      </c>
      <c r="Z37" s="65">
        <f t="shared" si="5"/>
        <v>4.55640490394864</v>
      </c>
      <c r="AA37" s="66">
        <f t="shared" si="6"/>
        <v>0.00217410467374145</v>
      </c>
      <c r="AB37" s="65">
        <f t="shared" si="19"/>
        <v>13.2881606689974</v>
      </c>
      <c r="AC37" s="65">
        <f t="shared" si="20"/>
        <v>43.2968932069873</v>
      </c>
      <c r="AD37" s="65">
        <f t="shared" si="21"/>
        <v>6.13598567264896</v>
      </c>
      <c r="AE37" s="96">
        <f t="shared" si="7"/>
        <v>7.05622462581396</v>
      </c>
      <c r="AF37" s="96">
        <f t="shared" si="8"/>
        <v>0.856496948153897</v>
      </c>
      <c r="AG37" s="96">
        <f t="shared" si="36"/>
        <v>2.88632938209868</v>
      </c>
      <c r="AH37" s="96"/>
      <c r="AI37" s="63">
        <f t="shared" si="23"/>
        <v>118.56728598851</v>
      </c>
      <c r="AJ37" s="68"/>
      <c r="AK37" s="69">
        <f t="shared" si="9"/>
        <v>665.084403545134</v>
      </c>
      <c r="AL37" s="69"/>
      <c r="AM37" s="69">
        <f t="shared" si="10"/>
        <v>0.0208273056708046</v>
      </c>
      <c r="AN37" s="69">
        <f t="shared" si="25"/>
        <v>7.21984762869622e-5</v>
      </c>
      <c r="AO37" s="65">
        <f t="shared" si="26"/>
        <v>0.0184466370581785</v>
      </c>
      <c r="AP37" s="68"/>
      <c r="AQ37" s="68"/>
      <c r="AR37" s="68">
        <f t="shared" si="28"/>
        <v>22.8184900409668</v>
      </c>
      <c r="AS37" s="68">
        <f t="shared" si="29"/>
        <v>32.2816148518124</v>
      </c>
      <c r="AT37" s="71">
        <f t="shared" si="30"/>
        <v>0.0179052221191666</v>
      </c>
      <c r="AU37" s="71"/>
      <c r="AV37" s="65"/>
      <c r="AW37" s="65">
        <f t="shared" si="31"/>
        <v>0.0181743719950475</v>
      </c>
      <c r="AX37" s="65">
        <f t="shared" si="11"/>
        <v>1.01498071367777</v>
      </c>
      <c r="AY37" s="65">
        <f t="shared" si="12"/>
        <v>9.87824677418712</v>
      </c>
      <c r="AZ37" s="69">
        <f t="shared" si="13"/>
        <v>0.00186739990201313</v>
      </c>
      <c r="BA37" s="69">
        <f t="shared" si="14"/>
        <v>6.47221886028436e-6</v>
      </c>
      <c r="BB37" s="72">
        <f t="shared" si="32"/>
        <v>21.3289240985189</v>
      </c>
      <c r="BC37" s="72">
        <f t="shared" si="35"/>
        <v>1.39334032983614</v>
      </c>
      <c r="BD37" s="72">
        <f t="shared" si="33"/>
        <v>0.0630074920539986</v>
      </c>
      <c r="BE37" s="72">
        <f t="shared" si="34"/>
        <v>55.5688645522852</v>
      </c>
      <c r="BF37" s="1"/>
    </row>
    <row r="38" ht="25" customHeight="1" spans="1:58">
      <c r="A38" s="54">
        <v>63</v>
      </c>
      <c r="B38" s="54" t="s">
        <v>198</v>
      </c>
      <c r="C38" s="55">
        <v>0.668532759232426</v>
      </c>
      <c r="D38" s="55">
        <v>-3.33526910502566</v>
      </c>
      <c r="E38" s="55"/>
      <c r="F38" s="55">
        <v>2.16744375255596</v>
      </c>
      <c r="G38" s="56">
        <v>1</v>
      </c>
      <c r="H38" s="57">
        <f t="shared" si="15"/>
        <v>8.36637353682585e-5</v>
      </c>
      <c r="I38" s="57">
        <f t="shared" si="16"/>
        <v>0.000333333333333333</v>
      </c>
      <c r="J38" s="58">
        <f t="shared" si="0"/>
        <v>0.028516853818597</v>
      </c>
      <c r="K38" s="58"/>
      <c r="L38" s="58">
        <f t="shared" si="1"/>
        <v>6.00714768812943</v>
      </c>
      <c r="M38" s="57">
        <f t="shared" si="2"/>
        <v>0.00106316080255817</v>
      </c>
      <c r="N38" s="57">
        <f t="shared" si="3"/>
        <v>0.00139834112900182</v>
      </c>
      <c r="O38" s="57">
        <f t="shared" si="4"/>
        <v>0.194601044626885</v>
      </c>
      <c r="P38" s="59">
        <v>0.0302</v>
      </c>
      <c r="Q38" s="60">
        <f t="shared" si="17"/>
        <v>0.0302</v>
      </c>
      <c r="R38" s="61">
        <v>1000</v>
      </c>
      <c r="S38" s="59">
        <v>1.1616</v>
      </c>
      <c r="T38" s="59">
        <v>9.801</v>
      </c>
      <c r="U38" s="62">
        <v>4e-6</v>
      </c>
      <c r="V38" s="63"/>
      <c r="W38" s="63">
        <f t="shared" si="18"/>
        <v>4e-6</v>
      </c>
      <c r="X38" s="64">
        <v>0.001147</v>
      </c>
      <c r="Y38" s="64">
        <v>1.85e-5</v>
      </c>
      <c r="Z38" s="65">
        <f t="shared" si="5"/>
        <v>4.46393261460543</v>
      </c>
      <c r="AA38" s="66">
        <f t="shared" si="6"/>
        <v>0.00216744375255596</v>
      </c>
      <c r="AB38" s="65">
        <f t="shared" si="19"/>
        <v>20.7408792134007</v>
      </c>
      <c r="AC38" s="65">
        <f t="shared" si="20"/>
        <v>64.1528973328695</v>
      </c>
      <c r="AD38" s="65">
        <f t="shared" si="21"/>
        <v>6.09844497129276</v>
      </c>
      <c r="AE38" s="96">
        <f t="shared" si="7"/>
        <v>10.5195500877448</v>
      </c>
      <c r="AF38" s="96">
        <f t="shared" si="8"/>
        <v>0.833000591801465</v>
      </c>
      <c r="AG38" s="96">
        <f t="shared" si="36"/>
        <v>2.9646083475524</v>
      </c>
      <c r="AH38" s="96"/>
      <c r="AI38" s="63">
        <f t="shared" si="23"/>
        <v>144.547623617822</v>
      </c>
      <c r="AJ38" s="68"/>
      <c r="AK38" s="69">
        <f t="shared" si="9"/>
        <v>447.491313187433</v>
      </c>
      <c r="AL38" s="69"/>
      <c r="AM38" s="69">
        <f t="shared" si="10"/>
        <v>0.0253909627430329</v>
      </c>
      <c r="AN38" s="69">
        <f t="shared" si="25"/>
        <v>7.23093302475691e-5</v>
      </c>
      <c r="AO38" s="65">
        <f t="shared" si="26"/>
        <v>0.0183619280948445</v>
      </c>
      <c r="AP38" s="68"/>
      <c r="AQ38" s="68"/>
      <c r="AR38" s="68">
        <f t="shared" si="28"/>
        <v>22.7137050533226</v>
      </c>
      <c r="AS38" s="68">
        <f t="shared" si="29"/>
        <v>32.1333741659778</v>
      </c>
      <c r="AT38" s="71">
        <f t="shared" si="30"/>
        <v>0.0179327139013972</v>
      </c>
      <c r="AU38" s="71"/>
      <c r="AV38" s="65"/>
      <c r="AW38" s="65">
        <f t="shared" si="31"/>
        <v>0.0121535186279275</v>
      </c>
      <c r="AX38" s="65">
        <f t="shared" si="11"/>
        <v>1.51083226652162</v>
      </c>
      <c r="AY38" s="65">
        <f t="shared" si="12"/>
        <v>6.5855170054185</v>
      </c>
      <c r="AZ38" s="69">
        <f t="shared" si="13"/>
        <v>0.00278822878746444</v>
      </c>
      <c r="BA38" s="69">
        <f t="shared" si="14"/>
        <v>9.53119835697429e-6</v>
      </c>
      <c r="BB38" s="72">
        <f t="shared" si="32"/>
        <v>21.2309793596639</v>
      </c>
      <c r="BC38" s="72">
        <f t="shared" si="35"/>
        <v>0.936049350884616</v>
      </c>
      <c r="BD38" s="72">
        <f t="shared" si="33"/>
        <v>0.0436942082735565</v>
      </c>
      <c r="BE38" s="72">
        <f t="shared" si="34"/>
        <v>76.349787275455</v>
      </c>
      <c r="BF38" s="1"/>
    </row>
    <row r="39" ht="25" customHeight="1" spans="1:58">
      <c r="A39" s="54">
        <v>64</v>
      </c>
      <c r="B39" s="54" t="s">
        <v>198</v>
      </c>
      <c r="C39" s="55">
        <v>0.543662457590358</v>
      </c>
      <c r="D39" s="55">
        <v>-1.1218535902834</v>
      </c>
      <c r="E39" s="55"/>
      <c r="F39" s="55">
        <v>2.09332557239659</v>
      </c>
      <c r="G39" s="56">
        <v>1</v>
      </c>
      <c r="H39" s="57">
        <f t="shared" si="15"/>
        <v>8.36637353682585e-5</v>
      </c>
      <c r="I39" s="57">
        <f t="shared" si="16"/>
        <v>0.000333333333333333</v>
      </c>
      <c r="J39" s="58">
        <f t="shared" si="0"/>
        <v>0.0240883694619267</v>
      </c>
      <c r="K39" s="58"/>
      <c r="L39" s="58">
        <f t="shared" si="1"/>
        <v>3.983221360138</v>
      </c>
      <c r="M39" s="57">
        <f t="shared" si="2"/>
        <v>0.00104482469254444</v>
      </c>
      <c r="N39" s="57">
        <f t="shared" si="3"/>
        <v>0.00204575219148915</v>
      </c>
      <c r="O39" s="57">
        <f t="shared" si="4"/>
        <v>0.135779776603637</v>
      </c>
      <c r="P39" s="59">
        <v>0.0302</v>
      </c>
      <c r="Q39" s="60">
        <f t="shared" si="17"/>
        <v>0.0302</v>
      </c>
      <c r="R39" s="61">
        <v>1000</v>
      </c>
      <c r="S39" s="59">
        <v>1.1616</v>
      </c>
      <c r="T39" s="59">
        <v>9.801</v>
      </c>
      <c r="U39" s="62">
        <v>4e-6</v>
      </c>
      <c r="V39" s="63"/>
      <c r="W39" s="63">
        <f t="shared" si="18"/>
        <v>4e-6</v>
      </c>
      <c r="X39" s="64">
        <v>0.001147</v>
      </c>
      <c r="Y39" s="64">
        <v>1.85e-5</v>
      </c>
      <c r="Z39" s="65">
        <f t="shared" si="5"/>
        <v>5.39333808149423</v>
      </c>
      <c r="AA39" s="66">
        <f t="shared" si="6"/>
        <v>0.00209332557239659</v>
      </c>
      <c r="AB39" s="65">
        <f t="shared" si="19"/>
        <v>13.0259361770228</v>
      </c>
      <c r="AC39" s="65">
        <f t="shared" si="20"/>
        <v>40.9749582354826</v>
      </c>
      <c r="AD39" s="65">
        <f t="shared" si="21"/>
        <v>5.68848995258772</v>
      </c>
      <c r="AE39" s="96">
        <f t="shared" si="7"/>
        <v>7.20313450089561</v>
      </c>
      <c r="AF39" s="96">
        <f t="shared" si="8"/>
        <v>0.855037318855396</v>
      </c>
      <c r="AG39" s="96">
        <f t="shared" si="36"/>
        <v>2.8910314940148</v>
      </c>
      <c r="AH39" s="96"/>
      <c r="AI39" s="63">
        <f t="shared" si="23"/>
        <v>117.548639478996</v>
      </c>
      <c r="AJ39" s="68"/>
      <c r="AK39" s="69">
        <f t="shared" si="9"/>
        <v>676.661251549476</v>
      </c>
      <c r="AL39" s="69"/>
      <c r="AM39" s="69">
        <f t="shared" si="10"/>
        <v>0.0206483721475543</v>
      </c>
      <c r="AN39" s="69">
        <f t="shared" si="25"/>
        <v>7.35783200062334e-5</v>
      </c>
      <c r="AO39" s="65">
        <f t="shared" si="26"/>
        <v>0.0174281663610291</v>
      </c>
      <c r="AP39" s="68"/>
      <c r="AQ39" s="68"/>
      <c r="AR39" s="68">
        <f t="shared" si="28"/>
        <v>21.558641788593</v>
      </c>
      <c r="AS39" s="68">
        <f t="shared" si="29"/>
        <v>30.4992911318009</v>
      </c>
      <c r="AT39" s="71">
        <f t="shared" si="30"/>
        <v>0.0182474233615459</v>
      </c>
      <c r="AU39" s="71"/>
      <c r="AV39" s="65"/>
      <c r="AW39" s="65">
        <f t="shared" si="31"/>
        <v>0.0171422022805949</v>
      </c>
      <c r="AX39" s="65">
        <f t="shared" si="11"/>
        <v>1.01668187527794</v>
      </c>
      <c r="AY39" s="65">
        <f t="shared" si="12"/>
        <v>8.97105260029113</v>
      </c>
      <c r="AZ39" s="69">
        <f t="shared" si="13"/>
        <v>0.00194271142278929</v>
      </c>
      <c r="BA39" s="69">
        <f t="shared" si="14"/>
        <v>5.6784216559457e-6</v>
      </c>
      <c r="BB39" s="72">
        <f t="shared" si="32"/>
        <v>20.1513173549399</v>
      </c>
      <c r="BC39" s="72">
        <f t="shared" si="35"/>
        <v>1.39100892497614</v>
      </c>
      <c r="BD39" s="72">
        <f t="shared" si="33"/>
        <v>0.0884203486920748</v>
      </c>
      <c r="BE39" s="72">
        <f t="shared" si="34"/>
        <v>52.351938140658</v>
      </c>
      <c r="BF39" s="1"/>
    </row>
    <row r="40" ht="25" customHeight="1" spans="1:58">
      <c r="A40" s="54">
        <v>65</v>
      </c>
      <c r="B40" s="54" t="s">
        <v>198</v>
      </c>
      <c r="C40" s="55">
        <v>0.476753154840519</v>
      </c>
      <c r="D40" s="55">
        <v>-4.1506613047098</v>
      </c>
      <c r="E40" s="55"/>
      <c r="F40" s="55">
        <v>2.12906697460238</v>
      </c>
      <c r="G40" s="56">
        <v>1</v>
      </c>
      <c r="H40" s="57">
        <f t="shared" si="15"/>
        <v>8.36637353682585e-5</v>
      </c>
      <c r="I40" s="57">
        <f t="shared" si="16"/>
        <v>0.000333333333333333</v>
      </c>
      <c r="J40" s="58">
        <f t="shared" si="0"/>
        <v>0.0207366581620722</v>
      </c>
      <c r="K40" s="58"/>
      <c r="L40" s="58">
        <f t="shared" si="1"/>
        <v>3.05912856414848</v>
      </c>
      <c r="M40" s="57">
        <f t="shared" si="2"/>
        <v>0.00105370659939076</v>
      </c>
      <c r="N40" s="57">
        <f t="shared" si="3"/>
        <v>0.00270334989751413</v>
      </c>
      <c r="O40" s="57">
        <f t="shared" si="4"/>
        <v>0.101726821615529</v>
      </c>
      <c r="P40" s="59">
        <v>0.0302</v>
      </c>
      <c r="Q40" s="60">
        <f t="shared" si="17"/>
        <v>0.0302</v>
      </c>
      <c r="R40" s="61">
        <v>1000</v>
      </c>
      <c r="S40" s="59">
        <v>1.1616</v>
      </c>
      <c r="T40" s="59">
        <v>9.801</v>
      </c>
      <c r="U40" s="62">
        <v>4e-6</v>
      </c>
      <c r="V40" s="63"/>
      <c r="W40" s="63">
        <f t="shared" si="18"/>
        <v>4e-6</v>
      </c>
      <c r="X40" s="64">
        <v>0.001147</v>
      </c>
      <c r="Y40" s="64">
        <v>1.85e-5</v>
      </c>
      <c r="Z40" s="65">
        <f t="shared" si="5"/>
        <v>3.70235380162339</v>
      </c>
      <c r="AA40" s="66">
        <f t="shared" si="6"/>
        <v>0.00212906697460238</v>
      </c>
      <c r="AB40" s="65">
        <f t="shared" si="19"/>
        <v>9.5460535499688</v>
      </c>
      <c r="AC40" s="65">
        <f t="shared" si="20"/>
        <v>32.0478963451122</v>
      </c>
      <c r="AD40" s="65">
        <f t="shared" si="21"/>
        <v>5.88439861101181</v>
      </c>
      <c r="AE40" s="96">
        <f t="shared" si="7"/>
        <v>5.44624837024792</v>
      </c>
      <c r="AF40" s="96">
        <f t="shared" si="8"/>
        <v>0.877728319974049</v>
      </c>
      <c r="AG40" s="96">
        <f t="shared" si="36"/>
        <v>2.82021948649513</v>
      </c>
      <c r="AH40" s="96"/>
      <c r="AI40" s="63">
        <f t="shared" si="23"/>
        <v>103.081763208761</v>
      </c>
      <c r="AJ40" s="68"/>
      <c r="AK40" s="69">
        <f t="shared" si="9"/>
        <v>879.919301842596</v>
      </c>
      <c r="AL40" s="69"/>
      <c r="AM40" s="69">
        <f t="shared" si="10"/>
        <v>0.0181071479669561</v>
      </c>
      <c r="AN40" s="69">
        <f t="shared" si="25"/>
        <v>7.2958113409272e-5</v>
      </c>
      <c r="AO40" s="65">
        <f t="shared" si="26"/>
        <v>0.0178764185128219</v>
      </c>
      <c r="AP40" s="68"/>
      <c r="AQ40" s="68"/>
      <c r="AR40" s="68">
        <f t="shared" si="28"/>
        <v>22.1131297003607</v>
      </c>
      <c r="AS40" s="68">
        <f t="shared" si="29"/>
        <v>31.2837323974383</v>
      </c>
      <c r="AT40" s="71">
        <f t="shared" si="30"/>
        <v>0.0180936121254994</v>
      </c>
      <c r="AU40" s="71"/>
      <c r="AV40" s="65"/>
      <c r="AW40" s="65">
        <f t="shared" si="31"/>
        <v>0.0230591471784097</v>
      </c>
      <c r="AX40" s="65">
        <f t="shared" si="11"/>
        <v>0.775241962528414</v>
      </c>
      <c r="AY40" s="65">
        <f t="shared" si="12"/>
        <v>12.2736171800119</v>
      </c>
      <c r="AZ40" s="69">
        <f t="shared" si="13"/>
        <v>0.00145649145240853</v>
      </c>
      <c r="BA40" s="69">
        <f t="shared" si="14"/>
        <v>4.59424059495068e-6</v>
      </c>
      <c r="BB40" s="72">
        <f t="shared" si="32"/>
        <v>20.6696089054503</v>
      </c>
      <c r="BC40" s="72">
        <f t="shared" si="35"/>
        <v>1.82422215350767</v>
      </c>
      <c r="BD40" s="72">
        <f t="shared" si="33"/>
        <v>0.100824177137268</v>
      </c>
      <c r="BE40" s="72">
        <f t="shared" si="34"/>
        <v>43.8166935671358</v>
      </c>
      <c r="BF40" s="1"/>
    </row>
    <row r="41" ht="25" customHeight="1" spans="1:58">
      <c r="A41" s="54">
        <v>66</v>
      </c>
      <c r="B41" s="54" t="s">
        <v>198</v>
      </c>
      <c r="C41" s="55">
        <v>0.525739871850274</v>
      </c>
      <c r="D41" s="55">
        <v>-5.05538010220109</v>
      </c>
      <c r="E41" s="55"/>
      <c r="F41" s="55">
        <v>2.09968478604059</v>
      </c>
      <c r="G41" s="56">
        <v>1</v>
      </c>
      <c r="H41" s="57">
        <f t="shared" si="15"/>
        <v>8.36637353682585e-5</v>
      </c>
      <c r="I41" s="57">
        <f t="shared" si="16"/>
        <v>0.000333333333333333</v>
      </c>
      <c r="J41" s="58">
        <f t="shared" si="0"/>
        <v>0.023217158742969</v>
      </c>
      <c r="K41" s="58"/>
      <c r="L41" s="58">
        <f t="shared" si="1"/>
        <v>3.72405192544512</v>
      </c>
      <c r="M41" s="57">
        <f t="shared" si="2"/>
        <v>0.00104641050057773</v>
      </c>
      <c r="N41" s="57">
        <f t="shared" si="3"/>
        <v>0.00219391413683315</v>
      </c>
      <c r="O41" s="57">
        <f t="shared" si="4"/>
        <v>0.12638289168193</v>
      </c>
      <c r="P41" s="59">
        <v>0.0302</v>
      </c>
      <c r="Q41" s="60">
        <f t="shared" si="17"/>
        <v>0.0302</v>
      </c>
      <c r="R41" s="61">
        <v>1000</v>
      </c>
      <c r="S41" s="59">
        <v>1.1616</v>
      </c>
      <c r="T41" s="59">
        <v>9.801</v>
      </c>
      <c r="U41" s="62">
        <v>4e-6</v>
      </c>
      <c r="V41" s="63"/>
      <c r="W41" s="63">
        <f t="shared" si="18"/>
        <v>4e-6</v>
      </c>
      <c r="X41" s="64">
        <v>0.001147</v>
      </c>
      <c r="Y41" s="64">
        <v>1.85e-5</v>
      </c>
      <c r="Z41" s="65">
        <f t="shared" si="5"/>
        <v>3.1147832051237</v>
      </c>
      <c r="AA41" s="66">
        <f t="shared" si="6"/>
        <v>0.00209968478604059</v>
      </c>
      <c r="AB41" s="65">
        <f t="shared" si="19"/>
        <v>12.0490526428717</v>
      </c>
      <c r="AC41" s="65">
        <f t="shared" si="20"/>
        <v>38.4343007346128</v>
      </c>
      <c r="AD41" s="65">
        <f t="shared" si="21"/>
        <v>5.72310403223283</v>
      </c>
      <c r="AE41" s="96">
        <f t="shared" si="7"/>
        <v>6.7156390165457</v>
      </c>
      <c r="AF41" s="96">
        <f t="shared" si="8"/>
        <v>0.860129166078455</v>
      </c>
      <c r="AG41" s="96">
        <f t="shared" si="36"/>
        <v>2.8747179192539</v>
      </c>
      <c r="AH41" s="96"/>
      <c r="AI41" s="63">
        <f t="shared" si="23"/>
        <v>113.673485805465</v>
      </c>
      <c r="AJ41" s="68"/>
      <c r="AK41" s="69">
        <f t="shared" si="9"/>
        <v>723.582684881494</v>
      </c>
      <c r="AL41" s="69"/>
      <c r="AM41" s="69">
        <f t="shared" si="10"/>
        <v>0.0199676699672935</v>
      </c>
      <c r="AN41" s="69">
        <f t="shared" si="25"/>
        <v>7.34668139664173e-5</v>
      </c>
      <c r="AO41" s="65">
        <f t="shared" si="26"/>
        <v>0.0175076429339041</v>
      </c>
      <c r="AP41" s="68"/>
      <c r="AQ41" s="68"/>
      <c r="AR41" s="68">
        <f t="shared" si="28"/>
        <v>21.6569543092394</v>
      </c>
      <c r="AS41" s="68">
        <f t="shared" si="29"/>
        <v>30.6383751343322</v>
      </c>
      <c r="AT41" s="71">
        <f t="shared" si="30"/>
        <v>0.0182197698636715</v>
      </c>
      <c r="AU41" s="71"/>
      <c r="AV41" s="65"/>
      <c r="AW41" s="65">
        <f t="shared" si="31"/>
        <v>0.0184424289371267</v>
      </c>
      <c r="AX41" s="65">
        <f t="shared" si="11"/>
        <v>0.9493132923863</v>
      </c>
      <c r="AY41" s="65">
        <f t="shared" si="12"/>
        <v>9.6808218642299</v>
      </c>
      <c r="AZ41" s="69">
        <f t="shared" si="13"/>
        <v>0.00180848725236789</v>
      </c>
      <c r="BA41" s="69">
        <f t="shared" si="14"/>
        <v>5.35874076145345e-6</v>
      </c>
      <c r="BB41" s="72">
        <f t="shared" si="32"/>
        <v>20.2432121423266</v>
      </c>
      <c r="BC41" s="72">
        <f t="shared" si="35"/>
        <v>1.48972270136255</v>
      </c>
      <c r="BD41" s="72">
        <f t="shared" si="33"/>
        <v>0.092464071613352</v>
      </c>
      <c r="BE41" s="72">
        <f t="shared" si="34"/>
        <v>49.8805087990785</v>
      </c>
      <c r="BF41" s="1"/>
    </row>
    <row r="42" ht="25" customHeight="1" spans="1:58">
      <c r="A42" s="54">
        <v>67</v>
      </c>
      <c r="B42" s="54" t="s">
        <v>198</v>
      </c>
      <c r="C42" s="55">
        <v>0.474403087020266</v>
      </c>
      <c r="D42" s="55">
        <v>-4.63338976189359</v>
      </c>
      <c r="E42" s="55"/>
      <c r="F42" s="55">
        <v>2.06478955683072</v>
      </c>
      <c r="G42" s="56">
        <v>1</v>
      </c>
      <c r="H42" s="57">
        <f t="shared" si="15"/>
        <v>8.36637353682585e-5</v>
      </c>
      <c r="I42" s="57">
        <f t="shared" si="16"/>
        <v>0.000333333333333333</v>
      </c>
      <c r="J42" s="58">
        <f t="shared" si="0"/>
        <v>0.0213375737203228</v>
      </c>
      <c r="K42" s="58"/>
      <c r="L42" s="58">
        <f t="shared" si="1"/>
        <v>3.03623198239087</v>
      </c>
      <c r="M42" s="57">
        <f t="shared" si="2"/>
        <v>0.00103767878034752</v>
      </c>
      <c r="N42" s="57">
        <f t="shared" si="3"/>
        <v>0.00265194080513548</v>
      </c>
      <c r="O42" s="57">
        <f t="shared" si="4"/>
        <v>0.105598791920349</v>
      </c>
      <c r="P42" s="59">
        <v>0.0302</v>
      </c>
      <c r="Q42" s="60">
        <f t="shared" si="17"/>
        <v>0.0302</v>
      </c>
      <c r="R42" s="61">
        <v>1000</v>
      </c>
      <c r="S42" s="59">
        <v>1.1616</v>
      </c>
      <c r="T42" s="59">
        <v>9.801</v>
      </c>
      <c r="U42" s="62">
        <v>4e-6</v>
      </c>
      <c r="V42" s="63"/>
      <c r="W42" s="63">
        <f t="shared" si="18"/>
        <v>4e-6</v>
      </c>
      <c r="X42" s="64">
        <v>0.001147</v>
      </c>
      <c r="Y42" s="64">
        <v>1.85e-5</v>
      </c>
      <c r="Z42" s="65">
        <f t="shared" si="5"/>
        <v>3.22689728408782</v>
      </c>
      <c r="AA42" s="66">
        <f t="shared" si="6"/>
        <v>0.00206478955683072</v>
      </c>
      <c r="AB42" s="65">
        <f t="shared" si="19"/>
        <v>9.43212482030367</v>
      </c>
      <c r="AC42" s="65">
        <f t="shared" si="20"/>
        <v>30.7747023014864</v>
      </c>
      <c r="AD42" s="65">
        <f t="shared" si="21"/>
        <v>5.53445712756113</v>
      </c>
      <c r="AE42" s="96">
        <f t="shared" si="7"/>
        <v>5.56056386239419</v>
      </c>
      <c r="AF42" s="96">
        <f t="shared" si="8"/>
        <v>0.87580898277513</v>
      </c>
      <c r="AG42" s="96">
        <f t="shared" si="36"/>
        <v>2.82602413003269</v>
      </c>
      <c r="AH42" s="96"/>
      <c r="AI42" s="63">
        <f t="shared" si="23"/>
        <v>102.573640436814</v>
      </c>
      <c r="AJ42" s="68"/>
      <c r="AK42" s="69">
        <f t="shared" si="9"/>
        <v>888.658671100032</v>
      </c>
      <c r="AL42" s="69"/>
      <c r="AM42" s="69">
        <f t="shared" si="10"/>
        <v>0.0180178920798757</v>
      </c>
      <c r="AN42" s="69">
        <f t="shared" si="25"/>
        <v>7.40850126594119e-5</v>
      </c>
      <c r="AO42" s="65">
        <f t="shared" si="26"/>
        <v>0.0170730149654087</v>
      </c>
      <c r="AP42" s="68"/>
      <c r="AQ42" s="68"/>
      <c r="AR42" s="68">
        <f t="shared" si="28"/>
        <v>21.1193195122106</v>
      </c>
      <c r="AS42" s="68">
        <f t="shared" si="29"/>
        <v>29.8777761894652</v>
      </c>
      <c r="AT42" s="71">
        <f t="shared" si="30"/>
        <v>0.0183730831395341</v>
      </c>
      <c r="AU42" s="71"/>
      <c r="AV42" s="65"/>
      <c r="AW42" s="65">
        <f t="shared" si="31"/>
        <v>0.0219032380367955</v>
      </c>
      <c r="AX42" s="65">
        <f t="shared" si="11"/>
        <v>0.779474474811788</v>
      </c>
      <c r="AY42" s="65">
        <f t="shared" si="12"/>
        <v>11.3063942897882</v>
      </c>
      <c r="AZ42" s="69">
        <f t="shared" si="13"/>
        <v>0.00151003180393496</v>
      </c>
      <c r="BA42" s="69">
        <f t="shared" si="14"/>
        <v>4.14935900051418e-6</v>
      </c>
      <c r="BB42" s="72">
        <f t="shared" si="32"/>
        <v>19.7406735537538</v>
      </c>
      <c r="BC42" s="72">
        <f t="shared" si="35"/>
        <v>1.81431670705391</v>
      </c>
      <c r="BD42" s="72">
        <f t="shared" si="33"/>
        <v>0.127737571800584</v>
      </c>
      <c r="BE42" s="72">
        <f t="shared" si="34"/>
        <v>41.8436165566087</v>
      </c>
      <c r="BF42" s="1"/>
    </row>
    <row r="43" ht="25" customHeight="1" spans="1:58">
      <c r="A43" s="54">
        <v>68</v>
      </c>
      <c r="B43" s="54" t="s">
        <v>198</v>
      </c>
      <c r="C43" s="55">
        <v>0.480671267552308</v>
      </c>
      <c r="D43" s="55">
        <v>-3.14964695330669</v>
      </c>
      <c r="E43" s="55"/>
      <c r="F43" s="55">
        <v>2.10181737041734</v>
      </c>
      <c r="G43" s="56">
        <v>1</v>
      </c>
      <c r="H43" s="57">
        <f t="shared" si="15"/>
        <v>8.36637353682585e-5</v>
      </c>
      <c r="I43" s="57">
        <f t="shared" si="16"/>
        <v>0.000333333333333333</v>
      </c>
      <c r="J43" s="58">
        <f t="shared" si="0"/>
        <v>0.0212033501647717</v>
      </c>
      <c r="K43" s="58"/>
      <c r="L43" s="58">
        <f t="shared" si="1"/>
        <v>3.1126923102172</v>
      </c>
      <c r="M43" s="57">
        <f t="shared" si="2"/>
        <v>0.00104694176897488</v>
      </c>
      <c r="N43" s="57">
        <f t="shared" si="3"/>
        <v>0.00262714129307106</v>
      </c>
      <c r="O43" s="57">
        <f t="shared" si="4"/>
        <v>0.105478378432913</v>
      </c>
      <c r="P43" s="59">
        <v>0.0302</v>
      </c>
      <c r="Q43" s="60">
        <f t="shared" si="17"/>
        <v>0.0302</v>
      </c>
      <c r="R43" s="61">
        <v>1000</v>
      </c>
      <c r="S43" s="59">
        <v>1.1616</v>
      </c>
      <c r="T43" s="59">
        <v>9.801</v>
      </c>
      <c r="U43" s="62">
        <v>4e-6</v>
      </c>
      <c r="V43" s="63"/>
      <c r="W43" s="63">
        <f t="shared" si="18"/>
        <v>4e-6</v>
      </c>
      <c r="X43" s="64">
        <v>0.001147</v>
      </c>
      <c r="Y43" s="64">
        <v>1.85e-5</v>
      </c>
      <c r="Z43" s="65">
        <f t="shared" si="5"/>
        <v>4.20466592405482</v>
      </c>
      <c r="AA43" s="66">
        <f t="shared" si="6"/>
        <v>0.00210181737041734</v>
      </c>
      <c r="AB43" s="65">
        <f t="shared" si="19"/>
        <v>9.73725114425802</v>
      </c>
      <c r="AC43" s="65">
        <f t="shared" si="20"/>
        <v>32.159875215424</v>
      </c>
      <c r="AD43" s="65">
        <f t="shared" si="21"/>
        <v>5.73473549277107</v>
      </c>
      <c r="AE43" s="96">
        <f t="shared" si="7"/>
        <v>5.60790907548624</v>
      </c>
      <c r="AF43" s="96">
        <f t="shared" si="8"/>
        <v>0.87503736153445</v>
      </c>
      <c r="AG43" s="96">
        <f t="shared" si="36"/>
        <v>2.82836716208843</v>
      </c>
      <c r="AH43" s="96"/>
      <c r="AI43" s="63">
        <f t="shared" si="23"/>
        <v>103.928922714013</v>
      </c>
      <c r="AJ43" s="68"/>
      <c r="AK43" s="69">
        <f t="shared" si="9"/>
        <v>865.632732754755</v>
      </c>
      <c r="AL43" s="69"/>
      <c r="AM43" s="69">
        <f t="shared" si="10"/>
        <v>0.0182559584067052</v>
      </c>
      <c r="AN43" s="69">
        <f t="shared" si="25"/>
        <v>7.34295333862965e-5</v>
      </c>
      <c r="AO43" s="65">
        <f t="shared" si="26"/>
        <v>0.0175343226561355</v>
      </c>
      <c r="AP43" s="68"/>
      <c r="AQ43" s="68"/>
      <c r="AR43" s="68">
        <f t="shared" si="28"/>
        <v>21.6899571256396</v>
      </c>
      <c r="AS43" s="68">
        <f t="shared" si="29"/>
        <v>30.6850646482371</v>
      </c>
      <c r="AT43" s="71">
        <f t="shared" si="30"/>
        <v>0.0182105242798015</v>
      </c>
      <c r="AU43" s="71"/>
      <c r="AV43" s="65"/>
      <c r="AW43" s="65">
        <f t="shared" si="31"/>
        <v>0.0221077922239076</v>
      </c>
      <c r="AX43" s="65">
        <f t="shared" si="11"/>
        <v>0.79312861630632</v>
      </c>
      <c r="AY43" s="65">
        <f t="shared" si="12"/>
        <v>11.6166354294466</v>
      </c>
      <c r="AZ43" s="69">
        <f t="shared" si="13"/>
        <v>0.00150941490439549</v>
      </c>
      <c r="BA43" s="69">
        <f t="shared" si="14"/>
        <v>4.49303570419326e-6</v>
      </c>
      <c r="BB43" s="72">
        <f t="shared" si="32"/>
        <v>20.2740605711566</v>
      </c>
      <c r="BC43" s="72">
        <f t="shared" si="35"/>
        <v>1.78308225588837</v>
      </c>
      <c r="BD43" s="72">
        <f t="shared" si="33"/>
        <v>0.109780557008026</v>
      </c>
      <c r="BE43" s="72">
        <f t="shared" si="34"/>
        <v>43.6293462009661</v>
      </c>
      <c r="BF43" s="1"/>
    </row>
    <row r="44" ht="25" customHeight="1" spans="1:58">
      <c r="A44" s="54">
        <v>69</v>
      </c>
      <c r="B44" s="54" t="s">
        <v>198</v>
      </c>
      <c r="C44" s="55">
        <v>0.372745951747551</v>
      </c>
      <c r="D44" s="55">
        <v>2.09440747549454</v>
      </c>
      <c r="E44" s="55"/>
      <c r="F44" s="55">
        <v>1.94203202032561</v>
      </c>
      <c r="G44" s="56">
        <v>1</v>
      </c>
      <c r="H44" s="57">
        <f t="shared" si="15"/>
        <v>8.36637353682585e-5</v>
      </c>
      <c r="I44" s="57">
        <f t="shared" si="16"/>
        <v>0.000333333333333333</v>
      </c>
      <c r="J44" s="58">
        <f t="shared" si="0"/>
        <v>0.0179308528177191</v>
      </c>
      <c r="K44" s="58"/>
      <c r="L44" s="58">
        <f t="shared" si="1"/>
        <v>1.88367227245988</v>
      </c>
      <c r="M44" s="57">
        <f t="shared" si="2"/>
        <v>0.00100635968734411</v>
      </c>
      <c r="N44" s="57">
        <f t="shared" si="3"/>
        <v>0.00405355966904355</v>
      </c>
      <c r="O44" s="57">
        <f t="shared" si="4"/>
        <v>0.0716566108118157</v>
      </c>
      <c r="P44" s="59">
        <v>0.0302</v>
      </c>
      <c r="Q44" s="60">
        <f t="shared" si="17"/>
        <v>0.0302</v>
      </c>
      <c r="R44" s="61">
        <v>1000</v>
      </c>
      <c r="S44" s="59">
        <v>1.1616</v>
      </c>
      <c r="T44" s="59">
        <v>9.801</v>
      </c>
      <c r="U44" s="62">
        <v>4e-6</v>
      </c>
      <c r="V44" s="63"/>
      <c r="W44" s="63">
        <f t="shared" si="18"/>
        <v>4e-6</v>
      </c>
      <c r="X44" s="64">
        <v>0.001147</v>
      </c>
      <c r="Y44" s="64">
        <v>1.85e-5</v>
      </c>
      <c r="Z44" s="65">
        <f t="shared" si="5"/>
        <v>6.18243067455427</v>
      </c>
      <c r="AA44" s="66">
        <f t="shared" si="6"/>
        <v>0.00194203202032561</v>
      </c>
      <c r="AB44" s="65">
        <f t="shared" si="19"/>
        <v>5.04279024180365</v>
      </c>
      <c r="AC44" s="65">
        <f t="shared" si="20"/>
        <v>17.869208238031</v>
      </c>
      <c r="AD44" s="65">
        <f t="shared" si="21"/>
        <v>4.89594138999651</v>
      </c>
      <c r="AE44" s="96">
        <f t="shared" si="7"/>
        <v>3.64980027631494</v>
      </c>
      <c r="AF44" s="96">
        <f t="shared" si="8"/>
        <v>0.924166591569552</v>
      </c>
      <c r="AG44" s="96">
        <f t="shared" si="36"/>
        <v>2.68943494024902</v>
      </c>
      <c r="AH44" s="96"/>
      <c r="AI44" s="63">
        <f t="shared" si="23"/>
        <v>80.5937192967678</v>
      </c>
      <c r="AJ44" s="68"/>
      <c r="AK44" s="69">
        <f t="shared" si="9"/>
        <v>1439.47499364656</v>
      </c>
      <c r="AL44" s="69"/>
      <c r="AM44" s="69">
        <f t="shared" si="10"/>
        <v>0.0141569406176967</v>
      </c>
      <c r="AN44" s="69">
        <f t="shared" si="25"/>
        <v>7.63906250868758e-5</v>
      </c>
      <c r="AO44" s="65">
        <f t="shared" si="26"/>
        <v>0.0155733164290328</v>
      </c>
      <c r="AP44" s="68"/>
      <c r="AQ44" s="68"/>
      <c r="AR44" s="68">
        <f t="shared" si="28"/>
        <v>19.2641924227136</v>
      </c>
      <c r="AS44" s="68">
        <f t="shared" si="29"/>
        <v>27.2533037508074</v>
      </c>
      <c r="AT44" s="71">
        <f t="shared" si="30"/>
        <v>0.0189448750215452</v>
      </c>
      <c r="AU44" s="71"/>
      <c r="AV44" s="65"/>
      <c r="AW44" s="65">
        <f t="shared" si="31"/>
        <v>0.0313861934683282</v>
      </c>
      <c r="AX44" s="65">
        <f t="shared" si="11"/>
        <v>0.496183662563217</v>
      </c>
      <c r="AY44" s="65">
        <f t="shared" si="12"/>
        <v>15.238248177907</v>
      </c>
      <c r="AZ44" s="69">
        <f t="shared" si="13"/>
        <v>0.00102198863328736</v>
      </c>
      <c r="BA44" s="69">
        <f t="shared" si="14"/>
        <v>2.13134445497007e-6</v>
      </c>
      <c r="BB44" s="72">
        <f t="shared" si="32"/>
        <v>18.0066471210692</v>
      </c>
      <c r="BC44" s="72">
        <f t="shared" si="35"/>
        <v>2.85018163449288</v>
      </c>
      <c r="BD44" s="72">
        <f t="shared" si="33"/>
        <v>0.291457637665363</v>
      </c>
      <c r="BE44" s="72">
        <f t="shared" si="34"/>
        <v>27.6610910180241</v>
      </c>
      <c r="BF44" s="1"/>
    </row>
    <row r="45" ht="25" customHeight="1" spans="1:58">
      <c r="A45" s="54">
        <v>71</v>
      </c>
      <c r="B45" s="54" t="s">
        <v>198</v>
      </c>
      <c r="C45" s="55">
        <v>0.296756656458039</v>
      </c>
      <c r="D45" s="55">
        <v>-6.99665336317497</v>
      </c>
      <c r="E45" s="55"/>
      <c r="F45" s="55">
        <v>2.08313405838845</v>
      </c>
      <c r="G45" s="56">
        <v>1</v>
      </c>
      <c r="H45" s="57">
        <f t="shared" si="15"/>
        <v>8.36637353682585e-5</v>
      </c>
      <c r="I45" s="57">
        <f t="shared" si="16"/>
        <v>0.000333333333333333</v>
      </c>
      <c r="J45" s="58">
        <f t="shared" si="0"/>
        <v>0.0132189194578988</v>
      </c>
      <c r="K45" s="58"/>
      <c r="L45" s="58">
        <f t="shared" si="1"/>
        <v>1.18724712745587</v>
      </c>
      <c r="M45" s="57">
        <f t="shared" si="2"/>
        <v>0.00104227818524386</v>
      </c>
      <c r="N45" s="57">
        <f t="shared" si="3"/>
        <v>0.00683439909848406</v>
      </c>
      <c r="O45" s="57">
        <f t="shared" si="4"/>
        <v>0.0407609048592978</v>
      </c>
      <c r="P45" s="59">
        <v>0.0302</v>
      </c>
      <c r="Q45" s="60">
        <f t="shared" si="17"/>
        <v>0.0302</v>
      </c>
      <c r="R45" s="61">
        <v>1000</v>
      </c>
      <c r="S45" s="59">
        <v>1.1616</v>
      </c>
      <c r="T45" s="59">
        <v>9.801</v>
      </c>
      <c r="U45" s="62">
        <v>4e-6</v>
      </c>
      <c r="V45" s="63"/>
      <c r="W45" s="63">
        <f t="shared" si="18"/>
        <v>4e-6</v>
      </c>
      <c r="X45" s="64">
        <v>0.001147</v>
      </c>
      <c r="Y45" s="64">
        <v>1.85e-5</v>
      </c>
      <c r="Z45" s="65">
        <f t="shared" si="5"/>
        <v>1.79908172625015</v>
      </c>
      <c r="AA45" s="66">
        <f t="shared" si="6"/>
        <v>0.00208313405838845</v>
      </c>
      <c r="AB45" s="65">
        <f t="shared" si="19"/>
        <v>2.4497713125461</v>
      </c>
      <c r="AC45" s="65">
        <f t="shared" si="20"/>
        <v>12.149018985606</v>
      </c>
      <c r="AD45" s="65">
        <f t="shared" si="21"/>
        <v>5.63323509915774</v>
      </c>
      <c r="AE45" s="96">
        <f t="shared" si="7"/>
        <v>2.15666819718255</v>
      </c>
      <c r="AF45" s="96">
        <f t="shared" si="8"/>
        <v>1.02646923637523</v>
      </c>
      <c r="AG45" s="96">
        <f t="shared" si="36"/>
        <v>2.45744841267246</v>
      </c>
      <c r="AH45" s="96"/>
      <c r="AI45" s="63">
        <f t="shared" si="23"/>
        <v>64.1636013963328</v>
      </c>
      <c r="AJ45" s="68"/>
      <c r="AK45" s="69">
        <f t="shared" si="9"/>
        <v>2271.06234783184</v>
      </c>
      <c r="AL45" s="69"/>
      <c r="AM45" s="69">
        <f t="shared" si="10"/>
        <v>0.0112708571177937</v>
      </c>
      <c r="AN45" s="69">
        <f t="shared" si="25"/>
        <v>7.37580874922207e-5</v>
      </c>
      <c r="AO45" s="65">
        <f t="shared" si="26"/>
        <v>0.017301045878798</v>
      </c>
      <c r="AP45" s="68"/>
      <c r="AQ45" s="68"/>
      <c r="AR45" s="68">
        <f t="shared" si="28"/>
        <v>21.4013937520731</v>
      </c>
      <c r="AS45" s="68">
        <f t="shared" si="29"/>
        <v>30.2768302878965</v>
      </c>
      <c r="AT45" s="71">
        <f t="shared" si="30"/>
        <v>0.0182920056980707</v>
      </c>
      <c r="AU45" s="71"/>
      <c r="AV45" s="65"/>
      <c r="AW45" s="65">
        <f t="shared" si="31"/>
        <v>0.0569751196970704</v>
      </c>
      <c r="AX45" s="65">
        <f t="shared" si="11"/>
        <v>0.30365966707548</v>
      </c>
      <c r="AY45" s="65">
        <f t="shared" si="12"/>
        <v>29.6717030804315</v>
      </c>
      <c r="AZ45" s="69">
        <f t="shared" si="13"/>
        <v>0.000583082333760884</v>
      </c>
      <c r="BA45" s="69">
        <f t="shared" si="14"/>
        <v>1.66729025075928e-6</v>
      </c>
      <c r="BB45" s="72">
        <f t="shared" si="32"/>
        <v>20.0043342973602</v>
      </c>
      <c r="BC45" s="72">
        <f t="shared" si="35"/>
        <v>4.65723214410812</v>
      </c>
      <c r="BD45" s="72">
        <f t="shared" si="33"/>
        <v>0.307311216330137</v>
      </c>
      <c r="BE45" s="72">
        <f t="shared" si="34"/>
        <v>23.4154891839215</v>
      </c>
      <c r="BF45" s="1"/>
    </row>
    <row r="46" ht="25" customHeight="1" spans="1:58">
      <c r="A46" s="54">
        <v>72</v>
      </c>
      <c r="B46" s="54" t="s">
        <v>198</v>
      </c>
      <c r="C46" s="55">
        <v>0.465605320147075</v>
      </c>
      <c r="D46" s="55">
        <v>-4.47465861026854</v>
      </c>
      <c r="E46" s="55"/>
      <c r="F46" s="55">
        <v>2.12028775100982</v>
      </c>
      <c r="G46" s="56">
        <v>1</v>
      </c>
      <c r="H46" s="57">
        <f t="shared" si="15"/>
        <v>8.36637353682585e-5</v>
      </c>
      <c r="I46" s="57">
        <f t="shared" si="16"/>
        <v>0.000333333333333333</v>
      </c>
      <c r="J46" s="58">
        <f t="shared" si="0"/>
        <v>0.0203433666055659</v>
      </c>
      <c r="K46" s="58"/>
      <c r="L46" s="58">
        <f t="shared" si="1"/>
        <v>2.91866090704886</v>
      </c>
      <c r="M46" s="57">
        <f t="shared" si="2"/>
        <v>0.00105153187167688</v>
      </c>
      <c r="N46" s="57">
        <f t="shared" si="3"/>
        <v>0.00282325422897785</v>
      </c>
      <c r="O46" s="57">
        <f t="shared" si="4"/>
        <v>0.0976446789673571</v>
      </c>
      <c r="P46" s="59">
        <v>0.0302</v>
      </c>
      <c r="Q46" s="60">
        <f t="shared" si="17"/>
        <v>0.0302</v>
      </c>
      <c r="R46" s="61">
        <v>1000</v>
      </c>
      <c r="S46" s="59">
        <v>1.1616</v>
      </c>
      <c r="T46" s="59">
        <v>9.801</v>
      </c>
      <c r="U46" s="62">
        <v>4e-6</v>
      </c>
      <c r="V46" s="63"/>
      <c r="W46" s="63">
        <f t="shared" si="18"/>
        <v>4e-6</v>
      </c>
      <c r="X46" s="64">
        <v>0.001147</v>
      </c>
      <c r="Y46" s="64">
        <v>1.85e-5</v>
      </c>
      <c r="Z46" s="65">
        <f t="shared" si="5"/>
        <v>3.47395605668254</v>
      </c>
      <c r="AA46" s="66">
        <f t="shared" si="6"/>
        <v>0.00212028775100982</v>
      </c>
      <c r="AB46" s="65">
        <f t="shared" si="19"/>
        <v>9.01061743880022</v>
      </c>
      <c r="AC46" s="65">
        <f t="shared" si="20"/>
        <v>30.4406362286586</v>
      </c>
      <c r="AD46" s="65">
        <f t="shared" si="21"/>
        <v>5.83596994192761</v>
      </c>
      <c r="AE46" s="96">
        <f t="shared" si="7"/>
        <v>5.21603718517511</v>
      </c>
      <c r="AF46" s="96">
        <f t="shared" si="8"/>
        <v>0.881853520533714</v>
      </c>
      <c r="AG46" s="96">
        <f t="shared" si="36"/>
        <v>2.80785593702189</v>
      </c>
      <c r="AH46" s="96"/>
      <c r="AI46" s="63">
        <f t="shared" si="23"/>
        <v>100.671420572341</v>
      </c>
      <c r="AJ46" s="68"/>
      <c r="AK46" s="69">
        <f t="shared" si="9"/>
        <v>922.558952427199</v>
      </c>
      <c r="AL46" s="69"/>
      <c r="AM46" s="69">
        <f t="shared" si="10"/>
        <v>0.0176837517287647</v>
      </c>
      <c r="AN46" s="69">
        <f t="shared" si="25"/>
        <v>7.31090018753823e-5</v>
      </c>
      <c r="AO46" s="65">
        <f t="shared" si="26"/>
        <v>0.0177659622575159</v>
      </c>
      <c r="AP46" s="68"/>
      <c r="AQ46" s="68"/>
      <c r="AR46" s="68">
        <f t="shared" si="28"/>
        <v>21.9764953125472</v>
      </c>
      <c r="AS46" s="68">
        <f t="shared" si="29"/>
        <v>31.0904339506529</v>
      </c>
      <c r="AT46" s="71">
        <f t="shared" si="30"/>
        <v>0.0181310324650948</v>
      </c>
      <c r="AU46" s="71"/>
      <c r="AV46" s="65"/>
      <c r="AW46" s="65">
        <f t="shared" si="31"/>
        <v>0.0239775876087352</v>
      </c>
      <c r="AX46" s="65">
        <f t="shared" si="11"/>
        <v>0.740940354276662</v>
      </c>
      <c r="AY46" s="65">
        <f t="shared" si="12"/>
        <v>12.7098463263915</v>
      </c>
      <c r="AZ46" s="69">
        <f t="shared" si="13"/>
        <v>0.00139781094131922</v>
      </c>
      <c r="BA46" s="69">
        <f t="shared" si="14"/>
        <v>4.3279167173007e-6</v>
      </c>
      <c r="BB46" s="72">
        <f t="shared" si="32"/>
        <v>20.5418938602528</v>
      </c>
      <c r="BC46" s="72">
        <f t="shared" si="35"/>
        <v>1.90867396303945</v>
      </c>
      <c r="BD46" s="72">
        <f t="shared" si="33"/>
        <v>0.109329518974099</v>
      </c>
      <c r="BE46" s="72">
        <f t="shared" si="34"/>
        <v>42.1125761125138</v>
      </c>
      <c r="BF46" s="1"/>
    </row>
    <row r="47" ht="25" customHeight="1" spans="1:58">
      <c r="A47" s="54">
        <v>73</v>
      </c>
      <c r="B47" s="54" t="s">
        <v>198</v>
      </c>
      <c r="C47" s="55">
        <v>0.219172785221219</v>
      </c>
      <c r="D47" s="55">
        <v>-0.895379256655757</v>
      </c>
      <c r="E47" s="55"/>
      <c r="F47" s="55">
        <v>2.0990378289909</v>
      </c>
      <c r="G47" s="56">
        <v>1</v>
      </c>
      <c r="H47" s="57">
        <f t="shared" si="15"/>
        <v>8.36637353682585e-5</v>
      </c>
      <c r="I47" s="57">
        <f t="shared" si="16"/>
        <v>0.000333333333333333</v>
      </c>
      <c r="J47" s="58">
        <f t="shared" si="0"/>
        <v>0.00968213331975064</v>
      </c>
      <c r="K47" s="58"/>
      <c r="L47" s="58">
        <f t="shared" si="1"/>
        <v>0.647228283693118</v>
      </c>
      <c r="M47" s="57">
        <f t="shared" si="2"/>
        <v>0.00104624927761443</v>
      </c>
      <c r="N47" s="57">
        <f t="shared" si="3"/>
        <v>0.0126200543360951</v>
      </c>
      <c r="O47" s="57">
        <f t="shared" si="4"/>
        <v>0.0219748510715359</v>
      </c>
      <c r="P47" s="59">
        <v>0.0302</v>
      </c>
      <c r="Q47" s="60">
        <f t="shared" si="17"/>
        <v>0.0302</v>
      </c>
      <c r="R47" s="61">
        <v>1000</v>
      </c>
      <c r="S47" s="59">
        <v>1.1616</v>
      </c>
      <c r="T47" s="59">
        <v>9.801</v>
      </c>
      <c r="U47" s="62">
        <v>4e-6</v>
      </c>
      <c r="V47" s="63"/>
      <c r="W47" s="63">
        <f t="shared" si="18"/>
        <v>4e-6</v>
      </c>
      <c r="X47" s="64">
        <v>0.001147</v>
      </c>
      <c r="Y47" s="64">
        <v>1.85e-5</v>
      </c>
      <c r="Z47" s="65">
        <f t="shared" si="5"/>
        <v>5.3311535589637</v>
      </c>
      <c r="AA47" s="66">
        <f t="shared" si="6"/>
        <v>0.0020990378289909</v>
      </c>
      <c r="AB47" s="65">
        <f t="shared" si="19"/>
        <v>0.409618235556911</v>
      </c>
      <c r="AC47" s="65">
        <f t="shared" si="20"/>
        <v>6.67754112661533</v>
      </c>
      <c r="AD47" s="65">
        <f t="shared" si="21"/>
        <v>5.71957775809919</v>
      </c>
      <c r="AE47" s="96">
        <f t="shared" si="7"/>
        <v>1.16748847712746</v>
      </c>
      <c r="AF47" s="96">
        <f t="shared" si="8"/>
        <v>1.29966144229441</v>
      </c>
      <c r="AG47" s="96">
        <f t="shared" si="36"/>
        <v>2.10148902657506</v>
      </c>
      <c r="AH47" s="96"/>
      <c r="AI47" s="63">
        <f t="shared" si="23"/>
        <v>47.3887103181014</v>
      </c>
      <c r="AJ47" s="68"/>
      <c r="AK47" s="69">
        <f t="shared" si="9"/>
        <v>4163.48248889638</v>
      </c>
      <c r="AL47" s="69"/>
      <c r="AM47" s="69">
        <f t="shared" si="10"/>
        <v>0.00832421141220987</v>
      </c>
      <c r="AN47" s="69">
        <f t="shared" si="25"/>
        <v>7.3478134918035e-5</v>
      </c>
      <c r="AO47" s="65">
        <f t="shared" si="26"/>
        <v>0.0174995518476478</v>
      </c>
      <c r="AP47" s="68"/>
      <c r="AQ47" s="68"/>
      <c r="AR47" s="68">
        <f t="shared" si="28"/>
        <v>21.6469456355403</v>
      </c>
      <c r="AS47" s="68">
        <f t="shared" si="29"/>
        <v>30.6242157333836</v>
      </c>
      <c r="AT47" s="71">
        <f t="shared" si="30"/>
        <v>0.0182225774596727</v>
      </c>
      <c r="AU47" s="71"/>
      <c r="AV47" s="65"/>
      <c r="AW47" s="65">
        <f t="shared" si="31"/>
        <v>0.106052039172148</v>
      </c>
      <c r="AX47" s="65">
        <f t="shared" si="11"/>
        <v>0.165009102929571</v>
      </c>
      <c r="AY47" s="65">
        <f t="shared" si="12"/>
        <v>55.6518105159906</v>
      </c>
      <c r="AZ47" s="69">
        <f t="shared" si="13"/>
        <v>0.000314447125536366</v>
      </c>
      <c r="BA47" s="69">
        <f t="shared" si="14"/>
        <v>9.30449192898794e-7</v>
      </c>
      <c r="BB47" s="72">
        <f t="shared" si="32"/>
        <v>20.2338568238427</v>
      </c>
      <c r="BC47" s="72">
        <f t="shared" si="35"/>
        <v>8.57051845786175</v>
      </c>
      <c r="BD47" s="72">
        <f t="shared" si="33"/>
        <v>0.533256840547012</v>
      </c>
      <c r="BE47" s="72">
        <f t="shared" si="34"/>
        <v>18.1166966428137</v>
      </c>
      <c r="BF47" s="1"/>
    </row>
    <row r="48" ht="25" customHeight="1" spans="1:58">
      <c r="A48" s="54">
        <v>77</v>
      </c>
      <c r="B48" s="54" t="s">
        <v>198</v>
      </c>
      <c r="C48" s="55">
        <v>0</v>
      </c>
      <c r="D48" s="55">
        <v>0</v>
      </c>
      <c r="E48" s="55"/>
      <c r="F48" s="55">
        <v>0</v>
      </c>
      <c r="G48" s="56">
        <v>1</v>
      </c>
      <c r="H48" s="57">
        <f t="shared" si="15"/>
        <v>8.36637353682585e-5</v>
      </c>
      <c r="I48" s="57">
        <f t="shared" si="16"/>
        <v>0.000333333333333333</v>
      </c>
      <c r="J48" s="58" t="e">
        <f t="shared" si="0"/>
        <v>#DIV/0!</v>
      </c>
      <c r="K48" s="58"/>
      <c r="L48" s="58" t="e">
        <f t="shared" si="1"/>
        <v>#DIV/0!</v>
      </c>
      <c r="M48" s="57" t="e">
        <f t="shared" si="2"/>
        <v>#DIV/0!</v>
      </c>
      <c r="N48" s="57" t="e">
        <f t="shared" si="3"/>
        <v>#DIV/0!</v>
      </c>
      <c r="O48" s="57" t="e">
        <f t="shared" si="4"/>
        <v>#DIV/0!</v>
      </c>
      <c r="P48" s="59">
        <v>0.0302</v>
      </c>
      <c r="Q48" s="60">
        <f t="shared" si="17"/>
        <v>0.0302</v>
      </c>
      <c r="R48" s="61">
        <v>1000</v>
      </c>
      <c r="S48" s="59">
        <v>1.1616</v>
      </c>
      <c r="T48" s="59">
        <v>9.801</v>
      </c>
      <c r="U48" s="62">
        <v>4e-6</v>
      </c>
      <c r="V48" s="63"/>
      <c r="W48" s="63">
        <f t="shared" si="18"/>
        <v>4e-6</v>
      </c>
      <c r="X48" s="64">
        <v>0.001147</v>
      </c>
      <c r="Y48" s="64">
        <v>1.85e-5</v>
      </c>
      <c r="Z48" s="65"/>
      <c r="AA48" s="66">
        <f t="shared" si="6"/>
        <v>0</v>
      </c>
      <c r="AB48" s="65">
        <f t="shared" si="19"/>
        <v>-2.03873598369011</v>
      </c>
      <c r="AC48" s="65">
        <f t="shared" si="20"/>
        <v>0</v>
      </c>
      <c r="AD48" s="65">
        <f t="shared" si="21"/>
        <v>0</v>
      </c>
      <c r="AE48" s="96" t="e">
        <f t="shared" si="7"/>
        <v>#DIV/0!</v>
      </c>
      <c r="AF48" s="96" t="e">
        <f t="shared" si="8"/>
        <v>#DIV/0!</v>
      </c>
      <c r="AG48" s="96" t="e">
        <f t="shared" si="36"/>
        <v>#DIV/0!</v>
      </c>
      <c r="AH48" s="96"/>
      <c r="AI48" s="63">
        <f t="shared" si="23"/>
        <v>0</v>
      </c>
      <c r="AJ48" s="68"/>
      <c r="AK48" s="69" t="e">
        <f t="shared" si="9"/>
        <v>#DIV/0!</v>
      </c>
      <c r="AL48" s="69"/>
      <c r="AM48" s="69">
        <f t="shared" si="10"/>
        <v>0</v>
      </c>
      <c r="AN48" s="69" t="e">
        <f t="shared" si="25"/>
        <v>#DIV/0!</v>
      </c>
      <c r="AO48" s="65">
        <f t="shared" si="26"/>
        <v>0</v>
      </c>
      <c r="AP48" s="68"/>
      <c r="AQ48" s="68"/>
      <c r="AR48" s="68">
        <f t="shared" si="28"/>
        <v>0</v>
      </c>
      <c r="AS48" s="68">
        <f t="shared" si="29"/>
        <v>0</v>
      </c>
      <c r="AT48" s="71" t="e">
        <f t="shared" si="30"/>
        <v>#DIV/0!</v>
      </c>
      <c r="AU48" s="71"/>
      <c r="AV48" s="65"/>
      <c r="AW48" s="65" t="e">
        <f t="shared" si="31"/>
        <v>#DIV/0!</v>
      </c>
      <c r="AX48" s="65" t="e">
        <f t="shared" si="11"/>
        <v>#DIV/0!</v>
      </c>
      <c r="AY48" s="65" t="e">
        <f t="shared" si="12"/>
        <v>#DIV/0!</v>
      </c>
      <c r="AZ48" s="69" t="e">
        <f t="shared" si="13"/>
        <v>#DIV/0!</v>
      </c>
      <c r="BA48" s="69">
        <f t="shared" si="14"/>
        <v>0</v>
      </c>
      <c r="BB48" s="72" t="e">
        <f t="shared" si="32"/>
        <v>#DIV/0!</v>
      </c>
      <c r="BC48" s="72" t="e">
        <f t="shared" si="35"/>
        <v>#DIV/0!</v>
      </c>
      <c r="BD48" s="72" t="e">
        <f t="shared" si="33"/>
        <v>#DIV/0!</v>
      </c>
      <c r="BE48" s="72">
        <f t="shared" si="34"/>
        <v>0</v>
      </c>
      <c r="BF48" s="21" t="s">
        <v>105</v>
      </c>
    </row>
    <row r="49" ht="25" customHeight="1" spans="1:58">
      <c r="A49" s="54">
        <v>78</v>
      </c>
      <c r="B49" s="54" t="s">
        <v>198</v>
      </c>
      <c r="C49" s="55">
        <v>0</v>
      </c>
      <c r="D49" s="55">
        <v>0</v>
      </c>
      <c r="E49" s="55"/>
      <c r="F49" s="55">
        <v>0</v>
      </c>
      <c r="G49" s="56">
        <v>1</v>
      </c>
      <c r="H49" s="57">
        <f t="shared" si="15"/>
        <v>8.36637353682585e-5</v>
      </c>
      <c r="I49" s="57">
        <f t="shared" si="16"/>
        <v>0.000333333333333333</v>
      </c>
      <c r="J49" s="58" t="e">
        <f t="shared" si="0"/>
        <v>#DIV/0!</v>
      </c>
      <c r="K49" s="58"/>
      <c r="L49" s="58" t="e">
        <f t="shared" si="1"/>
        <v>#DIV/0!</v>
      </c>
      <c r="M49" s="57" t="e">
        <f t="shared" si="2"/>
        <v>#DIV/0!</v>
      </c>
      <c r="N49" s="57" t="e">
        <f t="shared" si="3"/>
        <v>#DIV/0!</v>
      </c>
      <c r="O49" s="57" t="e">
        <f t="shared" si="4"/>
        <v>#DIV/0!</v>
      </c>
      <c r="P49" s="59">
        <v>0.0302</v>
      </c>
      <c r="Q49" s="60">
        <f t="shared" si="17"/>
        <v>0.0302</v>
      </c>
      <c r="R49" s="61">
        <v>1000</v>
      </c>
      <c r="S49" s="59">
        <v>1.1616</v>
      </c>
      <c r="T49" s="59">
        <v>9.801</v>
      </c>
      <c r="U49" s="62">
        <v>4e-6</v>
      </c>
      <c r="V49" s="63"/>
      <c r="W49" s="63">
        <f t="shared" si="18"/>
        <v>4e-6</v>
      </c>
      <c r="X49" s="64">
        <v>0.001147</v>
      </c>
      <c r="Y49" s="64">
        <v>1.85e-5</v>
      </c>
      <c r="Z49" s="65"/>
      <c r="AA49" s="66">
        <f t="shared" si="6"/>
        <v>0</v>
      </c>
      <c r="AB49" s="65">
        <f t="shared" si="19"/>
        <v>-2.03873598369011</v>
      </c>
      <c r="AC49" s="65">
        <f t="shared" si="20"/>
        <v>0</v>
      </c>
      <c r="AD49" s="65">
        <f t="shared" si="21"/>
        <v>0</v>
      </c>
      <c r="AE49" s="96" t="e">
        <f t="shared" si="7"/>
        <v>#DIV/0!</v>
      </c>
      <c r="AF49" s="96" t="e">
        <f t="shared" si="8"/>
        <v>#DIV/0!</v>
      </c>
      <c r="AG49" s="96" t="e">
        <f t="shared" si="36"/>
        <v>#DIV/0!</v>
      </c>
      <c r="AH49" s="96"/>
      <c r="AI49" s="63">
        <f t="shared" si="23"/>
        <v>0</v>
      </c>
      <c r="AJ49" s="68"/>
      <c r="AK49" s="69" t="e">
        <f t="shared" si="9"/>
        <v>#DIV/0!</v>
      </c>
      <c r="AL49" s="69"/>
      <c r="AM49" s="69">
        <f t="shared" si="10"/>
        <v>0</v>
      </c>
      <c r="AN49" s="69" t="e">
        <f t="shared" si="25"/>
        <v>#DIV/0!</v>
      </c>
      <c r="AO49" s="65">
        <f t="shared" si="26"/>
        <v>0</v>
      </c>
      <c r="AP49" s="68"/>
      <c r="AQ49" s="68"/>
      <c r="AR49" s="68">
        <f t="shared" si="28"/>
        <v>0</v>
      </c>
      <c r="AS49" s="68">
        <f t="shared" si="29"/>
        <v>0</v>
      </c>
      <c r="AT49" s="71" t="e">
        <f t="shared" si="30"/>
        <v>#DIV/0!</v>
      </c>
      <c r="AU49" s="71"/>
      <c r="AV49" s="65"/>
      <c r="AW49" s="65" t="e">
        <f t="shared" si="31"/>
        <v>#DIV/0!</v>
      </c>
      <c r="AX49" s="65" t="e">
        <f t="shared" si="11"/>
        <v>#DIV/0!</v>
      </c>
      <c r="AY49" s="65" t="e">
        <f t="shared" si="12"/>
        <v>#DIV/0!</v>
      </c>
      <c r="AZ49" s="69" t="e">
        <f t="shared" si="13"/>
        <v>#DIV/0!</v>
      </c>
      <c r="BA49" s="69">
        <f t="shared" si="14"/>
        <v>0</v>
      </c>
      <c r="BB49" s="72" t="e">
        <f t="shared" si="32"/>
        <v>#DIV/0!</v>
      </c>
      <c r="BC49" s="72" t="e">
        <f t="shared" si="35"/>
        <v>#DIV/0!</v>
      </c>
      <c r="BD49" s="72" t="e">
        <f t="shared" si="33"/>
        <v>#DIV/0!</v>
      </c>
      <c r="BE49" s="72">
        <f t="shared" si="34"/>
        <v>0</v>
      </c>
      <c r="BF49" s="21" t="s">
        <v>105</v>
      </c>
    </row>
    <row r="50" ht="25" customHeight="1" spans="1:58">
      <c r="A50" s="54">
        <v>79</v>
      </c>
      <c r="B50" s="54" t="s">
        <v>198</v>
      </c>
      <c r="C50" s="55">
        <v>2.78044712984688</v>
      </c>
      <c r="D50" s="55">
        <v>-16.8027793320279</v>
      </c>
      <c r="E50" s="55"/>
      <c r="F50" s="55">
        <v>1.67688454397818</v>
      </c>
      <c r="G50" s="56">
        <v>1</v>
      </c>
      <c r="H50" s="57">
        <f t="shared" si="15"/>
        <v>8.36637353682585e-5</v>
      </c>
      <c r="I50" s="57">
        <f t="shared" si="16"/>
        <v>0.000333333333333333</v>
      </c>
      <c r="J50" s="58">
        <f t="shared" si="0"/>
        <v>0.15730744753591</v>
      </c>
      <c r="K50" s="58"/>
      <c r="L50" s="58">
        <f t="shared" si="1"/>
        <v>106.169189854442</v>
      </c>
      <c r="M50" s="57">
        <f t="shared" si="2"/>
        <v>0.000935139968180303</v>
      </c>
      <c r="N50" s="57">
        <f t="shared" si="3"/>
        <v>6.34482681832469e-5</v>
      </c>
      <c r="O50" s="57">
        <f t="shared" si="4"/>
        <v>5.00363571226967</v>
      </c>
      <c r="P50" s="59">
        <v>0.0302</v>
      </c>
      <c r="Q50" s="60">
        <f t="shared" si="17"/>
        <v>0.0302</v>
      </c>
      <c r="R50" s="61">
        <v>1000</v>
      </c>
      <c r="S50" s="59">
        <v>1.1616</v>
      </c>
      <c r="T50" s="59">
        <v>9.801</v>
      </c>
      <c r="U50" s="62">
        <v>4e-6</v>
      </c>
      <c r="V50" s="63"/>
      <c r="W50" s="63">
        <f t="shared" si="18"/>
        <v>4e-6</v>
      </c>
      <c r="X50" s="64">
        <v>0.001147</v>
      </c>
      <c r="Y50" s="64">
        <v>1.85e-5</v>
      </c>
      <c r="Z50" s="65">
        <f t="shared" ref="Z50:Z68" si="37">AD50*(1+D50/9.801)-7.5*AA50+18*AM50</f>
        <v>-0.719506161786387</v>
      </c>
      <c r="AA50" s="66">
        <f t="shared" si="6"/>
        <v>0.00167688454397818</v>
      </c>
      <c r="AB50" s="65">
        <f t="shared" si="19"/>
        <v>391.992163194381</v>
      </c>
      <c r="AC50" s="65">
        <f t="shared" si="20"/>
        <v>858.530043063024</v>
      </c>
      <c r="AD50" s="65">
        <f t="shared" si="21"/>
        <v>3.65031010931607</v>
      </c>
      <c r="AE50" s="96">
        <f t="shared" si="7"/>
        <v>235.193728026543</v>
      </c>
      <c r="AF50" s="96">
        <f t="shared" si="8"/>
        <v>0.787524076833581</v>
      </c>
      <c r="AG50" s="96">
        <f t="shared" si="36"/>
        <v>3.13311732009979</v>
      </c>
      <c r="AH50" s="96"/>
      <c r="AI50" s="63">
        <f t="shared" si="23"/>
        <v>601.177757804731</v>
      </c>
      <c r="AJ50" s="68"/>
      <c r="AK50" s="69">
        <f t="shared" si="9"/>
        <v>25.8702552000721</v>
      </c>
      <c r="AL50" s="69"/>
      <c r="AM50" s="69">
        <f t="shared" si="10"/>
        <v>0.105601750262728</v>
      </c>
      <c r="AN50" s="69">
        <f t="shared" si="25"/>
        <v>8.22084909150488e-5</v>
      </c>
      <c r="AO50" s="65">
        <f t="shared" si="26"/>
        <v>0.0124954318793399</v>
      </c>
      <c r="AP50" s="68"/>
      <c r="AQ50" s="68"/>
      <c r="AR50" s="68">
        <f t="shared" si="28"/>
        <v>15.4568492347435</v>
      </c>
      <c r="AS50" s="68">
        <f t="shared" si="29"/>
        <v>21.8670057888449</v>
      </c>
      <c r="AT50" s="71">
        <f t="shared" si="30"/>
        <v>0.0203877057469321</v>
      </c>
      <c r="AU50" s="71"/>
      <c r="AV50" s="65"/>
      <c r="AW50" s="65">
        <f t="shared" si="31"/>
        <v>0.000420560796559629</v>
      </c>
      <c r="AX50" s="65">
        <f t="shared" si="11"/>
        <v>29.7113567920692</v>
      </c>
      <c r="AY50" s="65">
        <f t="shared" si="12"/>
        <v>0.176307974888498</v>
      </c>
      <c r="AZ50" s="69">
        <f t="shared" si="13"/>
        <v>0.0708727548327996</v>
      </c>
      <c r="BA50" s="69">
        <f t="shared" si="14"/>
        <v>7.63479502505139e-5</v>
      </c>
      <c r="BB50" s="72">
        <f t="shared" si="32"/>
        <v>14.4478431104868</v>
      </c>
      <c r="BC50" s="72">
        <f t="shared" si="35"/>
        <v>0.0475984174088808</v>
      </c>
      <c r="BD50" s="72">
        <f t="shared" si="33"/>
        <v>0.00896809592579704</v>
      </c>
      <c r="BE50" s="72">
        <f t="shared" si="34"/>
        <v>865.830663281656</v>
      </c>
      <c r="BF50" s="1"/>
    </row>
    <row r="51" ht="25" customHeight="1" spans="1:58">
      <c r="A51" s="54">
        <v>80</v>
      </c>
      <c r="B51" s="54" t="s">
        <v>198</v>
      </c>
      <c r="C51" s="55">
        <v>2.3288174291217</v>
      </c>
      <c r="D51" s="55">
        <v>-11.3347530101029</v>
      </c>
      <c r="E51" s="55"/>
      <c r="F51" s="55">
        <v>1.59186175839385</v>
      </c>
      <c r="G51" s="56">
        <v>1</v>
      </c>
      <c r="H51" s="57">
        <f t="shared" si="15"/>
        <v>8.36637353682585e-5</v>
      </c>
      <c r="I51" s="57">
        <f t="shared" si="16"/>
        <v>0.000333333333333333</v>
      </c>
      <c r="J51" s="58">
        <f t="shared" si="0"/>
        <v>0.139614725017936</v>
      </c>
      <c r="K51" s="58"/>
      <c r="L51" s="58">
        <f t="shared" si="1"/>
        <v>74.8493873089238</v>
      </c>
      <c r="M51" s="57">
        <f t="shared" si="2"/>
        <v>0.000911124475514005</v>
      </c>
      <c r="N51" s="57">
        <f t="shared" si="3"/>
        <v>8.61441982066925e-5</v>
      </c>
      <c r="O51" s="57">
        <f t="shared" si="4"/>
        <v>3.80526536866464</v>
      </c>
      <c r="P51" s="59">
        <v>0.0302</v>
      </c>
      <c r="Q51" s="60">
        <f t="shared" si="17"/>
        <v>0.0302</v>
      </c>
      <c r="R51" s="61">
        <v>1000</v>
      </c>
      <c r="S51" s="59">
        <v>1.1616</v>
      </c>
      <c r="T51" s="59">
        <v>9.801</v>
      </c>
      <c r="U51" s="62">
        <v>4e-6</v>
      </c>
      <c r="V51" s="63"/>
      <c r="W51" s="63">
        <f t="shared" si="18"/>
        <v>4e-6</v>
      </c>
      <c r="X51" s="64">
        <v>0.001147</v>
      </c>
      <c r="Y51" s="64">
        <v>1.85e-5</v>
      </c>
      <c r="Z51" s="65">
        <f t="shared" si="37"/>
        <v>1.06536228724674</v>
      </c>
      <c r="AA51" s="66">
        <f t="shared" si="6"/>
        <v>0.00159186175839385</v>
      </c>
      <c r="AB51" s="65">
        <f t="shared" si="19"/>
        <v>274.382804188634</v>
      </c>
      <c r="AC51" s="65">
        <f t="shared" si="20"/>
        <v>571.740935491015</v>
      </c>
      <c r="AD51" s="65">
        <f t="shared" si="21"/>
        <v>3.28953216300107</v>
      </c>
      <c r="AE51" s="96">
        <f t="shared" si="7"/>
        <v>173.806154541262</v>
      </c>
      <c r="AF51" s="96">
        <f t="shared" si="8"/>
        <v>0.78827494736381</v>
      </c>
      <c r="AG51" s="96">
        <f t="shared" si="36"/>
        <v>3.13013732690072</v>
      </c>
      <c r="AH51" s="96"/>
      <c r="AI51" s="63">
        <f t="shared" si="23"/>
        <v>503.52809278307</v>
      </c>
      <c r="AJ51" s="68"/>
      <c r="AK51" s="69">
        <f t="shared" si="9"/>
        <v>36.8772994756331</v>
      </c>
      <c r="AL51" s="69"/>
      <c r="AM51" s="69">
        <f t="shared" si="10"/>
        <v>0.0884487944106818</v>
      </c>
      <c r="AN51" s="69">
        <f t="shared" si="25"/>
        <v>8.43753489720272e-5</v>
      </c>
      <c r="AO51" s="65">
        <f t="shared" si="26"/>
        <v>0.0115572512058605</v>
      </c>
      <c r="AP51" s="68"/>
      <c r="AQ51" s="68"/>
      <c r="AR51" s="68">
        <f t="shared" si="28"/>
        <v>14.2963197416494</v>
      </c>
      <c r="AS51" s="68">
        <f t="shared" si="29"/>
        <v>20.2251896102559</v>
      </c>
      <c r="AT51" s="71">
        <f t="shared" si="30"/>
        <v>0.0209250865450627</v>
      </c>
      <c r="AU51" s="71"/>
      <c r="AV51" s="65"/>
      <c r="AW51" s="65">
        <f t="shared" si="31"/>
        <v>0.000540245999578481</v>
      </c>
      <c r="AX51" s="65">
        <f t="shared" si="11"/>
        <v>21.392571559767</v>
      </c>
      <c r="AY51" s="65">
        <f t="shared" si="12"/>
        <v>0.214999236713561</v>
      </c>
      <c r="AZ51" s="69">
        <f t="shared" si="13"/>
        <v>0.0537548476102638</v>
      </c>
      <c r="BA51" s="69">
        <f t="shared" si="14"/>
        <v>4.58189938635544e-5</v>
      </c>
      <c r="BB51" s="72">
        <f t="shared" si="32"/>
        <v>13.3630717067762</v>
      </c>
      <c r="BC51" s="72">
        <f t="shared" si="35"/>
        <v>0.0661076934309668</v>
      </c>
      <c r="BD51" s="72">
        <f t="shared" si="33"/>
        <v>0.0147285862376916</v>
      </c>
      <c r="BE51" s="72">
        <f t="shared" si="34"/>
        <v>578.319999817017</v>
      </c>
      <c r="BF51" s="1"/>
    </row>
    <row r="52" ht="25" customHeight="1" spans="1:58">
      <c r="A52" s="54">
        <v>82</v>
      </c>
      <c r="B52" s="54" t="s">
        <v>198</v>
      </c>
      <c r="C52" s="55">
        <v>0.469614833385657</v>
      </c>
      <c r="D52" s="55">
        <v>-5.78671093976954</v>
      </c>
      <c r="E52" s="55"/>
      <c r="F52" s="55">
        <v>1.68721357171723</v>
      </c>
      <c r="G52" s="56">
        <v>1</v>
      </c>
      <c r="H52" s="57">
        <f t="shared" si="15"/>
        <v>8.36637353682585e-5</v>
      </c>
      <c r="I52" s="57">
        <f t="shared" si="16"/>
        <v>0.000333333333333333</v>
      </c>
      <c r="J52" s="58">
        <f t="shared" si="0"/>
        <v>0.0263884450820166</v>
      </c>
      <c r="K52" s="58"/>
      <c r="L52" s="58">
        <f t="shared" si="1"/>
        <v>3.02695002208373</v>
      </c>
      <c r="M52" s="57">
        <f t="shared" si="2"/>
        <v>0.000938015615816077</v>
      </c>
      <c r="N52" s="57">
        <f t="shared" si="3"/>
        <v>0.00223700019441777</v>
      </c>
      <c r="O52" s="57">
        <f t="shared" si="4"/>
        <v>0.141385932703828</v>
      </c>
      <c r="P52" s="59">
        <v>0.0302</v>
      </c>
      <c r="Q52" s="60">
        <f t="shared" si="17"/>
        <v>0.0302</v>
      </c>
      <c r="R52" s="61">
        <v>1000</v>
      </c>
      <c r="S52" s="59">
        <v>1.1616</v>
      </c>
      <c r="T52" s="59">
        <v>9.801</v>
      </c>
      <c r="U52" s="62">
        <v>4e-6</v>
      </c>
      <c r="V52" s="63"/>
      <c r="W52" s="63">
        <f t="shared" si="18"/>
        <v>4e-6</v>
      </c>
      <c r="X52" s="64">
        <v>0.001147</v>
      </c>
      <c r="Y52" s="64">
        <v>1.85e-5</v>
      </c>
      <c r="Z52" s="65">
        <f t="shared" si="37"/>
        <v>1.82196206093291</v>
      </c>
      <c r="AA52" s="66">
        <f t="shared" si="6"/>
        <v>0.00168721357171723</v>
      </c>
      <c r="AB52" s="65">
        <f t="shared" si="19"/>
        <v>9.201737601215</v>
      </c>
      <c r="AC52" s="65">
        <f t="shared" si="20"/>
        <v>24.6420438051209</v>
      </c>
      <c r="AD52" s="65">
        <f t="shared" si="21"/>
        <v>3.69541789777316</v>
      </c>
      <c r="AE52" s="96">
        <f t="shared" si="7"/>
        <v>6.66826986468029</v>
      </c>
      <c r="AF52" s="96">
        <f t="shared" si="8"/>
        <v>0.860664061850207</v>
      </c>
      <c r="AG52" s="96">
        <f t="shared" si="36"/>
        <v>2.87301868527837</v>
      </c>
      <c r="AH52" s="96"/>
      <c r="AI52" s="63">
        <f t="shared" si="23"/>
        <v>101.538342353656</v>
      </c>
      <c r="AJ52" s="68"/>
      <c r="AK52" s="69">
        <f t="shared" si="9"/>
        <v>906.872814695254</v>
      </c>
      <c r="AL52" s="69"/>
      <c r="AM52" s="69">
        <f t="shared" si="10"/>
        <v>0.0178360335726274</v>
      </c>
      <c r="AN52" s="69">
        <f t="shared" si="25"/>
        <v>8.19564666965237e-5</v>
      </c>
      <c r="AO52" s="65">
        <f t="shared" si="26"/>
        <v>0.0126110607781765</v>
      </c>
      <c r="AP52" s="68"/>
      <c r="AQ52" s="68"/>
      <c r="AR52" s="68">
        <f t="shared" si="28"/>
        <v>15.5998821826044</v>
      </c>
      <c r="AS52" s="68">
        <f t="shared" si="29"/>
        <v>22.069356361809</v>
      </c>
      <c r="AT52" s="71">
        <f t="shared" si="30"/>
        <v>0.0203252037407379</v>
      </c>
      <c r="AU52" s="71"/>
      <c r="AV52" s="65"/>
      <c r="AW52" s="65">
        <f t="shared" si="31"/>
        <v>0.0149247908440509</v>
      </c>
      <c r="AX52" s="65">
        <f t="shared" si="11"/>
        <v>0.844974037488999</v>
      </c>
      <c r="AY52" s="65">
        <f t="shared" si="12"/>
        <v>6.29532741678094</v>
      </c>
      <c r="AZ52" s="69">
        <f t="shared" si="13"/>
        <v>0.00200324144294072</v>
      </c>
      <c r="BA52" s="69">
        <f t="shared" si="14"/>
        <v>2.21846410665397e-6</v>
      </c>
      <c r="BB52" s="72">
        <f t="shared" si="32"/>
        <v>14.5815390247666</v>
      </c>
      <c r="BC52" s="72">
        <f t="shared" si="35"/>
        <v>1.67367694109952</v>
      </c>
      <c r="BD52" s="72">
        <f t="shared" si="33"/>
        <v>0.308787869408478</v>
      </c>
      <c r="BE52" s="72">
        <f t="shared" si="34"/>
        <v>32.0328796006673</v>
      </c>
      <c r="BF52" s="1"/>
    </row>
    <row r="53" ht="25" customHeight="1" spans="1:58">
      <c r="A53" s="54">
        <v>83</v>
      </c>
      <c r="B53" s="54" t="s">
        <v>198</v>
      </c>
      <c r="C53" s="55">
        <v>0.463889762356957</v>
      </c>
      <c r="D53" s="55">
        <v>-7.64236562577639</v>
      </c>
      <c r="E53" s="55"/>
      <c r="F53" s="55">
        <v>1.61908724819553</v>
      </c>
      <c r="G53" s="56">
        <v>1</v>
      </c>
      <c r="H53" s="57">
        <f t="shared" si="15"/>
        <v>8.36637353682585e-5</v>
      </c>
      <c r="I53" s="57">
        <f t="shared" si="16"/>
        <v>0.000333333333333333</v>
      </c>
      <c r="J53" s="58">
        <f t="shared" si="0"/>
        <v>0.0272897088777787</v>
      </c>
      <c r="K53" s="58"/>
      <c r="L53" s="58">
        <f t="shared" si="1"/>
        <v>2.96508311855512</v>
      </c>
      <c r="M53" s="57">
        <f t="shared" si="2"/>
        <v>0.000918882889343247</v>
      </c>
      <c r="N53" s="57">
        <f t="shared" si="3"/>
        <v>0.00220573766919046</v>
      </c>
      <c r="O53" s="57">
        <f t="shared" si="4"/>
        <v>0.147065888730568</v>
      </c>
      <c r="P53" s="59">
        <v>0.0302</v>
      </c>
      <c r="Q53" s="60">
        <f t="shared" si="17"/>
        <v>0.0302</v>
      </c>
      <c r="R53" s="61">
        <v>1000</v>
      </c>
      <c r="S53" s="59">
        <v>1.1616</v>
      </c>
      <c r="T53" s="59">
        <v>9.801</v>
      </c>
      <c r="U53" s="62">
        <v>4e-6</v>
      </c>
      <c r="V53" s="63"/>
      <c r="W53" s="63">
        <f t="shared" si="18"/>
        <v>4e-6</v>
      </c>
      <c r="X53" s="64">
        <v>0.001147</v>
      </c>
      <c r="Y53" s="64">
        <v>1.85e-5</v>
      </c>
      <c r="Z53" s="65">
        <f t="shared" si="37"/>
        <v>1.05449328204499</v>
      </c>
      <c r="AA53" s="66">
        <f t="shared" si="6"/>
        <v>0.00161908724819553</v>
      </c>
      <c r="AB53" s="65">
        <f t="shared" si="19"/>
        <v>8.92934309987737</v>
      </c>
      <c r="AC53" s="65">
        <f t="shared" si="20"/>
        <v>23.0739996274934</v>
      </c>
      <c r="AD53" s="65">
        <f t="shared" si="21"/>
        <v>3.40301561758373</v>
      </c>
      <c r="AE53" s="96">
        <f t="shared" si="7"/>
        <v>6.78045657747433</v>
      </c>
      <c r="AF53" s="96">
        <f t="shared" si="8"/>
        <v>0.859409487641877</v>
      </c>
      <c r="AG53" s="96">
        <f t="shared" si="36"/>
        <v>2.87700849037997</v>
      </c>
      <c r="AH53" s="96"/>
      <c r="AI53" s="63">
        <f t="shared" si="23"/>
        <v>100.300489158261</v>
      </c>
      <c r="AJ53" s="68"/>
      <c r="AK53" s="69">
        <f t="shared" si="9"/>
        <v>929.39518768814</v>
      </c>
      <c r="AL53" s="69"/>
      <c r="AM53" s="69">
        <f t="shared" si="10"/>
        <v>0.0176185946166699</v>
      </c>
      <c r="AN53" s="69">
        <f t="shared" si="25"/>
        <v>8.36629416762731e-5</v>
      </c>
      <c r="AO53" s="65">
        <f t="shared" si="26"/>
        <v>0.0118550095185379</v>
      </c>
      <c r="AP53" s="68"/>
      <c r="AQ53" s="68"/>
      <c r="AR53" s="68">
        <f t="shared" si="28"/>
        <v>14.6646467744314</v>
      </c>
      <c r="AS53" s="68">
        <f t="shared" si="29"/>
        <v>20.7462666574414</v>
      </c>
      <c r="AT53" s="71">
        <f t="shared" si="30"/>
        <v>0.0207484095357157</v>
      </c>
      <c r="AU53" s="71"/>
      <c r="AV53" s="65"/>
      <c r="AW53" s="65">
        <f t="shared" si="31"/>
        <v>0.0140851888469715</v>
      </c>
      <c r="AX53" s="65">
        <f t="shared" si="11"/>
        <v>0.84166493238654</v>
      </c>
      <c r="AY53" s="65">
        <f t="shared" si="12"/>
        <v>5.70128741263938</v>
      </c>
      <c r="AZ53" s="69">
        <f t="shared" si="13"/>
        <v>0.00207935658396315</v>
      </c>
      <c r="BA53" s="69">
        <f t="shared" si="14"/>
        <v>1.91292942178419e-6</v>
      </c>
      <c r="BB53" s="72">
        <f t="shared" si="32"/>
        <v>13.7073547558095</v>
      </c>
      <c r="BC53" s="72">
        <f t="shared" si="35"/>
        <v>1.68025719969477</v>
      </c>
      <c r="BD53" s="72">
        <f t="shared" si="33"/>
        <v>0.355116967024181</v>
      </c>
      <c r="BE53" s="72">
        <f t="shared" si="34"/>
        <v>29.8800308626609</v>
      </c>
      <c r="BF53" s="1"/>
    </row>
    <row r="54" ht="25" customHeight="1" spans="1:58">
      <c r="A54" s="54">
        <v>84</v>
      </c>
      <c r="B54" s="54" t="s">
        <v>198</v>
      </c>
      <c r="C54" s="55">
        <v>0.48755023058988</v>
      </c>
      <c r="D54" s="55">
        <v>-4.20243660650433</v>
      </c>
      <c r="E54" s="55"/>
      <c r="F54" s="55">
        <v>1.69196013366231</v>
      </c>
      <c r="G54" s="56">
        <v>1</v>
      </c>
      <c r="H54" s="57">
        <f t="shared" si="15"/>
        <v>8.36637353682585e-5</v>
      </c>
      <c r="I54" s="57">
        <f t="shared" si="16"/>
        <v>0.000333333333333333</v>
      </c>
      <c r="J54" s="58">
        <f t="shared" si="0"/>
        <v>0.027310928431405</v>
      </c>
      <c r="K54" s="58"/>
      <c r="L54" s="58">
        <f t="shared" si="1"/>
        <v>3.26172631364456</v>
      </c>
      <c r="M54" s="57">
        <f t="shared" si="2"/>
        <v>0.000939334127680581</v>
      </c>
      <c r="N54" s="57">
        <f t="shared" si="3"/>
        <v>0.00208091900483445</v>
      </c>
      <c r="O54" s="57">
        <f t="shared" si="4"/>
        <v>0.15172963393365</v>
      </c>
      <c r="P54" s="59">
        <v>0.0302</v>
      </c>
      <c r="Q54" s="60">
        <f t="shared" si="17"/>
        <v>0.0302</v>
      </c>
      <c r="R54" s="61">
        <v>1000</v>
      </c>
      <c r="S54" s="59">
        <v>1.1616</v>
      </c>
      <c r="T54" s="59">
        <v>9.801</v>
      </c>
      <c r="U54" s="62">
        <v>4e-6</v>
      </c>
      <c r="V54" s="63"/>
      <c r="W54" s="63">
        <f t="shared" si="18"/>
        <v>4e-6</v>
      </c>
      <c r="X54" s="64">
        <v>0.001147</v>
      </c>
      <c r="Y54" s="64">
        <v>1.85e-5</v>
      </c>
      <c r="Z54" s="65">
        <f t="shared" si="37"/>
        <v>2.4434243156608</v>
      </c>
      <c r="AA54" s="66">
        <f t="shared" si="6"/>
        <v>0.00169196013366231</v>
      </c>
      <c r="AB54" s="65">
        <f t="shared" si="19"/>
        <v>10.0767190289625</v>
      </c>
      <c r="AC54" s="65">
        <f t="shared" si="20"/>
        <v>26.6349515388322</v>
      </c>
      <c r="AD54" s="65">
        <f t="shared" si="21"/>
        <v>3.7162394502436</v>
      </c>
      <c r="AE54" s="96">
        <f t="shared" si="7"/>
        <v>7.16717851350679</v>
      </c>
      <c r="AF54" s="96">
        <f t="shared" si="8"/>
        <v>0.855388975584997</v>
      </c>
      <c r="AG54" s="96">
        <f t="shared" si="36"/>
        <v>2.88989675587738</v>
      </c>
      <c r="AH54" s="96"/>
      <c r="AI54" s="63">
        <f t="shared" si="23"/>
        <v>105.416266073488</v>
      </c>
      <c r="AJ54" s="68"/>
      <c r="AK54" s="69">
        <f t="shared" si="9"/>
        <v>841.37821549458</v>
      </c>
      <c r="AL54" s="69"/>
      <c r="AM54" s="69">
        <f t="shared" si="10"/>
        <v>0.0185172223339931</v>
      </c>
      <c r="AN54" s="69">
        <f t="shared" si="25"/>
        <v>8.18414271482652e-5</v>
      </c>
      <c r="AO54" s="65">
        <f t="shared" si="26"/>
        <v>0.0126643153829107</v>
      </c>
      <c r="AP54" s="68"/>
      <c r="AQ54" s="68"/>
      <c r="AR54" s="68">
        <f t="shared" si="28"/>
        <v>15.6657581286605</v>
      </c>
      <c r="AS54" s="68">
        <f t="shared" si="29"/>
        <v>22.1625519200937</v>
      </c>
      <c r="AT54" s="71">
        <f t="shared" si="30"/>
        <v>0.0202966739327698</v>
      </c>
      <c r="AU54" s="71"/>
      <c r="AV54" s="65"/>
      <c r="AW54" s="65">
        <f t="shared" si="31"/>
        <v>0.0139249378389797</v>
      </c>
      <c r="AX54" s="65">
        <f t="shared" si="11"/>
        <v>0.909470155583729</v>
      </c>
      <c r="AY54" s="65">
        <f t="shared" si="12"/>
        <v>5.89010992181988</v>
      </c>
      <c r="AZ54" s="69">
        <f t="shared" si="13"/>
        <v>0.00215009830903083</v>
      </c>
      <c r="BA54" s="69">
        <f t="shared" si="14"/>
        <v>2.41139148843403e-6</v>
      </c>
      <c r="BB54" s="72">
        <f t="shared" si="32"/>
        <v>14.6431146614905</v>
      </c>
      <c r="BC54" s="72">
        <f t="shared" si="35"/>
        <v>1.55498622323171</v>
      </c>
      <c r="BD54" s="72">
        <f t="shared" si="33"/>
        <v>0.284119950001778</v>
      </c>
      <c r="BE54" s="72">
        <f t="shared" si="34"/>
        <v>34.0674304393194</v>
      </c>
      <c r="BF54" s="1"/>
    </row>
    <row r="55" ht="25" customHeight="1" spans="1:58">
      <c r="A55" s="54">
        <v>85</v>
      </c>
      <c r="B55" s="54" t="s">
        <v>198</v>
      </c>
      <c r="C55" s="55">
        <v>0.468761713975318</v>
      </c>
      <c r="D55" s="55">
        <v>-6.16957054829511</v>
      </c>
      <c r="E55" s="55"/>
      <c r="F55" s="55">
        <v>1.62796582940207</v>
      </c>
      <c r="G55" s="56">
        <v>1</v>
      </c>
      <c r="H55" s="57">
        <f t="shared" si="15"/>
        <v>8.36637353682585e-5</v>
      </c>
      <c r="I55" s="57">
        <f t="shared" si="16"/>
        <v>0.000333333333333333</v>
      </c>
      <c r="J55" s="58">
        <f t="shared" si="0"/>
        <v>0.0274088303506821</v>
      </c>
      <c r="K55" s="58"/>
      <c r="L55" s="58">
        <f t="shared" si="1"/>
        <v>3.02610955613925</v>
      </c>
      <c r="M55" s="57">
        <f t="shared" si="2"/>
        <v>0.000921398881736596</v>
      </c>
      <c r="N55" s="57">
        <f t="shared" si="3"/>
        <v>0.00217120800898551</v>
      </c>
      <c r="O55" s="57">
        <f t="shared" si="4"/>
        <v>0.148902295860907</v>
      </c>
      <c r="P55" s="59">
        <v>0.0302</v>
      </c>
      <c r="Q55" s="60">
        <f t="shared" si="17"/>
        <v>0.0302</v>
      </c>
      <c r="R55" s="61">
        <v>1000</v>
      </c>
      <c r="S55" s="59">
        <v>1.1616</v>
      </c>
      <c r="T55" s="59">
        <v>9.801</v>
      </c>
      <c r="U55" s="62">
        <v>4e-6</v>
      </c>
      <c r="V55" s="63"/>
      <c r="W55" s="63">
        <f t="shared" si="18"/>
        <v>4e-6</v>
      </c>
      <c r="X55" s="64">
        <v>0.001147</v>
      </c>
      <c r="Y55" s="64">
        <v>1.85e-5</v>
      </c>
      <c r="Z55" s="65">
        <f t="shared" si="37"/>
        <v>1.58299450474921</v>
      </c>
      <c r="AA55" s="66">
        <f t="shared" si="6"/>
        <v>0.00162796582940207</v>
      </c>
      <c r="AB55" s="65">
        <f t="shared" si="19"/>
        <v>9.16093498924964</v>
      </c>
      <c r="AC55" s="65">
        <f t="shared" si="20"/>
        <v>23.6904115142342</v>
      </c>
      <c r="AD55" s="65">
        <f t="shared" si="21"/>
        <v>3.44044015118003</v>
      </c>
      <c r="AE55" s="96">
        <f t="shared" si="7"/>
        <v>6.88586648022597</v>
      </c>
      <c r="AF55" s="96">
        <f t="shared" si="8"/>
        <v>0.858268356149072</v>
      </c>
      <c r="AG55" s="96">
        <f t="shared" si="36"/>
        <v>2.88065065523445</v>
      </c>
      <c r="AH55" s="96"/>
      <c r="AI55" s="63">
        <f t="shared" si="23"/>
        <v>101.353884102771</v>
      </c>
      <c r="AJ55" s="68"/>
      <c r="AK55" s="69">
        <f t="shared" si="9"/>
        <v>910.176731359356</v>
      </c>
      <c r="AL55" s="69"/>
      <c r="AM55" s="69">
        <f t="shared" si="10"/>
        <v>0.0178036319844268</v>
      </c>
      <c r="AN55" s="69">
        <f t="shared" si="25"/>
        <v>8.3434489776629e-5</v>
      </c>
      <c r="AO55" s="65">
        <f t="shared" si="26"/>
        <v>0.0119526569714979</v>
      </c>
      <c r="AP55" s="68"/>
      <c r="AQ55" s="68"/>
      <c r="AR55" s="68">
        <f t="shared" si="28"/>
        <v>14.7854366737429</v>
      </c>
      <c r="AS55" s="68">
        <f t="shared" si="29"/>
        <v>20.9171497001214</v>
      </c>
      <c r="AT55" s="71">
        <f t="shared" si="30"/>
        <v>0.020691753464604</v>
      </c>
      <c r="AU55" s="71"/>
      <c r="AV55" s="65"/>
      <c r="AW55" s="65">
        <f t="shared" si="31"/>
        <v>0.0139456271103632</v>
      </c>
      <c r="AX55" s="65">
        <f t="shared" si="11"/>
        <v>0.857089959232866</v>
      </c>
      <c r="AY55" s="65">
        <f t="shared" si="12"/>
        <v>5.67575110131359</v>
      </c>
      <c r="AZ55" s="69">
        <f t="shared" si="13"/>
        <v>0.00210591633743975</v>
      </c>
      <c r="BA55" s="69">
        <f t="shared" si="14"/>
        <v>1.98563187316548e-6</v>
      </c>
      <c r="BB55" s="72">
        <f t="shared" si="32"/>
        <v>13.8202596232945</v>
      </c>
      <c r="BC55" s="72">
        <f t="shared" si="35"/>
        <v>1.65001765233474</v>
      </c>
      <c r="BD55" s="72">
        <f t="shared" si="33"/>
        <v>0.342717545989509</v>
      </c>
      <c r="BE55" s="72">
        <f t="shared" si="34"/>
        <v>30.5712918165942</v>
      </c>
      <c r="BF55" s="1"/>
    </row>
    <row r="56" ht="25" customHeight="1" spans="1:58">
      <c r="A56" s="54">
        <v>86</v>
      </c>
      <c r="B56" s="54" t="s">
        <v>198</v>
      </c>
      <c r="C56" s="55">
        <v>0.3814797298776</v>
      </c>
      <c r="D56" s="55">
        <v>-11.2238360658546</v>
      </c>
      <c r="E56" s="55"/>
      <c r="F56" s="55">
        <v>1.61690596426855</v>
      </c>
      <c r="G56" s="56">
        <v>1</v>
      </c>
      <c r="H56" s="57">
        <f t="shared" si="15"/>
        <v>8.36637353682585e-5</v>
      </c>
      <c r="I56" s="57">
        <f t="shared" si="16"/>
        <v>0.000333333333333333</v>
      </c>
      <c r="J56" s="58">
        <f t="shared" si="0"/>
        <v>0.0224754285694669</v>
      </c>
      <c r="K56" s="58"/>
      <c r="L56" s="58">
        <f t="shared" si="1"/>
        <v>2.00542452696474</v>
      </c>
      <c r="M56" s="57">
        <f t="shared" si="2"/>
        <v>0.000918263707142526</v>
      </c>
      <c r="N56" s="57">
        <f t="shared" si="3"/>
        <v>0.00325756272258361</v>
      </c>
      <c r="O56" s="57">
        <f t="shared" si="4"/>
        <v>0.0996629831851029</v>
      </c>
      <c r="P56" s="59">
        <v>0.0302</v>
      </c>
      <c r="Q56" s="60">
        <f t="shared" si="17"/>
        <v>0.0302</v>
      </c>
      <c r="R56" s="61">
        <v>1000</v>
      </c>
      <c r="S56" s="59">
        <v>1.1616</v>
      </c>
      <c r="T56" s="59">
        <v>9.801</v>
      </c>
      <c r="U56" s="62">
        <v>4e-6</v>
      </c>
      <c r="V56" s="63"/>
      <c r="W56" s="63">
        <f t="shared" si="18"/>
        <v>4e-6</v>
      </c>
      <c r="X56" s="64">
        <v>0.001147</v>
      </c>
      <c r="Y56" s="64">
        <v>1.85e-5</v>
      </c>
      <c r="Z56" s="65">
        <f t="shared" si="37"/>
        <v>-0.244025271039641</v>
      </c>
      <c r="AA56" s="66">
        <f t="shared" si="6"/>
        <v>0.00161690596426855</v>
      </c>
      <c r="AB56" s="65">
        <f t="shared" si="19"/>
        <v>5.37853131026945</v>
      </c>
      <c r="AC56" s="65">
        <f t="shared" si="20"/>
        <v>15.5829884442118</v>
      </c>
      <c r="AD56" s="65">
        <f t="shared" si="21"/>
        <v>3.39385250043867</v>
      </c>
      <c r="AE56" s="96">
        <f t="shared" si="7"/>
        <v>4.59153379299708</v>
      </c>
      <c r="AF56" s="96">
        <f t="shared" si="8"/>
        <v>0.89517403391514</v>
      </c>
      <c r="AG56" s="96">
        <f t="shared" si="36"/>
        <v>2.76895751297609</v>
      </c>
      <c r="AH56" s="96"/>
      <c r="AI56" s="63">
        <f t="shared" si="23"/>
        <v>82.4821037573189</v>
      </c>
      <c r="AJ56" s="68"/>
      <c r="AK56" s="69">
        <f t="shared" si="9"/>
        <v>1374.31745607335</v>
      </c>
      <c r="AL56" s="69"/>
      <c r="AM56" s="69">
        <f t="shared" si="10"/>
        <v>0.0144886506678678</v>
      </c>
      <c r="AN56" s="69">
        <f t="shared" si="25"/>
        <v>8.37193553229663e-5</v>
      </c>
      <c r="AO56" s="65">
        <f t="shared" si="26"/>
        <v>0.0118310604414586</v>
      </c>
      <c r="AP56" s="68"/>
      <c r="AQ56" s="68"/>
      <c r="AR56" s="68">
        <f t="shared" si="28"/>
        <v>14.6350217660843</v>
      </c>
      <c r="AS56" s="68">
        <f t="shared" si="29"/>
        <v>20.7043557725526</v>
      </c>
      <c r="AT56" s="71">
        <f t="shared" si="30"/>
        <v>0.0207624001200956</v>
      </c>
      <c r="AU56" s="71"/>
      <c r="AV56" s="65"/>
      <c r="AW56" s="65">
        <f t="shared" si="31"/>
        <v>0.0207720011946476</v>
      </c>
      <c r="AX56" s="65">
        <f t="shared" si="11"/>
        <v>0.569567675766704</v>
      </c>
      <c r="AY56" s="65">
        <f t="shared" si="12"/>
        <v>8.39659315535479</v>
      </c>
      <c r="AZ56" s="69">
        <f t="shared" si="13"/>
        <v>0.00140903104658746</v>
      </c>
      <c r="BA56" s="69">
        <f t="shared" si="14"/>
        <v>1.28841518765845e-6</v>
      </c>
      <c r="BB56" s="72">
        <f t="shared" si="32"/>
        <v>13.6796636354365</v>
      </c>
      <c r="BC56" s="72">
        <f t="shared" si="35"/>
        <v>2.4829596596566</v>
      </c>
      <c r="BD56" s="72">
        <f t="shared" si="33"/>
        <v>0.527003856065431</v>
      </c>
      <c r="BE56" s="72">
        <f t="shared" si="34"/>
        <v>22.3706934450891</v>
      </c>
      <c r="BF56" s="1"/>
    </row>
    <row r="57" ht="25" customHeight="1" spans="1:58">
      <c r="A57" s="54">
        <v>87</v>
      </c>
      <c r="B57" s="54" t="s">
        <v>198</v>
      </c>
      <c r="C57" s="55">
        <v>0.372436977074136</v>
      </c>
      <c r="D57" s="55">
        <v>-10.6875417094222</v>
      </c>
      <c r="E57" s="55"/>
      <c r="F57" s="55">
        <v>1.69065542682392</v>
      </c>
      <c r="G57" s="56">
        <v>1</v>
      </c>
      <c r="H57" s="57">
        <f t="shared" si="15"/>
        <v>8.36637353682585e-5</v>
      </c>
      <c r="I57" s="57">
        <f t="shared" si="16"/>
        <v>0.000333333333333333</v>
      </c>
      <c r="J57" s="58">
        <f t="shared" si="0"/>
        <v>0.0208805487681502</v>
      </c>
      <c r="K57" s="58"/>
      <c r="L57" s="58">
        <f t="shared" si="1"/>
        <v>1.90346692118357</v>
      </c>
      <c r="M57" s="57">
        <f t="shared" si="2"/>
        <v>0.000938971887462934</v>
      </c>
      <c r="N57" s="57">
        <f t="shared" si="3"/>
        <v>0.00356347809232435</v>
      </c>
      <c r="O57" s="57">
        <f t="shared" si="4"/>
        <v>0.0886454566532677</v>
      </c>
      <c r="P57" s="59">
        <v>0.0302</v>
      </c>
      <c r="Q57" s="60">
        <f t="shared" si="17"/>
        <v>0.0302</v>
      </c>
      <c r="R57" s="61">
        <v>1000</v>
      </c>
      <c r="S57" s="59">
        <v>1.1616</v>
      </c>
      <c r="T57" s="59">
        <v>9.801</v>
      </c>
      <c r="U57" s="62">
        <v>4e-6</v>
      </c>
      <c r="V57" s="63"/>
      <c r="W57" s="63">
        <f t="shared" si="18"/>
        <v>4e-6</v>
      </c>
      <c r="X57" s="64">
        <v>0.001147</v>
      </c>
      <c r="Y57" s="64">
        <v>1.85e-5</v>
      </c>
      <c r="Z57" s="65">
        <f t="shared" si="37"/>
        <v>-0.0936974910164194</v>
      </c>
      <c r="AA57" s="66">
        <f t="shared" si="6"/>
        <v>0.00169065542682392</v>
      </c>
      <c r="AB57" s="65">
        <f t="shared" si="19"/>
        <v>5.03105514230991</v>
      </c>
      <c r="AC57" s="65">
        <f t="shared" si="20"/>
        <v>15.5304393374087</v>
      </c>
      <c r="AD57" s="65">
        <f t="shared" si="21"/>
        <v>3.71051031573697</v>
      </c>
      <c r="AE57" s="96">
        <f t="shared" si="7"/>
        <v>4.18552652219862</v>
      </c>
      <c r="AF57" s="96">
        <f t="shared" si="8"/>
        <v>0.906024169744702</v>
      </c>
      <c r="AG57" s="96">
        <f t="shared" si="36"/>
        <v>2.73839358276384</v>
      </c>
      <c r="AH57" s="96"/>
      <c r="AI57" s="63">
        <f t="shared" si="23"/>
        <v>80.5269139619754</v>
      </c>
      <c r="AJ57" s="68"/>
      <c r="AK57" s="69">
        <f t="shared" si="9"/>
        <v>1441.86436866035</v>
      </c>
      <c r="AL57" s="69"/>
      <c r="AM57" s="69">
        <f t="shared" si="10"/>
        <v>0.0141452057186766</v>
      </c>
      <c r="AN57" s="69">
        <f t="shared" si="25"/>
        <v>8.18730002515482e-5</v>
      </c>
      <c r="AO57" s="65">
        <f t="shared" si="26"/>
        <v>0.0126496696183979</v>
      </c>
      <c r="AP57" s="68"/>
      <c r="AQ57" s="68"/>
      <c r="AR57" s="68">
        <f t="shared" si="28"/>
        <v>15.6476413179582</v>
      </c>
      <c r="AS57" s="68">
        <f t="shared" si="29"/>
        <v>22.1369218321963</v>
      </c>
      <c r="AT57" s="71">
        <f t="shared" si="30"/>
        <v>0.0203045040623839</v>
      </c>
      <c r="AU57" s="71"/>
      <c r="AV57" s="65"/>
      <c r="AW57" s="65">
        <f t="shared" si="31"/>
        <v>0.0238262868212939</v>
      </c>
      <c r="AX57" s="65">
        <f t="shared" si="11"/>
        <v>0.53091233700304</v>
      </c>
      <c r="AY57" s="65">
        <f t="shared" si="12"/>
        <v>10.0705102788709</v>
      </c>
      <c r="AZ57" s="69">
        <f t="shared" si="13"/>
        <v>0.00125611009453397</v>
      </c>
      <c r="BA57" s="69">
        <f t="shared" si="14"/>
        <v>1.40387845238521e-6</v>
      </c>
      <c r="BB57" s="72">
        <f t="shared" si="32"/>
        <v>14.6261804962725</v>
      </c>
      <c r="BC57" s="72">
        <f t="shared" si="35"/>
        <v>2.66374213557783</v>
      </c>
      <c r="BD57" s="72">
        <f t="shared" si="33"/>
        <v>0.488008046898604</v>
      </c>
      <c r="BE57" s="72">
        <f t="shared" si="34"/>
        <v>22.9514599688826</v>
      </c>
      <c r="BF57" s="1"/>
    </row>
    <row r="58" ht="25" customHeight="1" spans="1:58">
      <c r="A58" s="54">
        <v>89</v>
      </c>
      <c r="B58" s="54" t="s">
        <v>198</v>
      </c>
      <c r="C58" s="55">
        <v>0.339182587956996</v>
      </c>
      <c r="D58" s="55">
        <v>-6.38178582781118</v>
      </c>
      <c r="E58" s="55"/>
      <c r="F58" s="55">
        <v>1.69910654954558</v>
      </c>
      <c r="G58" s="56">
        <v>1</v>
      </c>
      <c r="H58" s="57">
        <f t="shared" si="15"/>
        <v>8.36637353682585e-5</v>
      </c>
      <c r="I58" s="57">
        <f t="shared" si="16"/>
        <v>0.000333333333333333</v>
      </c>
      <c r="J58" s="58">
        <f t="shared" si="0"/>
        <v>0.018911171073822</v>
      </c>
      <c r="K58" s="58"/>
      <c r="L58" s="58">
        <f t="shared" si="1"/>
        <v>1.57800019440078</v>
      </c>
      <c r="M58" s="57">
        <f t="shared" si="2"/>
        <v>0.000941315793428429</v>
      </c>
      <c r="N58" s="57">
        <f t="shared" si="3"/>
        <v>0.00431662117188273</v>
      </c>
      <c r="O58" s="57">
        <f t="shared" si="4"/>
        <v>0.0729561814009971</v>
      </c>
      <c r="P58" s="59">
        <v>0.0302</v>
      </c>
      <c r="Q58" s="60">
        <f t="shared" si="17"/>
        <v>0.0302</v>
      </c>
      <c r="R58" s="61">
        <v>1000</v>
      </c>
      <c r="S58" s="59">
        <v>1.1616</v>
      </c>
      <c r="T58" s="59">
        <v>9.801</v>
      </c>
      <c r="U58" s="62">
        <v>4e-6</v>
      </c>
      <c r="V58" s="63"/>
      <c r="W58" s="63">
        <f t="shared" si="18"/>
        <v>4e-6</v>
      </c>
      <c r="X58" s="64">
        <v>0.001147</v>
      </c>
      <c r="Y58" s="64">
        <v>1.85e-5</v>
      </c>
      <c r="Z58" s="65">
        <f t="shared" si="37"/>
        <v>1.52657272207259</v>
      </c>
      <c r="AA58" s="66">
        <f t="shared" si="6"/>
        <v>0.00169910654954558</v>
      </c>
      <c r="AB58" s="65">
        <f t="shared" si="19"/>
        <v>3.8249147794702</v>
      </c>
      <c r="AC58" s="65">
        <f t="shared" si="20"/>
        <v>12.9452596490475</v>
      </c>
      <c r="AD58" s="65">
        <f t="shared" si="21"/>
        <v>3.74769867772342</v>
      </c>
      <c r="AE58" s="96">
        <f t="shared" si="7"/>
        <v>3.45418902698743</v>
      </c>
      <c r="AF58" s="96">
        <f t="shared" si="8"/>
        <v>0.932252233763551</v>
      </c>
      <c r="AG58" s="96">
        <f t="shared" si="36"/>
        <v>2.66844746110718</v>
      </c>
      <c r="AH58" s="96"/>
      <c r="AI58" s="63">
        <f t="shared" si="23"/>
        <v>73.3367757744856</v>
      </c>
      <c r="AJ58" s="68"/>
      <c r="AK58" s="69">
        <f t="shared" si="9"/>
        <v>1738.45277118048</v>
      </c>
      <c r="AL58" s="69"/>
      <c r="AM58" s="69">
        <f t="shared" si="10"/>
        <v>0.0128821996154528</v>
      </c>
      <c r="AN58" s="69">
        <f t="shared" si="25"/>
        <v>8.16691339029303e-5</v>
      </c>
      <c r="AO58" s="65">
        <f t="shared" si="26"/>
        <v>0.0127446363928565</v>
      </c>
      <c r="AP58" s="68"/>
      <c r="AQ58" s="68"/>
      <c r="AR58" s="68">
        <f t="shared" si="28"/>
        <v>15.7651152179635</v>
      </c>
      <c r="AS58" s="68">
        <f t="shared" si="29"/>
        <v>22.3031136874989</v>
      </c>
      <c r="AT58" s="71">
        <f t="shared" si="30"/>
        <v>0.0202539452079267</v>
      </c>
      <c r="AU58" s="71"/>
      <c r="AV58" s="65"/>
      <c r="AW58" s="65">
        <f t="shared" si="31"/>
        <v>0.0290152204552765</v>
      </c>
      <c r="AX58" s="65">
        <f t="shared" si="11"/>
        <v>0.43923968844217</v>
      </c>
      <c r="AY58" s="65">
        <f t="shared" si="12"/>
        <v>12.3249877780173</v>
      </c>
      <c r="AZ58" s="69">
        <f t="shared" si="13"/>
        <v>0.00103404860291932</v>
      </c>
      <c r="BA58" s="69">
        <f t="shared" si="14"/>
        <v>1.18191856548256e-6</v>
      </c>
      <c r="BB58" s="72">
        <f t="shared" si="32"/>
        <v>14.7359858292404</v>
      </c>
      <c r="BC58" s="72">
        <f t="shared" si="35"/>
        <v>3.21968528706688</v>
      </c>
      <c r="BD58" s="72">
        <f t="shared" si="33"/>
        <v>0.579718201720683</v>
      </c>
      <c r="BE58" s="72">
        <f t="shared" si="34"/>
        <v>20.4406570044944</v>
      </c>
      <c r="BF58" s="1"/>
    </row>
    <row r="59" ht="25" customHeight="1" spans="1:58">
      <c r="A59" s="54">
        <v>90</v>
      </c>
      <c r="B59" s="54" t="s">
        <v>198</v>
      </c>
      <c r="C59" s="55">
        <v>0.339096173313432</v>
      </c>
      <c r="D59" s="55">
        <v>-8.9544238663873</v>
      </c>
      <c r="E59" s="55"/>
      <c r="F59" s="55">
        <v>1.81571211357364</v>
      </c>
      <c r="G59" s="56">
        <v>1</v>
      </c>
      <c r="H59" s="57">
        <f t="shared" si="15"/>
        <v>8.36637353682585e-5</v>
      </c>
      <c r="I59" s="57">
        <f t="shared" si="16"/>
        <v>0.000333333333333333</v>
      </c>
      <c r="J59" s="58">
        <f t="shared" si="0"/>
        <v>0.0175667232744867</v>
      </c>
      <c r="K59" s="58"/>
      <c r="L59" s="58">
        <f t="shared" si="1"/>
        <v>1.56784243920109</v>
      </c>
      <c r="M59" s="57">
        <f t="shared" si="2"/>
        <v>0.000973079971778097</v>
      </c>
      <c r="N59" s="57">
        <f t="shared" si="3"/>
        <v>0.00459685380094076</v>
      </c>
      <c r="O59" s="57">
        <f t="shared" si="4"/>
        <v>0.065798143075316</v>
      </c>
      <c r="P59" s="59">
        <v>0.0302</v>
      </c>
      <c r="Q59" s="60">
        <f t="shared" si="17"/>
        <v>0.0302</v>
      </c>
      <c r="R59" s="61">
        <v>1000</v>
      </c>
      <c r="S59" s="59">
        <v>1.1616</v>
      </c>
      <c r="T59" s="59">
        <v>9.801</v>
      </c>
      <c r="U59" s="62">
        <v>4e-6</v>
      </c>
      <c r="V59" s="63"/>
      <c r="W59" s="63">
        <f t="shared" si="18"/>
        <v>4e-6</v>
      </c>
      <c r="X59" s="64">
        <v>0.001147</v>
      </c>
      <c r="Y59" s="64">
        <v>1.85e-5</v>
      </c>
      <c r="Z59" s="65">
        <f t="shared" si="37"/>
        <v>0.587871691259851</v>
      </c>
      <c r="AA59" s="66">
        <f t="shared" si="6"/>
        <v>0.00181571211357364</v>
      </c>
      <c r="AB59" s="65">
        <f t="shared" si="19"/>
        <v>3.82192735758477</v>
      </c>
      <c r="AC59" s="65">
        <f t="shared" si="20"/>
        <v>13.8266134454377</v>
      </c>
      <c r="AD59" s="65">
        <f t="shared" si="21"/>
        <v>4.27974033223633</v>
      </c>
      <c r="AE59" s="96">
        <f t="shared" si="7"/>
        <v>3.23071316764043</v>
      </c>
      <c r="AF59" s="96">
        <f t="shared" si="8"/>
        <v>0.942747091962865</v>
      </c>
      <c r="AG59" s="96">
        <f t="shared" si="36"/>
        <v>2.64194290228085</v>
      </c>
      <c r="AH59" s="96"/>
      <c r="AI59" s="63">
        <f t="shared" si="23"/>
        <v>73.3180915272285</v>
      </c>
      <c r="AJ59" s="68"/>
      <c r="AK59" s="69">
        <f t="shared" si="9"/>
        <v>1739.33893227744</v>
      </c>
      <c r="AL59" s="69"/>
      <c r="AM59" s="69">
        <f t="shared" si="10"/>
        <v>0.0128789175758446</v>
      </c>
      <c r="AN59" s="69">
        <f t="shared" si="25"/>
        <v>7.90032143380508e-5</v>
      </c>
      <c r="AO59" s="65">
        <f t="shared" si="26"/>
        <v>0.0140788445910398</v>
      </c>
      <c r="AP59" s="68"/>
      <c r="AQ59" s="68"/>
      <c r="AR59" s="68">
        <f t="shared" si="28"/>
        <v>17.4155307591162</v>
      </c>
      <c r="AS59" s="68">
        <f t="shared" si="29"/>
        <v>24.6379780343197</v>
      </c>
      <c r="AT59" s="71">
        <f t="shared" si="30"/>
        <v>0.0195927971558366</v>
      </c>
      <c r="AU59" s="71"/>
      <c r="AV59" s="65"/>
      <c r="AW59" s="65">
        <f t="shared" si="31"/>
        <v>0.0331512531730519</v>
      </c>
      <c r="AX59" s="65">
        <f t="shared" si="11"/>
        <v>0.424685139881356</v>
      </c>
      <c r="AY59" s="65">
        <f t="shared" si="12"/>
        <v>15.0482829916142</v>
      </c>
      <c r="AZ59" s="69">
        <f t="shared" si="13"/>
        <v>0.000935578138641156</v>
      </c>
      <c r="BA59" s="69">
        <f t="shared" si="14"/>
        <v>1.44160196044748e-6</v>
      </c>
      <c r="BB59" s="72">
        <f t="shared" si="32"/>
        <v>16.2786640583898</v>
      </c>
      <c r="BC59" s="72">
        <f t="shared" si="35"/>
        <v>3.33002836588109</v>
      </c>
      <c r="BD59" s="72">
        <f t="shared" si="33"/>
        <v>0.465805987919078</v>
      </c>
      <c r="BE59" s="72">
        <f t="shared" si="34"/>
        <v>22.3860941099104</v>
      </c>
      <c r="BF59" s="1"/>
    </row>
    <row r="60" ht="25" customHeight="1" spans="1:58">
      <c r="A60" s="54">
        <v>91</v>
      </c>
      <c r="B60" s="54" t="s">
        <v>198</v>
      </c>
      <c r="C60" s="55">
        <v>0.336909014688701</v>
      </c>
      <c r="D60" s="55">
        <v>-6.4174533896552</v>
      </c>
      <c r="E60" s="55"/>
      <c r="F60" s="55">
        <v>1.80352347097735</v>
      </c>
      <c r="G60" s="56">
        <v>1</v>
      </c>
      <c r="H60" s="57">
        <f t="shared" si="15"/>
        <v>8.36637353682585e-5</v>
      </c>
      <c r="I60" s="57">
        <f t="shared" si="16"/>
        <v>0.000333333333333333</v>
      </c>
      <c r="J60" s="58">
        <f t="shared" si="0"/>
        <v>0.0175837706639657</v>
      </c>
      <c r="K60" s="58"/>
      <c r="L60" s="58">
        <f t="shared" si="1"/>
        <v>1.54859433861797</v>
      </c>
      <c r="M60" s="57">
        <f t="shared" si="2"/>
        <v>0.000969808391570275</v>
      </c>
      <c r="N60" s="57">
        <f t="shared" si="3"/>
        <v>0.00462729391323063</v>
      </c>
      <c r="O60" s="57">
        <f t="shared" si="4"/>
        <v>0.0656323492192215</v>
      </c>
      <c r="P60" s="59">
        <v>0.0302</v>
      </c>
      <c r="Q60" s="60">
        <f t="shared" si="17"/>
        <v>0.0302</v>
      </c>
      <c r="R60" s="61">
        <v>1000</v>
      </c>
      <c r="S60" s="59">
        <v>1.1616</v>
      </c>
      <c r="T60" s="59">
        <v>9.801</v>
      </c>
      <c r="U60" s="62">
        <v>4e-6</v>
      </c>
      <c r="V60" s="63"/>
      <c r="W60" s="63">
        <f t="shared" si="18"/>
        <v>4e-6</v>
      </c>
      <c r="X60" s="64">
        <v>0.001147</v>
      </c>
      <c r="Y60" s="64">
        <v>1.85e-5</v>
      </c>
      <c r="Z60" s="65">
        <f t="shared" si="37"/>
        <v>1.67450105540664</v>
      </c>
      <c r="AA60" s="66">
        <f t="shared" si="6"/>
        <v>0.00180352347097735</v>
      </c>
      <c r="AB60" s="65">
        <f t="shared" si="19"/>
        <v>3.74656902031148</v>
      </c>
      <c r="AC60" s="65">
        <f t="shared" si="20"/>
        <v>13.5572034802801</v>
      </c>
      <c r="AD60" s="65">
        <f t="shared" si="21"/>
        <v>4.22247449251643</v>
      </c>
      <c r="AE60" s="96">
        <f t="shared" si="7"/>
        <v>3.2107247786358</v>
      </c>
      <c r="AF60" s="96">
        <f t="shared" si="8"/>
        <v>0.943760675789228</v>
      </c>
      <c r="AG60" s="96">
        <f t="shared" si="36"/>
        <v>2.63942628589978</v>
      </c>
      <c r="AH60" s="96"/>
      <c r="AI60" s="63">
        <f t="shared" si="23"/>
        <v>72.8451923651245</v>
      </c>
      <c r="AJ60" s="68"/>
      <c r="AK60" s="69">
        <f t="shared" si="9"/>
        <v>1761.99524681927</v>
      </c>
      <c r="AL60" s="69"/>
      <c r="AM60" s="69">
        <f t="shared" si="10"/>
        <v>0.0127958490015874</v>
      </c>
      <c r="AN60" s="69">
        <f t="shared" si="25"/>
        <v>7.92697261094784e-5</v>
      </c>
      <c r="AO60" s="65">
        <f t="shared" si="26"/>
        <v>0.0139373185514527</v>
      </c>
      <c r="AP60" s="68"/>
      <c r="AQ60" s="68"/>
      <c r="AR60" s="68">
        <f t="shared" si="28"/>
        <v>17.2404630481469</v>
      </c>
      <c r="AS60" s="68">
        <f t="shared" si="29"/>
        <v>24.3903074650422</v>
      </c>
      <c r="AT60" s="71">
        <f t="shared" si="30"/>
        <v>0.0196588920751506</v>
      </c>
      <c r="AU60" s="71"/>
      <c r="AV60" s="65"/>
      <c r="AW60" s="65">
        <f t="shared" si="31"/>
        <v>0.033133710989083</v>
      </c>
      <c r="AX60" s="65">
        <f t="shared" si="11"/>
        <v>0.420638622581237</v>
      </c>
      <c r="AY60" s="65">
        <f t="shared" si="12"/>
        <v>14.9393563623478</v>
      </c>
      <c r="AZ60" s="69">
        <f t="shared" si="13"/>
        <v>0.000932926306422367</v>
      </c>
      <c r="BA60" s="69">
        <f t="shared" si="14"/>
        <v>1.39459875295982e-6</v>
      </c>
      <c r="BB60" s="72">
        <f t="shared" si="32"/>
        <v>16.1150245751171</v>
      </c>
      <c r="BC60" s="72">
        <f t="shared" si="35"/>
        <v>3.36206303095711</v>
      </c>
      <c r="BD60" s="72">
        <f t="shared" si="33"/>
        <v>0.483510557653127</v>
      </c>
      <c r="BE60" s="72">
        <f t="shared" si="34"/>
        <v>22.002152465313</v>
      </c>
      <c r="BF60" s="1"/>
    </row>
    <row r="61" ht="25" customHeight="1" spans="1:58">
      <c r="A61" s="54">
        <v>92</v>
      </c>
      <c r="B61" s="54" t="s">
        <v>198</v>
      </c>
      <c r="C61" s="55">
        <v>0.379752500278888</v>
      </c>
      <c r="D61" s="55">
        <v>-9.46306093155446</v>
      </c>
      <c r="E61" s="55"/>
      <c r="F61" s="55">
        <v>1.78396183621097</v>
      </c>
      <c r="G61" s="56">
        <v>1</v>
      </c>
      <c r="H61" s="57">
        <f t="shared" si="15"/>
        <v>8.36637353682585e-5</v>
      </c>
      <c r="I61" s="57">
        <f t="shared" si="16"/>
        <v>0.000333333333333333</v>
      </c>
      <c r="J61" s="58">
        <f t="shared" si="0"/>
        <v>0.0200602199444144</v>
      </c>
      <c r="K61" s="58"/>
      <c r="L61" s="58">
        <f t="shared" si="1"/>
        <v>1.96938591153279</v>
      </c>
      <c r="M61" s="57">
        <f t="shared" si="2"/>
        <v>0.00096453461489526</v>
      </c>
      <c r="N61" s="57">
        <f t="shared" si="3"/>
        <v>0.00360490626838039</v>
      </c>
      <c r="O61" s="57">
        <f t="shared" si="4"/>
        <v>0.084805103924524</v>
      </c>
      <c r="P61" s="59">
        <v>0.0302</v>
      </c>
      <c r="Q61" s="60">
        <f t="shared" si="17"/>
        <v>0.0302</v>
      </c>
      <c r="R61" s="61">
        <v>1000</v>
      </c>
      <c r="S61" s="59">
        <v>1.1616</v>
      </c>
      <c r="T61" s="59">
        <v>9.801</v>
      </c>
      <c r="U61" s="62">
        <v>4e-6</v>
      </c>
      <c r="V61" s="63"/>
      <c r="W61" s="63">
        <f t="shared" si="18"/>
        <v>4e-6</v>
      </c>
      <c r="X61" s="64">
        <v>0.001147</v>
      </c>
      <c r="Y61" s="64">
        <v>1.85e-5</v>
      </c>
      <c r="Z61" s="65">
        <f t="shared" si="37"/>
        <v>0.388685228994284</v>
      </c>
      <c r="AA61" s="66">
        <f t="shared" si="6"/>
        <v>0.00178396183621097</v>
      </c>
      <c r="AB61" s="65">
        <f t="shared" si="19"/>
        <v>5.31151689439688</v>
      </c>
      <c r="AC61" s="65">
        <f t="shared" si="20"/>
        <v>17.0376579857058</v>
      </c>
      <c r="AD61" s="65">
        <f t="shared" si="21"/>
        <v>4.13137442169454</v>
      </c>
      <c r="AE61" s="96">
        <f t="shared" si="7"/>
        <v>4.12396850216195</v>
      </c>
      <c r="AF61" s="96">
        <f t="shared" si="8"/>
        <v>0.907861340817659</v>
      </c>
      <c r="AG61" s="96">
        <f t="shared" si="36"/>
        <v>2.73331523008192</v>
      </c>
      <c r="AH61" s="96"/>
      <c r="AI61" s="63">
        <f t="shared" si="23"/>
        <v>82.1086487089488</v>
      </c>
      <c r="AJ61" s="68"/>
      <c r="AK61" s="69">
        <f t="shared" si="9"/>
        <v>1386.84751225914</v>
      </c>
      <c r="AL61" s="69"/>
      <c r="AM61" s="69">
        <f t="shared" si="10"/>
        <v>0.0144230502589366</v>
      </c>
      <c r="AN61" s="69">
        <f t="shared" si="25"/>
        <v>7.97031484316377e-5</v>
      </c>
      <c r="AO61" s="65">
        <f t="shared" si="26"/>
        <v>0.0137111811157184</v>
      </c>
      <c r="AP61" s="68"/>
      <c r="AQ61" s="68"/>
      <c r="AR61" s="68">
        <f t="shared" si="28"/>
        <v>16.9607310401436</v>
      </c>
      <c r="AS61" s="68">
        <f t="shared" si="29"/>
        <v>23.9945669525072</v>
      </c>
      <c r="AT61" s="71">
        <f t="shared" si="30"/>
        <v>0.0197663808110462</v>
      </c>
      <c r="AU61" s="71"/>
      <c r="AV61" s="65"/>
      <c r="AW61" s="65">
        <f t="shared" si="31"/>
        <v>0.0255165280293842</v>
      </c>
      <c r="AX61" s="65">
        <f t="shared" si="11"/>
        <v>0.537345092558396</v>
      </c>
      <c r="AY61" s="65">
        <f t="shared" si="12"/>
        <v>11.3801280492572</v>
      </c>
      <c r="AZ61" s="69">
        <f t="shared" si="13"/>
        <v>0.0012048353987206</v>
      </c>
      <c r="BA61" s="69">
        <f t="shared" si="14"/>
        <v>1.7148122436834e-6</v>
      </c>
      <c r="BB61" s="72">
        <f t="shared" si="32"/>
        <v>15.8535531650494</v>
      </c>
      <c r="BC61" s="72">
        <f t="shared" si="35"/>
        <v>2.63185349965656</v>
      </c>
      <c r="BD61" s="72">
        <f t="shared" si="33"/>
        <v>0.395432938157539</v>
      </c>
      <c r="BE61" s="72">
        <f t="shared" si="34"/>
        <v>25.3004068290949</v>
      </c>
      <c r="BF61" s="1"/>
    </row>
    <row r="62" ht="25" customHeight="1" spans="1:58">
      <c r="A62" s="54">
        <v>93</v>
      </c>
      <c r="B62" s="54" t="s">
        <v>198</v>
      </c>
      <c r="C62" s="55">
        <v>0.324991746975445</v>
      </c>
      <c r="D62" s="55">
        <v>-11.6709998729613</v>
      </c>
      <c r="E62" s="55"/>
      <c r="F62" s="55">
        <v>1.75951889087487</v>
      </c>
      <c r="G62" s="56">
        <v>1</v>
      </c>
      <c r="H62" s="57">
        <f t="shared" si="15"/>
        <v>8.36637353682585e-5</v>
      </c>
      <c r="I62" s="57">
        <f t="shared" si="16"/>
        <v>0.000333333333333333</v>
      </c>
      <c r="J62" s="58">
        <f t="shared" si="0"/>
        <v>0.0174315897252393</v>
      </c>
      <c r="K62" s="58"/>
      <c r="L62" s="58">
        <f t="shared" si="1"/>
        <v>1.44413337559505</v>
      </c>
      <c r="M62" s="57">
        <f t="shared" si="2"/>
        <v>0.000957904040950453</v>
      </c>
      <c r="N62" s="57">
        <f t="shared" si="3"/>
        <v>0.00485865408393286</v>
      </c>
      <c r="O62" s="57">
        <f t="shared" si="4"/>
        <v>0.0634510679779534</v>
      </c>
      <c r="P62" s="59">
        <v>0.0302</v>
      </c>
      <c r="Q62" s="60">
        <f t="shared" si="17"/>
        <v>0.0302</v>
      </c>
      <c r="R62" s="61">
        <v>1000</v>
      </c>
      <c r="S62" s="59">
        <v>1.1616</v>
      </c>
      <c r="T62" s="59">
        <v>9.801</v>
      </c>
      <c r="U62" s="62">
        <v>4e-6</v>
      </c>
      <c r="V62" s="63"/>
      <c r="W62" s="63">
        <f t="shared" si="18"/>
        <v>4e-6</v>
      </c>
      <c r="X62" s="64">
        <v>0.001147</v>
      </c>
      <c r="Y62" s="64">
        <v>1.85e-5</v>
      </c>
      <c r="Z62" s="65">
        <f t="shared" si="37"/>
        <v>-0.557818945962677</v>
      </c>
      <c r="AA62" s="66">
        <f t="shared" si="6"/>
        <v>0.00175951889087487</v>
      </c>
      <c r="AB62" s="65">
        <f t="shared" si="19"/>
        <v>3.34452780846848</v>
      </c>
      <c r="AC62" s="65">
        <f t="shared" si="20"/>
        <v>12.3072678204838</v>
      </c>
      <c r="AD62" s="65">
        <f t="shared" si="21"/>
        <v>4.01893799135279</v>
      </c>
      <c r="AE62" s="96">
        <f t="shared" si="7"/>
        <v>3.0623184152043</v>
      </c>
      <c r="AF62" s="96">
        <f t="shared" si="8"/>
        <v>0.951723731805077</v>
      </c>
      <c r="AG62" s="96">
        <f t="shared" si="36"/>
        <v>2.61991424249706</v>
      </c>
      <c r="AH62" s="96"/>
      <c r="AI62" s="63">
        <f t="shared" si="23"/>
        <v>70.2684858325287</v>
      </c>
      <c r="AJ62" s="68"/>
      <c r="AK62" s="69">
        <f t="shared" si="9"/>
        <v>1893.58729425427</v>
      </c>
      <c r="AL62" s="69"/>
      <c r="AM62" s="69">
        <f t="shared" si="10"/>
        <v>0.0123432295953919</v>
      </c>
      <c r="AN62" s="69">
        <f t="shared" si="25"/>
        <v>8.02548504776856e-5</v>
      </c>
      <c r="AO62" s="65">
        <f t="shared" si="26"/>
        <v>0.0134303530538366</v>
      </c>
      <c r="AP62" s="68"/>
      <c r="AQ62" s="68"/>
      <c r="AR62" s="68">
        <f t="shared" si="28"/>
        <v>16.6133467275958</v>
      </c>
      <c r="AS62" s="68">
        <f t="shared" si="29"/>
        <v>23.503117844214</v>
      </c>
      <c r="AT62" s="71">
        <f t="shared" si="30"/>
        <v>0.019903202918466</v>
      </c>
      <c r="AU62" s="71"/>
      <c r="AV62" s="65"/>
      <c r="AW62" s="65">
        <f t="shared" si="31"/>
        <v>0.0338918244991592</v>
      </c>
      <c r="AX62" s="65">
        <f t="shared" si="11"/>
        <v>0.396271173131141</v>
      </c>
      <c r="AY62" s="65">
        <f t="shared" si="12"/>
        <v>14.9083263631216</v>
      </c>
      <c r="AZ62" s="69">
        <f t="shared" si="13"/>
        <v>0.000900862560069717</v>
      </c>
      <c r="BA62" s="69">
        <f t="shared" si="14"/>
        <v>1.20499454338249e-6</v>
      </c>
      <c r="BB62" s="72">
        <f t="shared" si="32"/>
        <v>15.5288457184985</v>
      </c>
      <c r="BC62" s="72">
        <f t="shared" si="35"/>
        <v>3.56880252277417</v>
      </c>
      <c r="BD62" s="72">
        <f t="shared" si="33"/>
        <v>0.565692086890876</v>
      </c>
      <c r="BE62" s="72">
        <f t="shared" si="34"/>
        <v>20.3451438031894</v>
      </c>
      <c r="BF62" s="1"/>
    </row>
    <row r="63" ht="25" customHeight="1" spans="1:58">
      <c r="A63" s="54">
        <v>94</v>
      </c>
      <c r="B63" s="54" t="s">
        <v>198</v>
      </c>
      <c r="C63" s="55">
        <v>0.377916620226099</v>
      </c>
      <c r="D63" s="55">
        <v>-11.0419516669672</v>
      </c>
      <c r="E63" s="55"/>
      <c r="F63" s="55">
        <v>1.76230597140938</v>
      </c>
      <c r="G63" s="56">
        <v>1</v>
      </c>
      <c r="H63" s="57">
        <f t="shared" si="15"/>
        <v>8.36637353682585e-5</v>
      </c>
      <c r="I63" s="57">
        <f t="shared" si="16"/>
        <v>0.000333333333333333</v>
      </c>
      <c r="J63" s="58">
        <f t="shared" si="0"/>
        <v>0.0202348380129996</v>
      </c>
      <c r="K63" s="58"/>
      <c r="L63" s="58">
        <f t="shared" si="1"/>
        <v>1.95250951185067</v>
      </c>
      <c r="M63" s="57">
        <f t="shared" si="2"/>
        <v>0.000958662401469498</v>
      </c>
      <c r="N63" s="57">
        <f t="shared" si="3"/>
        <v>0.00359844494047299</v>
      </c>
      <c r="O63" s="57">
        <f t="shared" si="4"/>
        <v>0.0855898332545519</v>
      </c>
      <c r="P63" s="59">
        <v>0.0302</v>
      </c>
      <c r="Q63" s="60">
        <f t="shared" si="17"/>
        <v>0.0302</v>
      </c>
      <c r="R63" s="61">
        <v>1000</v>
      </c>
      <c r="S63" s="59">
        <v>1.1616</v>
      </c>
      <c r="T63" s="59">
        <v>9.801</v>
      </c>
      <c r="U63" s="62">
        <v>4e-6</v>
      </c>
      <c r="V63" s="63"/>
      <c r="W63" s="63">
        <f t="shared" si="18"/>
        <v>4e-6</v>
      </c>
      <c r="X63" s="64">
        <v>0.001147</v>
      </c>
      <c r="Y63" s="64">
        <v>1.85e-5</v>
      </c>
      <c r="Z63" s="65">
        <f t="shared" si="37"/>
        <v>-0.265327847868097</v>
      </c>
      <c r="AA63" s="66">
        <f t="shared" si="6"/>
        <v>0.00176230597140938</v>
      </c>
      <c r="AB63" s="65">
        <f t="shared" si="19"/>
        <v>5.24062037936379</v>
      </c>
      <c r="AC63" s="65">
        <f t="shared" si="20"/>
        <v>16.6684934782528</v>
      </c>
      <c r="AD63" s="65">
        <f t="shared" si="21"/>
        <v>4.03168008259807</v>
      </c>
      <c r="AE63" s="96">
        <f t="shared" si="7"/>
        <v>4.13437900249054</v>
      </c>
      <c r="AF63" s="96">
        <f t="shared" si="8"/>
        <v>0.907546681464735</v>
      </c>
      <c r="AG63" s="96">
        <f t="shared" si="36"/>
        <v>2.7341830558143</v>
      </c>
      <c r="AH63" s="96"/>
      <c r="AI63" s="63">
        <f t="shared" si="23"/>
        <v>81.7117016705079</v>
      </c>
      <c r="AJ63" s="68"/>
      <c r="AK63" s="69">
        <f t="shared" si="9"/>
        <v>1400.35456571246</v>
      </c>
      <c r="AL63" s="69"/>
      <c r="AM63" s="69">
        <f t="shared" si="10"/>
        <v>0.0143533232913687</v>
      </c>
      <c r="AN63" s="69">
        <f t="shared" si="25"/>
        <v>8.01913639886245e-5</v>
      </c>
      <c r="AO63" s="65">
        <f t="shared" si="26"/>
        <v>0.0134622762358462</v>
      </c>
      <c r="AP63" s="68"/>
      <c r="AQ63" s="68"/>
      <c r="AR63" s="68">
        <f t="shared" si="28"/>
        <v>16.6528357037418</v>
      </c>
      <c r="AS63" s="68">
        <f t="shared" si="29"/>
        <v>23.5589834127309</v>
      </c>
      <c r="AT63" s="71">
        <f t="shared" si="30"/>
        <v>0.0198874582691789</v>
      </c>
      <c r="AU63" s="71"/>
      <c r="AV63" s="65"/>
      <c r="AW63" s="65">
        <f t="shared" si="31"/>
        <v>0.0251433063762154</v>
      </c>
      <c r="AX63" s="65">
        <f t="shared" si="11"/>
        <v>0.535421874689521</v>
      </c>
      <c r="AY63" s="65">
        <f t="shared" si="12"/>
        <v>11.077549741945</v>
      </c>
      <c r="AZ63" s="69">
        <f t="shared" si="13"/>
        <v>0.00121527562948975</v>
      </c>
      <c r="BA63" s="69">
        <f t="shared" si="14"/>
        <v>1.63717285773084e-6</v>
      </c>
      <c r="BB63" s="72">
        <f t="shared" si="32"/>
        <v>15.5657568976972</v>
      </c>
      <c r="BC63" s="72">
        <f t="shared" si="35"/>
        <v>2.64130703138187</v>
      </c>
      <c r="BD63" s="72">
        <f t="shared" si="33"/>
        <v>0.416152776125451</v>
      </c>
      <c r="BE63" s="72">
        <f t="shared" si="34"/>
        <v>24.7318536434489</v>
      </c>
      <c r="BF63" s="1"/>
    </row>
    <row r="64" ht="25" customHeight="1" spans="1:58">
      <c r="A64" s="54">
        <v>95</v>
      </c>
      <c r="B64" s="54" t="s">
        <v>198</v>
      </c>
      <c r="C64" s="55">
        <v>0.353817721778643</v>
      </c>
      <c r="D64" s="55">
        <v>-11.7113081736646</v>
      </c>
      <c r="E64" s="55"/>
      <c r="F64" s="55">
        <v>1.67515660800102</v>
      </c>
      <c r="G64" s="56">
        <v>1</v>
      </c>
      <c r="H64" s="57">
        <f t="shared" si="15"/>
        <v>8.36637353682585e-5</v>
      </c>
      <c r="I64" s="57">
        <f t="shared" si="16"/>
        <v>0.000333333333333333</v>
      </c>
      <c r="J64" s="58">
        <f t="shared" si="0"/>
        <v>0.0200406481804914</v>
      </c>
      <c r="K64" s="58"/>
      <c r="L64" s="58">
        <f t="shared" si="1"/>
        <v>1.71937288062572</v>
      </c>
      <c r="M64" s="57">
        <f t="shared" si="2"/>
        <v>0.000934658039212974</v>
      </c>
      <c r="N64" s="57">
        <f t="shared" si="3"/>
        <v>0.00391444464530732</v>
      </c>
      <c r="O64" s="57">
        <f t="shared" si="4"/>
        <v>0.0811539502756845</v>
      </c>
      <c r="P64" s="59">
        <v>0.0302</v>
      </c>
      <c r="Q64" s="60">
        <f t="shared" si="17"/>
        <v>0.0302</v>
      </c>
      <c r="R64" s="61">
        <v>1000</v>
      </c>
      <c r="S64" s="59">
        <v>1.1616</v>
      </c>
      <c r="T64" s="59">
        <v>9.801</v>
      </c>
      <c r="U64" s="62">
        <v>4e-6</v>
      </c>
      <c r="V64" s="63"/>
      <c r="W64" s="63">
        <f t="shared" si="18"/>
        <v>4e-6</v>
      </c>
      <c r="X64" s="64">
        <v>0.001147</v>
      </c>
      <c r="Y64" s="64">
        <v>1.85e-5</v>
      </c>
      <c r="Z64" s="65">
        <f t="shared" si="37"/>
        <v>-0.480693537288934</v>
      </c>
      <c r="AA64" s="66">
        <f t="shared" si="6"/>
        <v>0.00167515660800102</v>
      </c>
      <c r="AB64" s="65">
        <f t="shared" si="19"/>
        <v>4.34184404916561</v>
      </c>
      <c r="AC64" s="65">
        <f t="shared" si="20"/>
        <v>13.8879335889062</v>
      </c>
      <c r="AD64" s="65">
        <f t="shared" si="21"/>
        <v>3.64279110340268</v>
      </c>
      <c r="AE64" s="96">
        <f t="shared" si="7"/>
        <v>3.81244304015503</v>
      </c>
      <c r="AF64" s="96">
        <f t="shared" si="8"/>
        <v>0.918100089124003</v>
      </c>
      <c r="AG64" s="96">
        <f t="shared" si="36"/>
        <v>2.70551406216378</v>
      </c>
      <c r="AH64" s="96"/>
      <c r="AI64" s="63">
        <f t="shared" si="23"/>
        <v>76.5011290332201</v>
      </c>
      <c r="AJ64" s="68"/>
      <c r="AK64" s="69">
        <f t="shared" si="9"/>
        <v>1597.61022759058</v>
      </c>
      <c r="AL64" s="69"/>
      <c r="AM64" s="69">
        <f t="shared" si="10"/>
        <v>0.0134380439364273</v>
      </c>
      <c r="AN64" s="69">
        <f t="shared" si="25"/>
        <v>8.22508793089535e-5</v>
      </c>
      <c r="AO64" s="65">
        <f t="shared" si="26"/>
        <v>0.0124761230873985</v>
      </c>
      <c r="AP64" s="68"/>
      <c r="AQ64" s="68"/>
      <c r="AR64" s="68">
        <f t="shared" si="28"/>
        <v>15.4329642591119</v>
      </c>
      <c r="AS64" s="68">
        <f t="shared" si="29"/>
        <v>21.8332154029473</v>
      </c>
      <c r="AT64" s="71">
        <f t="shared" si="30"/>
        <v>0.0203982180686205</v>
      </c>
      <c r="AU64" s="71"/>
      <c r="AV64" s="65"/>
      <c r="AW64" s="65">
        <f t="shared" si="31"/>
        <v>0.0259181149634881</v>
      </c>
      <c r="AX64" s="65">
        <f t="shared" si="11"/>
        <v>0.481366916728863</v>
      </c>
      <c r="AY64" s="65">
        <f t="shared" si="12"/>
        <v>10.8542253870043</v>
      </c>
      <c r="AZ64" s="69">
        <f t="shared" si="13"/>
        <v>0.00114942546727803</v>
      </c>
      <c r="BA64" s="69">
        <f t="shared" si="14"/>
        <v>1.23249175224603e-6</v>
      </c>
      <c r="BB64" s="72">
        <f t="shared" si="32"/>
        <v>14.4255173198045</v>
      </c>
      <c r="BC64" s="72">
        <f t="shared" si="35"/>
        <v>2.93791183653294</v>
      </c>
      <c r="BD64" s="72">
        <f t="shared" si="33"/>
        <v>0.555476287657148</v>
      </c>
      <c r="BE64" s="72">
        <f t="shared" si="34"/>
        <v>21.1735157957116</v>
      </c>
      <c r="BF64" s="1"/>
    </row>
    <row r="65" ht="25" customHeight="1" spans="1:58">
      <c r="A65" s="54">
        <v>96</v>
      </c>
      <c r="B65" s="54" t="s">
        <v>198</v>
      </c>
      <c r="C65" s="55">
        <v>0.41452253985044</v>
      </c>
      <c r="D65" s="55">
        <v>-8.91555235160097</v>
      </c>
      <c r="E65" s="55"/>
      <c r="F65" s="55">
        <v>1.63470937535416</v>
      </c>
      <c r="G65" s="56">
        <v>1</v>
      </c>
      <c r="H65" s="57">
        <f t="shared" si="15"/>
        <v>8.36637353682585e-5</v>
      </c>
      <c r="I65" s="57">
        <f t="shared" si="16"/>
        <v>0.000333333333333333</v>
      </c>
      <c r="J65" s="58">
        <f t="shared" si="0"/>
        <v>0.0241261141972935</v>
      </c>
      <c r="K65" s="58"/>
      <c r="L65" s="58">
        <f t="shared" si="1"/>
        <v>2.36540669708819</v>
      </c>
      <c r="M65" s="57">
        <f t="shared" si="2"/>
        <v>0.000923305271390737</v>
      </c>
      <c r="N65" s="57">
        <f t="shared" si="3"/>
        <v>0.00278733823297887</v>
      </c>
      <c r="O65" s="57">
        <f t="shared" si="4"/>
        <v>0.115693291231569</v>
      </c>
      <c r="P65" s="59">
        <v>0.0302</v>
      </c>
      <c r="Q65" s="60">
        <f t="shared" si="17"/>
        <v>0.0302</v>
      </c>
      <c r="R65" s="61">
        <v>1000</v>
      </c>
      <c r="S65" s="59">
        <v>1.1616</v>
      </c>
      <c r="T65" s="59">
        <v>9.801</v>
      </c>
      <c r="U65" s="62">
        <v>4e-6</v>
      </c>
      <c r="V65" s="63"/>
      <c r="W65" s="63">
        <f t="shared" si="18"/>
        <v>4e-6</v>
      </c>
      <c r="X65" s="64">
        <v>0.001147</v>
      </c>
      <c r="Y65" s="64">
        <v>1.85e-5</v>
      </c>
      <c r="Z65" s="65">
        <f t="shared" si="37"/>
        <v>0.584523451274732</v>
      </c>
      <c r="AA65" s="66">
        <f t="shared" si="6"/>
        <v>0.00163470937535416</v>
      </c>
      <c r="AB65" s="65">
        <f t="shared" si="19"/>
        <v>6.71910989011517</v>
      </c>
      <c r="AC65" s="65">
        <f t="shared" si="20"/>
        <v>18.6020114376394</v>
      </c>
      <c r="AD65" s="65">
        <f t="shared" si="21"/>
        <v>3.46900195299014</v>
      </c>
      <c r="AE65" s="96">
        <f t="shared" si="7"/>
        <v>5.36235254108323</v>
      </c>
      <c r="AF65" s="96">
        <f t="shared" si="8"/>
        <v>0.879189904160605</v>
      </c>
      <c r="AG65" s="96">
        <f t="shared" si="36"/>
        <v>2.81582154032867</v>
      </c>
      <c r="AH65" s="96"/>
      <c r="AI65" s="63">
        <f t="shared" si="23"/>
        <v>89.6264951027978</v>
      </c>
      <c r="AJ65" s="68"/>
      <c r="AK65" s="69">
        <f t="shared" si="9"/>
        <v>1163.9483116436</v>
      </c>
      <c r="AL65" s="69"/>
      <c r="AM65" s="69">
        <f t="shared" si="10"/>
        <v>0.0157436209671674</v>
      </c>
      <c r="AN65" s="69">
        <f t="shared" si="25"/>
        <v>8.32622188570997e-5</v>
      </c>
      <c r="AO65" s="65">
        <f t="shared" si="26"/>
        <v>0.0120270013191322</v>
      </c>
      <c r="AP65" s="68"/>
      <c r="AQ65" s="68"/>
      <c r="AR65" s="68">
        <f t="shared" si="28"/>
        <v>14.8774006317665</v>
      </c>
      <c r="AS65" s="68">
        <f t="shared" si="29"/>
        <v>21.0472523084813</v>
      </c>
      <c r="AT65" s="71">
        <f t="shared" si="30"/>
        <v>0.0206490302765607</v>
      </c>
      <c r="AU65" s="71"/>
      <c r="AV65" s="65"/>
      <c r="AW65" s="65">
        <f t="shared" si="31"/>
        <v>0.017981940303092</v>
      </c>
      <c r="AX65" s="65">
        <f t="shared" si="11"/>
        <v>0.668837795944863</v>
      </c>
      <c r="AY65" s="65">
        <f t="shared" si="12"/>
        <v>7.34881160013084</v>
      </c>
      <c r="AZ65" s="69">
        <f t="shared" si="13"/>
        <v>0.00163659132572102</v>
      </c>
      <c r="BA65" s="69">
        <f t="shared" si="14"/>
        <v>1.57208699405544e-6</v>
      </c>
      <c r="BB65" s="72">
        <f t="shared" si="32"/>
        <v>13.9062202752466</v>
      </c>
      <c r="BC65" s="72">
        <f t="shared" si="35"/>
        <v>2.11443427830696</v>
      </c>
      <c r="BD65" s="72">
        <f t="shared" si="33"/>
        <v>0.433393782228681</v>
      </c>
      <c r="BE65" s="72">
        <f t="shared" si="34"/>
        <v>25.5400153436197</v>
      </c>
      <c r="BF65" s="1"/>
    </row>
    <row r="66" ht="25" customHeight="1" spans="1:58">
      <c r="A66" s="54">
        <v>97</v>
      </c>
      <c r="B66" s="54" t="s">
        <v>198</v>
      </c>
      <c r="C66" s="55">
        <v>0.382301336465686</v>
      </c>
      <c r="D66" s="55">
        <v>-7.88542558861553</v>
      </c>
      <c r="E66" s="55"/>
      <c r="F66" s="55">
        <v>1.67274845943137</v>
      </c>
      <c r="G66" s="56">
        <v>1</v>
      </c>
      <c r="H66" s="57">
        <f t="shared" si="15"/>
        <v>8.36637353682585e-5</v>
      </c>
      <c r="I66" s="57">
        <f t="shared" si="16"/>
        <v>0.000333333333333333</v>
      </c>
      <c r="J66" s="58">
        <f t="shared" si="0"/>
        <v>0.0216886400191679</v>
      </c>
      <c r="K66" s="58"/>
      <c r="L66" s="58">
        <f t="shared" si="1"/>
        <v>2.00761656644737</v>
      </c>
      <c r="M66" s="57">
        <f t="shared" si="2"/>
        <v>0.00093398598117723</v>
      </c>
      <c r="N66" s="57">
        <f t="shared" si="3"/>
        <v>0.00334835918340713</v>
      </c>
      <c r="O66" s="57">
        <f t="shared" si="4"/>
        <v>0.0949578123209838</v>
      </c>
      <c r="P66" s="59">
        <v>0.0302</v>
      </c>
      <c r="Q66" s="60">
        <f t="shared" si="17"/>
        <v>0.0302</v>
      </c>
      <c r="R66" s="61">
        <v>1000</v>
      </c>
      <c r="S66" s="59">
        <v>1.1616</v>
      </c>
      <c r="T66" s="59">
        <v>9.801</v>
      </c>
      <c r="U66" s="62">
        <v>4e-6</v>
      </c>
      <c r="V66" s="63"/>
      <c r="W66" s="63">
        <f t="shared" si="18"/>
        <v>4e-6</v>
      </c>
      <c r="X66" s="64">
        <v>0.001147</v>
      </c>
      <c r="Y66" s="64">
        <v>1.85e-5</v>
      </c>
      <c r="Z66" s="65">
        <f t="shared" si="37"/>
        <v>0.958738226125766</v>
      </c>
      <c r="AA66" s="66">
        <f t="shared" si="6"/>
        <v>0.00167274845943137</v>
      </c>
      <c r="AB66" s="65">
        <f t="shared" si="19"/>
        <v>5.41051538549692</v>
      </c>
      <c r="AC66" s="65">
        <f t="shared" si="20"/>
        <v>16.1906887423071</v>
      </c>
      <c r="AD66" s="65">
        <f t="shared" si="21"/>
        <v>3.63232512463612</v>
      </c>
      <c r="AE66" s="96">
        <f t="shared" si="7"/>
        <v>4.45738973983752</v>
      </c>
      <c r="AF66" s="96">
        <f t="shared" si="8"/>
        <v>0.898534383156857</v>
      </c>
      <c r="AG66" s="96">
        <f t="shared" si="36"/>
        <v>2.75938610289609</v>
      </c>
      <c r="AH66" s="96"/>
      <c r="AI66" s="63">
        <f t="shared" si="23"/>
        <v>82.6597484250132</v>
      </c>
      <c r="AJ66" s="68"/>
      <c r="AK66" s="69">
        <f t="shared" si="9"/>
        <v>1368.41669226193</v>
      </c>
      <c r="AL66" s="69"/>
      <c r="AM66" s="69">
        <f t="shared" si="10"/>
        <v>0.0145198553949054</v>
      </c>
      <c r="AN66" s="69">
        <f t="shared" si="25"/>
        <v>8.23100636709253e-5</v>
      </c>
      <c r="AO66" s="65">
        <f t="shared" si="26"/>
        <v>0.0124492298785362</v>
      </c>
      <c r="AP66" s="68"/>
      <c r="AQ66" s="68"/>
      <c r="AR66" s="68">
        <f t="shared" si="28"/>
        <v>15.3996973597493</v>
      </c>
      <c r="AS66" s="68">
        <f t="shared" si="29"/>
        <v>21.7861522874384</v>
      </c>
      <c r="AT66" s="71">
        <f t="shared" si="30"/>
        <v>0.0204128957903895</v>
      </c>
      <c r="AU66" s="71"/>
      <c r="AV66" s="65"/>
      <c r="AW66" s="65">
        <f t="shared" si="31"/>
        <v>0.0221361143907648</v>
      </c>
      <c r="AX66" s="65">
        <f t="shared" si="11"/>
        <v>0.562394540377423</v>
      </c>
      <c r="AY66" s="65">
        <f t="shared" si="12"/>
        <v>9.25703781123711</v>
      </c>
      <c r="AZ66" s="69">
        <f t="shared" si="13"/>
        <v>0.00134483947590925</v>
      </c>
      <c r="BA66" s="69">
        <f t="shared" si="14"/>
        <v>1.43272276587878e-6</v>
      </c>
      <c r="BB66" s="72">
        <f t="shared" si="32"/>
        <v>14.3944220470575</v>
      </c>
      <c r="BC66" s="72">
        <f t="shared" si="35"/>
        <v>2.5146288963332</v>
      </c>
      <c r="BD66" s="72">
        <f t="shared" si="33"/>
        <v>0.477765330051394</v>
      </c>
      <c r="BE66" s="72">
        <f t="shared" si="34"/>
        <v>23.4553389915794</v>
      </c>
      <c r="BF66" s="1"/>
    </row>
    <row r="67" ht="25" customHeight="1" spans="1:58">
      <c r="A67" s="54">
        <v>98</v>
      </c>
      <c r="B67" s="54" t="s">
        <v>198</v>
      </c>
      <c r="C67" s="55">
        <v>0.423915434338662</v>
      </c>
      <c r="D67" s="55">
        <v>-10.6875704456549</v>
      </c>
      <c r="E67" s="55"/>
      <c r="F67" s="55">
        <v>1.67841223506656</v>
      </c>
      <c r="G67" s="56">
        <v>1</v>
      </c>
      <c r="H67" s="57">
        <f t="shared" si="15"/>
        <v>8.36637353682585e-5</v>
      </c>
      <c r="I67" s="57">
        <f t="shared" si="16"/>
        <v>0.000333333333333333</v>
      </c>
      <c r="J67" s="58">
        <f>C67*SQRT((H67/AA67)^2+(I67/AO67)^2)</f>
        <v>0.0239593179539114</v>
      </c>
      <c r="K67" s="58"/>
      <c r="L67" s="58">
        <f>AC67*SQRT((H67/AA67)^2+(2*J67/C67)^2)</f>
        <v>2.46769162120653</v>
      </c>
      <c r="M67" s="57">
        <f>AO67*1.5*H67/AA67</f>
        <v>0.000935565841199931</v>
      </c>
      <c r="N67" s="57">
        <f>AW67*SQRT((2*H67/AA67)^2+(2*J67/C67)^2)</f>
        <v>0.00273187832267135</v>
      </c>
      <c r="O67" s="57">
        <f>AX67*SQRT((M67/AO67)^2+(N67/AW67)^2)</f>
        <v>0.116145345031226</v>
      </c>
      <c r="P67" s="59">
        <v>0.0302</v>
      </c>
      <c r="Q67" s="60">
        <f t="shared" si="17"/>
        <v>0.0302</v>
      </c>
      <c r="R67" s="61">
        <v>1000</v>
      </c>
      <c r="S67" s="59">
        <v>1.1616</v>
      </c>
      <c r="T67" s="59">
        <v>9.801</v>
      </c>
      <c r="U67" s="62">
        <v>4e-6</v>
      </c>
      <c r="V67" s="63"/>
      <c r="W67" s="63">
        <f t="shared" si="18"/>
        <v>4e-6</v>
      </c>
      <c r="X67" s="64">
        <v>0.001147</v>
      </c>
      <c r="Y67" s="64">
        <v>1.85e-5</v>
      </c>
      <c r="Z67" s="65">
        <f t="shared" si="37"/>
        <v>-0.0535800640223468</v>
      </c>
      <c r="AA67" s="66">
        <f>F67/1000</f>
        <v>0.00167841223506656</v>
      </c>
      <c r="AB67" s="65">
        <f t="shared" si="19"/>
        <v>7.12050435629646</v>
      </c>
      <c r="AC67" s="65">
        <f t="shared" si="20"/>
        <v>19.9746945835606</v>
      </c>
      <c r="AD67" s="65">
        <f t="shared" si="21"/>
        <v>3.65696421850038</v>
      </c>
      <c r="AE67" s="96">
        <f t="shared" ref="AE67:AE130" si="38">AC67/AD67</f>
        <v>5.46209735455155</v>
      </c>
      <c r="AF67" s="96">
        <f t="shared" ref="AF67:AF130" si="39">ATAN((1+1/AE67)/SQRT(1-1/(AE67^2)))</f>
        <v>0.877457338459529</v>
      </c>
      <c r="AG67" s="96">
        <f t="shared" si="36"/>
        <v>2.82103699358614</v>
      </c>
      <c r="AH67" s="96"/>
      <c r="AI67" s="63">
        <f t="shared" si="23"/>
        <v>91.6573912083594</v>
      </c>
      <c r="AJ67" s="68"/>
      <c r="AK67" s="69">
        <f>G67*1*10^5/(0.5*R67*C67^2)</f>
        <v>1112.9394513154</v>
      </c>
      <c r="AL67" s="69"/>
      <c r="AM67" s="69">
        <f>X67*C67/P67</f>
        <v>0.016100364343922</v>
      </c>
      <c r="AN67" s="69">
        <f t="shared" si="25"/>
        <v>8.21710693069446e-5</v>
      </c>
      <c r="AO67" s="65">
        <f t="shared" si="26"/>
        <v>0.012512511326192</v>
      </c>
      <c r="AP67" s="68"/>
      <c r="AQ67" s="68"/>
      <c r="AR67" s="68">
        <f t="shared" si="28"/>
        <v>15.4779765104996</v>
      </c>
      <c r="AS67" s="68">
        <f t="shared" si="29"/>
        <v>21.8968948208361</v>
      </c>
      <c r="AT67" s="71">
        <f t="shared" si="30"/>
        <v>0.0203784251881223</v>
      </c>
      <c r="AU67" s="71"/>
      <c r="AV67" s="65"/>
      <c r="AW67" s="65">
        <f t="shared" si="31"/>
        <v>0.0181255235975757</v>
      </c>
      <c r="AX67" s="65">
        <f>AO67/AW67</f>
        <v>0.69032551025812</v>
      </c>
      <c r="AY67" s="65">
        <f>Y67*(AA67)^3/(R67*(C67)^2*(U67)^3)</f>
        <v>7.60552514328968</v>
      </c>
      <c r="AZ67" s="69">
        <f>AO67/AY67</f>
        <v>0.00164518703054079</v>
      </c>
      <c r="BA67" s="69">
        <f>0.5*R67*(4/3)*PI()*AA67^3*C67^2</f>
        <v>1.77956142036042e-6</v>
      </c>
      <c r="BB67" s="72">
        <f t="shared" si="32"/>
        <v>14.4675912209096</v>
      </c>
      <c r="BC67" s="72">
        <f t="shared" si="35"/>
        <v>2.04861842907168</v>
      </c>
      <c r="BD67" s="72">
        <f t="shared" si="33"/>
        <v>0.384790442269139</v>
      </c>
      <c r="BE67" s="72">
        <f t="shared" si="34"/>
        <v>27.2886230205613</v>
      </c>
      <c r="BF67" s="1"/>
    </row>
    <row r="68" ht="25" customHeight="1" spans="1:58">
      <c r="A68" s="54">
        <v>99</v>
      </c>
      <c r="B68" s="54" t="s">
        <v>198</v>
      </c>
      <c r="C68" s="55">
        <v>0.578431130716549</v>
      </c>
      <c r="D68" s="55">
        <v>-11.9820300840749</v>
      </c>
      <c r="E68" s="55"/>
      <c r="F68" s="55">
        <v>1.67143125703386</v>
      </c>
      <c r="G68" s="56">
        <v>1</v>
      </c>
      <c r="H68" s="57">
        <f>0.001/11.95261</f>
        <v>8.36637353682585e-5</v>
      </c>
      <c r="I68" s="57">
        <f>1/3000</f>
        <v>0.000333333333333333</v>
      </c>
      <c r="J68" s="58">
        <f>C68*SQRT((H68/AA68)^2+(I68/AO68)^2)</f>
        <v>0.032844177986979</v>
      </c>
      <c r="K68" s="58"/>
      <c r="L68" s="58">
        <f>AC68*SQRT((H68/AA68)^2+(2*J68/C68)^2)</f>
        <v>4.59625768852164</v>
      </c>
      <c r="M68" s="57">
        <f>AO68*1.5*H68/AA68</f>
        <v>0.000933618176068428</v>
      </c>
      <c r="N68" s="57">
        <f>AW68*SQRT((2*H68/AA68)^2+(2*J68/C68)^2)</f>
        <v>0.00146157021196902</v>
      </c>
      <c r="O68" s="57">
        <f>AX68*SQRT((M68/AO68)^2+(N68/AW68)^2)</f>
        <v>0.217647045539803</v>
      </c>
      <c r="P68" s="59">
        <v>0.0302</v>
      </c>
      <c r="Q68" s="60">
        <f t="shared" ref="Q68:Q131" si="40">0.0252+0.005*G68</f>
        <v>0.0302</v>
      </c>
      <c r="R68" s="61">
        <v>1000</v>
      </c>
      <c r="S68" s="59">
        <v>1.1616</v>
      </c>
      <c r="T68" s="59">
        <v>9.801</v>
      </c>
      <c r="U68" s="62">
        <v>4e-6</v>
      </c>
      <c r="V68" s="63"/>
      <c r="W68" s="63">
        <f t="shared" ref="W68:W131" si="41">0.000002+0.000002*G68</f>
        <v>4e-6</v>
      </c>
      <c r="X68" s="64">
        <v>0.001147</v>
      </c>
      <c r="Y68" s="64">
        <v>1.85e-5</v>
      </c>
      <c r="Z68" s="65">
        <f t="shared" si="37"/>
        <v>-0.424129533241428</v>
      </c>
      <c r="AA68" s="66">
        <f>F68/1000</f>
        <v>0.00167143125703386</v>
      </c>
      <c r="AB68" s="65">
        <f t="shared" ref="AB68:AB131" si="42">(C68^2-0.2^2)/(2*9.81)*1000</f>
        <v>15.0144022926618</v>
      </c>
      <c r="AC68" s="65">
        <f t="shared" ref="AC68:AC131" si="43">R68*2*AA68*C68^2/P68</f>
        <v>37.0352165921172</v>
      </c>
      <c r="AD68" s="65">
        <f t="shared" ref="AD68:AD131" si="44">R68*T68*(AA68*2)^2/P68</f>
        <v>3.62660684277443</v>
      </c>
      <c r="AE68" s="96">
        <f t="shared" si="38"/>
        <v>10.2120847937805</v>
      </c>
      <c r="AF68" s="96">
        <f t="shared" si="39"/>
        <v>0.834438350329262</v>
      </c>
      <c r="AG68" s="96">
        <f t="shared" ref="AG68:AG99" si="45">2*AE68*(PI()-2*AF68)/SQRT(AE68^2-1)</f>
        <v>2.95965608784303</v>
      </c>
      <c r="AH68" s="96"/>
      <c r="AI68" s="63">
        <f t="shared" ref="AI68:AI131" si="46">R68*C68*U68/Y68</f>
        <v>125.0661904252</v>
      </c>
      <c r="AJ68" s="68"/>
      <c r="AK68" s="69">
        <f>G68*1*10^5/(0.5*R68*C68^2)</f>
        <v>597.759764405735</v>
      </c>
      <c r="AL68" s="69"/>
      <c r="AM68" s="69">
        <f>X68*C68/P68</f>
        <v>0.0219688909580093</v>
      </c>
      <c r="AN68" s="69">
        <f t="shared" ref="AN68:AN131" si="47">Y68/SQRT(R68*P68*AA68)</f>
        <v>8.23424902696141e-5</v>
      </c>
      <c r="AO68" s="65">
        <f>SQRT(R68*(AA68^3)/P68)</f>
        <v>0.0124345280923053</v>
      </c>
      <c r="AP68" s="68"/>
      <c r="AQ68" s="68"/>
      <c r="AR68" s="68">
        <f t="shared" ref="AR68:AR131" si="48">1.237*AO68*1000</f>
        <v>15.3815112501817</v>
      </c>
      <c r="AS68" s="68">
        <f t="shared" ref="AS68:AS131" si="49">1.75*1000*AO68</f>
        <v>21.7604241615343</v>
      </c>
      <c r="AT68" s="71">
        <f t="shared" ref="AT68:AT131" si="50">X68/Y68*4*AN68</f>
        <v>0.0204209375868643</v>
      </c>
      <c r="AU68" s="71"/>
      <c r="AV68" s="65"/>
      <c r="AW68" s="65">
        <f>Y68*(AA68)^2/(R68*(C68*U68)^2)</f>
        <v>0.00965440399522984</v>
      </c>
      <c r="AX68" s="65">
        <f>AO68/AW68</f>
        <v>1.2879643423301</v>
      </c>
      <c r="AY68" s="65">
        <f>Y68*(AA68)^3/(R68*(C68)^2*(U68)^3)</f>
        <v>4.03416815141493</v>
      </c>
      <c r="AZ68" s="69">
        <f>AO68/AY68</f>
        <v>0.00308230287523937</v>
      </c>
      <c r="BA68" s="69">
        <f>0.5*R68*(4/3)*PI()*AA68^3*C68^2</f>
        <v>3.27210693933072e-6</v>
      </c>
      <c r="BB68" s="72">
        <f t="shared" ref="BB68:BB131" si="51">AN68*(AA68)^2/(U68)^2</f>
        <v>14.377423106728</v>
      </c>
      <c r="BC68" s="72">
        <f t="shared" ref="BC68:BC131" si="52">((AA68*2)^2)*(AN68)/(SQRT(2)*AC68*((U68)^2))</f>
        <v>1.09802229447951</v>
      </c>
      <c r="BD68" s="72">
        <f t="shared" ref="BD68:BD131" si="53">(15-2*AD68)/(AC68)</f>
        <v>0.209173511789317</v>
      </c>
      <c r="BE68" s="72">
        <f t="shared" ref="BE68:BE131" si="54">AC68+2*AD68</f>
        <v>44.2884302776661</v>
      </c>
      <c r="BF68" s="97"/>
    </row>
    <row r="69" ht="25" hidden="1" customHeight="1" spans="1:58">
      <c r="A69" s="54">
        <v>103</v>
      </c>
      <c r="B69" s="54" t="s">
        <v>198</v>
      </c>
      <c r="C69" s="55"/>
      <c r="D69" s="55"/>
      <c r="E69" s="55"/>
      <c r="F69" s="55"/>
      <c r="G69" s="56">
        <v>1</v>
      </c>
      <c r="H69" s="57">
        <f t="shared" ref="H64:H73" si="55">0.001/11.95261</f>
        <v>8.36637353682585e-5</v>
      </c>
      <c r="I69" s="57">
        <f t="shared" ref="I64:I73" si="56">1/3000</f>
        <v>0.000333333333333333</v>
      </c>
      <c r="J69" s="58" t="e">
        <f t="shared" ref="J68:J132" si="57">C69*SQRT((H69/AA69)^2+(I69/AO69)^2)</f>
        <v>#DIV/0!</v>
      </c>
      <c r="K69" s="58"/>
      <c r="L69" s="58" t="e">
        <f t="shared" ref="L68:L132" si="58">AC69*SQRT((H69/AA69)^2+(2*J69/C69)^2)</f>
        <v>#DIV/0!</v>
      </c>
      <c r="M69" s="57" t="e">
        <f t="shared" ref="M68:M132" si="59">AO69*1.5*H69/AA69</f>
        <v>#DIV/0!</v>
      </c>
      <c r="N69" s="57" t="e">
        <f t="shared" ref="N68:N132" si="60">AW69*SQRT((2*H69/AA69)^2+(2*J69/C69)^2)</f>
        <v>#DIV/0!</v>
      </c>
      <c r="O69" s="57" t="e">
        <f t="shared" ref="O68:O132" si="61">AX69*SQRT((M69/AO69)^2+(N69/AW69)^2)</f>
        <v>#DIV/0!</v>
      </c>
      <c r="P69" s="59">
        <v>0.0302</v>
      </c>
      <c r="Q69" s="60">
        <f t="shared" si="40"/>
        <v>0.0302</v>
      </c>
      <c r="R69" s="61">
        <v>1000</v>
      </c>
      <c r="S69" s="59">
        <v>1.1616</v>
      </c>
      <c r="T69" s="59">
        <v>9.801</v>
      </c>
      <c r="U69" s="62">
        <v>4e-6</v>
      </c>
      <c r="V69" s="63"/>
      <c r="W69" s="63">
        <f t="shared" si="41"/>
        <v>4e-6</v>
      </c>
      <c r="X69" s="64">
        <v>0.001147</v>
      </c>
      <c r="Y69" s="64">
        <v>1.85e-5</v>
      </c>
      <c r="Z69" s="65"/>
      <c r="AA69" s="66"/>
      <c r="AB69" s="65">
        <f t="shared" si="42"/>
        <v>-2.03873598369011</v>
      </c>
      <c r="AC69" s="65">
        <f t="shared" si="43"/>
        <v>0</v>
      </c>
      <c r="AD69" s="65">
        <f t="shared" si="44"/>
        <v>0</v>
      </c>
      <c r="AE69" s="96" t="e">
        <f t="shared" si="38"/>
        <v>#DIV/0!</v>
      </c>
      <c r="AF69" s="96" t="e">
        <f t="shared" si="39"/>
        <v>#DIV/0!</v>
      </c>
      <c r="AG69" s="96" t="e">
        <f t="shared" si="45"/>
        <v>#DIV/0!</v>
      </c>
      <c r="AH69" s="96"/>
      <c r="AI69" s="63">
        <f t="shared" si="46"/>
        <v>0</v>
      </c>
      <c r="AJ69" s="68"/>
      <c r="AK69" s="69" t="e">
        <f t="shared" ref="AK67:AK132" si="62">G69*1*10^5/(0.5*R69*C69^2)</f>
        <v>#DIV/0!</v>
      </c>
      <c r="AL69" s="69"/>
      <c r="AM69" s="69"/>
      <c r="AN69" s="69" t="e">
        <f t="shared" si="47"/>
        <v>#DIV/0!</v>
      </c>
      <c r="AO69" s="65">
        <f t="shared" ref="AO68:AO132" si="63">SQRT(R69*(AA69^3)/P69)</f>
        <v>0</v>
      </c>
      <c r="AP69" s="68"/>
      <c r="AQ69" s="68"/>
      <c r="AR69" s="68">
        <f t="shared" si="48"/>
        <v>0</v>
      </c>
      <c r="AS69" s="68">
        <f t="shared" si="49"/>
        <v>0</v>
      </c>
      <c r="AT69" s="71" t="e">
        <f t="shared" si="50"/>
        <v>#DIV/0!</v>
      </c>
      <c r="AU69" s="71"/>
      <c r="AV69" s="65"/>
      <c r="AW69" s="65" t="e">
        <f t="shared" ref="AW68:AW132" si="64">Y69*(AA69)^2/(R69*(C69*U69)^2)</f>
        <v>#DIV/0!</v>
      </c>
      <c r="AX69" s="65"/>
      <c r="AY69" s="65" t="e">
        <f t="shared" ref="AY68:AY132" si="65">Y69*(AA69)^3/(R69*(C69)^2*(U69)^3)</f>
        <v>#DIV/0!</v>
      </c>
      <c r="AZ69" s="69"/>
      <c r="BA69" s="69"/>
      <c r="BB69" s="72" t="e">
        <f t="shared" si="51"/>
        <v>#DIV/0!</v>
      </c>
      <c r="BC69" s="72" t="e">
        <f t="shared" si="52"/>
        <v>#DIV/0!</v>
      </c>
      <c r="BD69" s="72" t="e">
        <f t="shared" si="53"/>
        <v>#DIV/0!</v>
      </c>
      <c r="BE69" s="72">
        <f t="shared" si="54"/>
        <v>0</v>
      </c>
      <c r="BF69" s="97"/>
    </row>
    <row r="70" ht="25" hidden="1" customHeight="1" spans="1:58">
      <c r="A70" s="54">
        <v>106</v>
      </c>
      <c r="B70" s="54" t="s">
        <v>198</v>
      </c>
      <c r="C70" s="55"/>
      <c r="D70" s="55"/>
      <c r="E70" s="55"/>
      <c r="F70" s="55"/>
      <c r="G70" s="56">
        <v>1</v>
      </c>
      <c r="H70" s="57">
        <f t="shared" si="55"/>
        <v>8.36637353682585e-5</v>
      </c>
      <c r="I70" s="57">
        <f t="shared" si="56"/>
        <v>0.000333333333333333</v>
      </c>
      <c r="J70" s="58" t="e">
        <f t="shared" si="57"/>
        <v>#DIV/0!</v>
      </c>
      <c r="K70" s="58"/>
      <c r="L70" s="58" t="e">
        <f t="shared" si="58"/>
        <v>#DIV/0!</v>
      </c>
      <c r="M70" s="57" t="e">
        <f t="shared" si="59"/>
        <v>#DIV/0!</v>
      </c>
      <c r="N70" s="57" t="e">
        <f t="shared" si="60"/>
        <v>#DIV/0!</v>
      </c>
      <c r="O70" s="57" t="e">
        <f t="shared" si="61"/>
        <v>#DIV/0!</v>
      </c>
      <c r="P70" s="59">
        <v>0.0302</v>
      </c>
      <c r="Q70" s="60">
        <f t="shared" si="40"/>
        <v>0.0302</v>
      </c>
      <c r="R70" s="61">
        <v>1000</v>
      </c>
      <c r="S70" s="59">
        <v>1.1616</v>
      </c>
      <c r="T70" s="59">
        <v>9.801</v>
      </c>
      <c r="U70" s="62">
        <v>4e-6</v>
      </c>
      <c r="V70" s="63"/>
      <c r="W70" s="63">
        <f t="shared" si="41"/>
        <v>4e-6</v>
      </c>
      <c r="X70" s="64">
        <v>0.001147</v>
      </c>
      <c r="Y70" s="64">
        <v>1.85e-5</v>
      </c>
      <c r="Z70" s="65"/>
      <c r="AA70" s="66"/>
      <c r="AB70" s="65">
        <f t="shared" si="42"/>
        <v>-2.03873598369011</v>
      </c>
      <c r="AC70" s="65">
        <f t="shared" si="43"/>
        <v>0</v>
      </c>
      <c r="AD70" s="65">
        <f t="shared" si="44"/>
        <v>0</v>
      </c>
      <c r="AE70" s="96" t="e">
        <f t="shared" si="38"/>
        <v>#DIV/0!</v>
      </c>
      <c r="AF70" s="96" t="e">
        <f t="shared" si="39"/>
        <v>#DIV/0!</v>
      </c>
      <c r="AG70" s="96" t="e">
        <f t="shared" si="45"/>
        <v>#DIV/0!</v>
      </c>
      <c r="AH70" s="96"/>
      <c r="AI70" s="63">
        <f t="shared" si="46"/>
        <v>0</v>
      </c>
      <c r="AJ70" s="68"/>
      <c r="AK70" s="69" t="e">
        <f t="shared" si="62"/>
        <v>#DIV/0!</v>
      </c>
      <c r="AL70" s="69"/>
      <c r="AM70" s="69"/>
      <c r="AN70" s="69" t="e">
        <f t="shared" si="47"/>
        <v>#DIV/0!</v>
      </c>
      <c r="AO70" s="65">
        <f t="shared" si="63"/>
        <v>0</v>
      </c>
      <c r="AP70" s="68"/>
      <c r="AQ70" s="68"/>
      <c r="AR70" s="68">
        <f t="shared" si="48"/>
        <v>0</v>
      </c>
      <c r="AS70" s="68">
        <f t="shared" si="49"/>
        <v>0</v>
      </c>
      <c r="AT70" s="71" t="e">
        <f t="shared" si="50"/>
        <v>#DIV/0!</v>
      </c>
      <c r="AU70" s="71"/>
      <c r="AV70" s="65"/>
      <c r="AW70" s="65" t="e">
        <f t="shared" si="64"/>
        <v>#DIV/0!</v>
      </c>
      <c r="AX70" s="65"/>
      <c r="AY70" s="65" t="e">
        <f t="shared" si="65"/>
        <v>#DIV/0!</v>
      </c>
      <c r="AZ70" s="69"/>
      <c r="BA70" s="69"/>
      <c r="BB70" s="72" t="e">
        <f t="shared" si="51"/>
        <v>#DIV/0!</v>
      </c>
      <c r="BC70" s="72" t="e">
        <f t="shared" si="52"/>
        <v>#DIV/0!</v>
      </c>
      <c r="BD70" s="72" t="e">
        <f t="shared" si="53"/>
        <v>#DIV/0!</v>
      </c>
      <c r="BE70" s="72">
        <f t="shared" si="54"/>
        <v>0</v>
      </c>
      <c r="BF70" s="97"/>
    </row>
    <row r="71" ht="25" hidden="1" customHeight="1" spans="1:58">
      <c r="A71" s="54">
        <v>107</v>
      </c>
      <c r="B71" s="54" t="s">
        <v>198</v>
      </c>
      <c r="C71" s="55"/>
      <c r="D71" s="55"/>
      <c r="E71" s="55"/>
      <c r="F71" s="55"/>
      <c r="G71" s="56">
        <v>1</v>
      </c>
      <c r="H71" s="57">
        <f t="shared" si="55"/>
        <v>8.36637353682585e-5</v>
      </c>
      <c r="I71" s="57">
        <f t="shared" si="56"/>
        <v>0.000333333333333333</v>
      </c>
      <c r="J71" s="58" t="e">
        <f t="shared" si="57"/>
        <v>#DIV/0!</v>
      </c>
      <c r="K71" s="58"/>
      <c r="L71" s="58" t="e">
        <f t="shared" si="58"/>
        <v>#DIV/0!</v>
      </c>
      <c r="M71" s="57" t="e">
        <f t="shared" si="59"/>
        <v>#DIV/0!</v>
      </c>
      <c r="N71" s="57" t="e">
        <f t="shared" si="60"/>
        <v>#DIV/0!</v>
      </c>
      <c r="O71" s="57" t="e">
        <f t="shared" si="61"/>
        <v>#DIV/0!</v>
      </c>
      <c r="P71" s="59">
        <v>0.0302</v>
      </c>
      <c r="Q71" s="60">
        <f t="shared" si="40"/>
        <v>0.0302</v>
      </c>
      <c r="R71" s="61">
        <v>1000</v>
      </c>
      <c r="S71" s="59">
        <v>1.1616</v>
      </c>
      <c r="T71" s="59">
        <v>9.801</v>
      </c>
      <c r="U71" s="62">
        <v>4e-6</v>
      </c>
      <c r="V71" s="63"/>
      <c r="W71" s="63">
        <f t="shared" si="41"/>
        <v>4e-6</v>
      </c>
      <c r="X71" s="64">
        <v>0.001147</v>
      </c>
      <c r="Y71" s="64">
        <v>1.85e-5</v>
      </c>
      <c r="Z71" s="65"/>
      <c r="AA71" s="66"/>
      <c r="AB71" s="65">
        <f t="shared" si="42"/>
        <v>-2.03873598369011</v>
      </c>
      <c r="AC71" s="65">
        <f t="shared" si="43"/>
        <v>0</v>
      </c>
      <c r="AD71" s="65">
        <f t="shared" si="44"/>
        <v>0</v>
      </c>
      <c r="AE71" s="96" t="e">
        <f t="shared" si="38"/>
        <v>#DIV/0!</v>
      </c>
      <c r="AF71" s="96" t="e">
        <f t="shared" si="39"/>
        <v>#DIV/0!</v>
      </c>
      <c r="AG71" s="96" t="e">
        <f t="shared" si="45"/>
        <v>#DIV/0!</v>
      </c>
      <c r="AH71" s="96"/>
      <c r="AI71" s="63">
        <f t="shared" si="46"/>
        <v>0</v>
      </c>
      <c r="AJ71" s="68"/>
      <c r="AK71" s="69" t="e">
        <f t="shared" si="62"/>
        <v>#DIV/0!</v>
      </c>
      <c r="AL71" s="69"/>
      <c r="AM71" s="69"/>
      <c r="AN71" s="69" t="e">
        <f t="shared" si="47"/>
        <v>#DIV/0!</v>
      </c>
      <c r="AO71" s="65">
        <f t="shared" si="63"/>
        <v>0</v>
      </c>
      <c r="AP71" s="68"/>
      <c r="AQ71" s="68"/>
      <c r="AR71" s="68">
        <f t="shared" si="48"/>
        <v>0</v>
      </c>
      <c r="AS71" s="68">
        <f t="shared" si="49"/>
        <v>0</v>
      </c>
      <c r="AT71" s="71" t="e">
        <f t="shared" si="50"/>
        <v>#DIV/0!</v>
      </c>
      <c r="AU71" s="71"/>
      <c r="AV71" s="65"/>
      <c r="AW71" s="65" t="e">
        <f t="shared" si="64"/>
        <v>#DIV/0!</v>
      </c>
      <c r="AX71" s="65"/>
      <c r="AY71" s="65" t="e">
        <f t="shared" si="65"/>
        <v>#DIV/0!</v>
      </c>
      <c r="AZ71" s="69"/>
      <c r="BA71" s="69"/>
      <c r="BB71" s="72" t="e">
        <f t="shared" si="51"/>
        <v>#DIV/0!</v>
      </c>
      <c r="BC71" s="72" t="e">
        <f t="shared" si="52"/>
        <v>#DIV/0!</v>
      </c>
      <c r="BD71" s="72" t="e">
        <f t="shared" si="53"/>
        <v>#DIV/0!</v>
      </c>
      <c r="BE71" s="72">
        <f t="shared" si="54"/>
        <v>0</v>
      </c>
      <c r="BF71" s="97"/>
    </row>
    <row r="72" ht="25" hidden="1" customHeight="1" spans="1:58">
      <c r="A72" s="54">
        <v>108</v>
      </c>
      <c r="B72" s="54" t="s">
        <v>198</v>
      </c>
      <c r="C72" s="55"/>
      <c r="D72" s="55"/>
      <c r="E72" s="55"/>
      <c r="F72" s="55"/>
      <c r="G72" s="56">
        <v>1</v>
      </c>
      <c r="H72" s="57">
        <f t="shared" si="55"/>
        <v>8.36637353682585e-5</v>
      </c>
      <c r="I72" s="57">
        <f t="shared" si="56"/>
        <v>0.000333333333333333</v>
      </c>
      <c r="J72" s="58" t="e">
        <f t="shared" si="57"/>
        <v>#DIV/0!</v>
      </c>
      <c r="K72" s="58"/>
      <c r="L72" s="58" t="e">
        <f t="shared" si="58"/>
        <v>#DIV/0!</v>
      </c>
      <c r="M72" s="57" t="e">
        <f t="shared" si="59"/>
        <v>#DIV/0!</v>
      </c>
      <c r="N72" s="57" t="e">
        <f t="shared" si="60"/>
        <v>#DIV/0!</v>
      </c>
      <c r="O72" s="57" t="e">
        <f t="shared" si="61"/>
        <v>#DIV/0!</v>
      </c>
      <c r="P72" s="59">
        <v>0.0302</v>
      </c>
      <c r="Q72" s="60">
        <f t="shared" si="40"/>
        <v>0.0302</v>
      </c>
      <c r="R72" s="61">
        <v>1000</v>
      </c>
      <c r="S72" s="59">
        <v>1.1616</v>
      </c>
      <c r="T72" s="59">
        <v>9.801</v>
      </c>
      <c r="U72" s="62">
        <v>4e-6</v>
      </c>
      <c r="V72" s="63"/>
      <c r="W72" s="63">
        <f t="shared" si="41"/>
        <v>4e-6</v>
      </c>
      <c r="X72" s="64">
        <v>0.001147</v>
      </c>
      <c r="Y72" s="64">
        <v>1.85e-5</v>
      </c>
      <c r="Z72" s="65"/>
      <c r="AA72" s="66"/>
      <c r="AB72" s="65">
        <f t="shared" si="42"/>
        <v>-2.03873598369011</v>
      </c>
      <c r="AC72" s="65">
        <f t="shared" si="43"/>
        <v>0</v>
      </c>
      <c r="AD72" s="65">
        <f t="shared" si="44"/>
        <v>0</v>
      </c>
      <c r="AE72" s="96" t="e">
        <f t="shared" si="38"/>
        <v>#DIV/0!</v>
      </c>
      <c r="AF72" s="96" t="e">
        <f t="shared" si="39"/>
        <v>#DIV/0!</v>
      </c>
      <c r="AG72" s="96" t="e">
        <f t="shared" si="45"/>
        <v>#DIV/0!</v>
      </c>
      <c r="AH72" s="96"/>
      <c r="AI72" s="63">
        <f t="shared" si="46"/>
        <v>0</v>
      </c>
      <c r="AJ72" s="68"/>
      <c r="AK72" s="69" t="e">
        <f t="shared" si="62"/>
        <v>#DIV/0!</v>
      </c>
      <c r="AL72" s="69"/>
      <c r="AM72" s="69"/>
      <c r="AN72" s="69" t="e">
        <f t="shared" si="47"/>
        <v>#DIV/0!</v>
      </c>
      <c r="AO72" s="65">
        <f t="shared" si="63"/>
        <v>0</v>
      </c>
      <c r="AP72" s="68"/>
      <c r="AQ72" s="68"/>
      <c r="AR72" s="68">
        <f t="shared" si="48"/>
        <v>0</v>
      </c>
      <c r="AS72" s="68">
        <f t="shared" si="49"/>
        <v>0</v>
      </c>
      <c r="AT72" s="71" t="e">
        <f t="shared" si="50"/>
        <v>#DIV/0!</v>
      </c>
      <c r="AU72" s="71"/>
      <c r="AV72" s="65"/>
      <c r="AW72" s="65" t="e">
        <f t="shared" si="64"/>
        <v>#DIV/0!</v>
      </c>
      <c r="AX72" s="65"/>
      <c r="AY72" s="65" t="e">
        <f t="shared" si="65"/>
        <v>#DIV/0!</v>
      </c>
      <c r="AZ72" s="69"/>
      <c r="BA72" s="69"/>
      <c r="BB72" s="72" t="e">
        <f t="shared" si="51"/>
        <v>#DIV/0!</v>
      </c>
      <c r="BC72" s="72" t="e">
        <f t="shared" si="52"/>
        <v>#DIV/0!</v>
      </c>
      <c r="BD72" s="72" t="e">
        <f t="shared" si="53"/>
        <v>#DIV/0!</v>
      </c>
      <c r="BE72" s="72">
        <f t="shared" si="54"/>
        <v>0</v>
      </c>
      <c r="BF72" s="1"/>
    </row>
    <row r="73" ht="25" hidden="1" customHeight="1" spans="1:58">
      <c r="A73" s="54">
        <v>109</v>
      </c>
      <c r="B73" s="54" t="s">
        <v>198</v>
      </c>
      <c r="C73" s="55"/>
      <c r="D73" s="55"/>
      <c r="E73" s="55"/>
      <c r="F73" s="55"/>
      <c r="G73" s="56">
        <v>1</v>
      </c>
      <c r="H73" s="57">
        <f t="shared" si="55"/>
        <v>8.36637353682585e-5</v>
      </c>
      <c r="I73" s="57">
        <f t="shared" si="56"/>
        <v>0.000333333333333333</v>
      </c>
      <c r="J73" s="58" t="e">
        <f t="shared" si="57"/>
        <v>#DIV/0!</v>
      </c>
      <c r="K73" s="58"/>
      <c r="L73" s="58" t="e">
        <f t="shared" si="58"/>
        <v>#DIV/0!</v>
      </c>
      <c r="M73" s="57" t="e">
        <f t="shared" si="59"/>
        <v>#DIV/0!</v>
      </c>
      <c r="N73" s="57" t="e">
        <f t="shared" si="60"/>
        <v>#DIV/0!</v>
      </c>
      <c r="O73" s="57" t="e">
        <f t="shared" si="61"/>
        <v>#DIV/0!</v>
      </c>
      <c r="P73" s="59">
        <v>0.0302</v>
      </c>
      <c r="Q73" s="60">
        <f t="shared" si="40"/>
        <v>0.0302</v>
      </c>
      <c r="R73" s="61">
        <v>1000</v>
      </c>
      <c r="S73" s="59">
        <v>1.1616</v>
      </c>
      <c r="T73" s="59">
        <v>9.801</v>
      </c>
      <c r="U73" s="62">
        <v>4e-6</v>
      </c>
      <c r="V73" s="63"/>
      <c r="W73" s="63">
        <f t="shared" si="41"/>
        <v>4e-6</v>
      </c>
      <c r="X73" s="64">
        <v>0.001147</v>
      </c>
      <c r="Y73" s="64">
        <v>1.85e-5</v>
      </c>
      <c r="Z73" s="65"/>
      <c r="AA73" s="66"/>
      <c r="AB73" s="65">
        <f t="shared" si="42"/>
        <v>-2.03873598369011</v>
      </c>
      <c r="AC73" s="65">
        <f t="shared" si="43"/>
        <v>0</v>
      </c>
      <c r="AD73" s="65">
        <f t="shared" si="44"/>
        <v>0</v>
      </c>
      <c r="AE73" s="96" t="e">
        <f t="shared" si="38"/>
        <v>#DIV/0!</v>
      </c>
      <c r="AF73" s="96" t="e">
        <f t="shared" si="39"/>
        <v>#DIV/0!</v>
      </c>
      <c r="AG73" s="96" t="e">
        <f t="shared" si="45"/>
        <v>#DIV/0!</v>
      </c>
      <c r="AH73" s="96"/>
      <c r="AI73" s="63">
        <f t="shared" si="46"/>
        <v>0</v>
      </c>
      <c r="AJ73" s="68"/>
      <c r="AK73" s="69" t="e">
        <f t="shared" si="62"/>
        <v>#DIV/0!</v>
      </c>
      <c r="AL73" s="69"/>
      <c r="AM73" s="69"/>
      <c r="AN73" s="69" t="e">
        <f t="shared" si="47"/>
        <v>#DIV/0!</v>
      </c>
      <c r="AO73" s="65">
        <f t="shared" si="63"/>
        <v>0</v>
      </c>
      <c r="AP73" s="68"/>
      <c r="AQ73" s="68"/>
      <c r="AR73" s="68">
        <f t="shared" si="48"/>
        <v>0</v>
      </c>
      <c r="AS73" s="68">
        <f t="shared" si="49"/>
        <v>0</v>
      </c>
      <c r="AT73" s="71" t="e">
        <f t="shared" si="50"/>
        <v>#DIV/0!</v>
      </c>
      <c r="AU73" s="71"/>
      <c r="AV73" s="65"/>
      <c r="AW73" s="65" t="e">
        <f t="shared" si="64"/>
        <v>#DIV/0!</v>
      </c>
      <c r="AX73" s="65"/>
      <c r="AY73" s="65" t="e">
        <f t="shared" si="65"/>
        <v>#DIV/0!</v>
      </c>
      <c r="AZ73" s="69"/>
      <c r="BA73" s="69"/>
      <c r="BB73" s="72" t="e">
        <f t="shared" si="51"/>
        <v>#DIV/0!</v>
      </c>
      <c r="BC73" s="72" t="e">
        <f t="shared" si="52"/>
        <v>#DIV/0!</v>
      </c>
      <c r="BD73" s="72" t="e">
        <f t="shared" si="53"/>
        <v>#DIV/0!</v>
      </c>
      <c r="BE73" s="72">
        <f t="shared" si="54"/>
        <v>0</v>
      </c>
      <c r="BF73" s="97"/>
    </row>
    <row r="74" ht="25" hidden="1" customHeight="1" spans="1:58">
      <c r="A74" s="54">
        <v>110</v>
      </c>
      <c r="B74" s="54" t="s">
        <v>198</v>
      </c>
      <c r="C74" s="55"/>
      <c r="D74" s="55"/>
      <c r="E74" s="55"/>
      <c r="F74" s="55"/>
      <c r="G74" s="56">
        <v>1</v>
      </c>
      <c r="H74" s="57">
        <f t="shared" ref="H74:H83" si="66">0.001/11.95261</f>
        <v>8.36637353682585e-5</v>
      </c>
      <c r="I74" s="57">
        <f t="shared" ref="I74:I83" si="67">1/3000</f>
        <v>0.000333333333333333</v>
      </c>
      <c r="J74" s="58" t="e">
        <f t="shared" si="57"/>
        <v>#DIV/0!</v>
      </c>
      <c r="K74" s="58"/>
      <c r="L74" s="58" t="e">
        <f t="shared" si="58"/>
        <v>#DIV/0!</v>
      </c>
      <c r="M74" s="57" t="e">
        <f t="shared" si="59"/>
        <v>#DIV/0!</v>
      </c>
      <c r="N74" s="57" t="e">
        <f t="shared" si="60"/>
        <v>#DIV/0!</v>
      </c>
      <c r="O74" s="57" t="e">
        <f t="shared" si="61"/>
        <v>#DIV/0!</v>
      </c>
      <c r="P74" s="59">
        <v>0.0302</v>
      </c>
      <c r="Q74" s="60">
        <f t="shared" si="40"/>
        <v>0.0302</v>
      </c>
      <c r="R74" s="61">
        <v>1000</v>
      </c>
      <c r="S74" s="59">
        <v>1.1616</v>
      </c>
      <c r="T74" s="59">
        <v>9.801</v>
      </c>
      <c r="U74" s="62">
        <v>4e-6</v>
      </c>
      <c r="V74" s="63"/>
      <c r="W74" s="63">
        <f t="shared" si="41"/>
        <v>4e-6</v>
      </c>
      <c r="X74" s="64">
        <v>0.001147</v>
      </c>
      <c r="Y74" s="64">
        <v>1.85e-5</v>
      </c>
      <c r="Z74" s="65"/>
      <c r="AA74" s="66"/>
      <c r="AB74" s="65">
        <f t="shared" si="42"/>
        <v>-2.03873598369011</v>
      </c>
      <c r="AC74" s="65">
        <f t="shared" si="43"/>
        <v>0</v>
      </c>
      <c r="AD74" s="65">
        <f t="shared" si="44"/>
        <v>0</v>
      </c>
      <c r="AE74" s="96" t="e">
        <f t="shared" si="38"/>
        <v>#DIV/0!</v>
      </c>
      <c r="AF74" s="96" t="e">
        <f t="shared" si="39"/>
        <v>#DIV/0!</v>
      </c>
      <c r="AG74" s="96" t="e">
        <f t="shared" si="45"/>
        <v>#DIV/0!</v>
      </c>
      <c r="AH74" s="96"/>
      <c r="AI74" s="63">
        <f t="shared" si="46"/>
        <v>0</v>
      </c>
      <c r="AJ74" s="68"/>
      <c r="AK74" s="69" t="e">
        <f t="shared" si="62"/>
        <v>#DIV/0!</v>
      </c>
      <c r="AL74" s="69"/>
      <c r="AM74" s="69"/>
      <c r="AN74" s="69" t="e">
        <f t="shared" si="47"/>
        <v>#DIV/0!</v>
      </c>
      <c r="AO74" s="65">
        <f t="shared" si="63"/>
        <v>0</v>
      </c>
      <c r="AP74" s="68"/>
      <c r="AQ74" s="68"/>
      <c r="AR74" s="68">
        <f t="shared" si="48"/>
        <v>0</v>
      </c>
      <c r="AS74" s="68">
        <f t="shared" si="49"/>
        <v>0</v>
      </c>
      <c r="AT74" s="71" t="e">
        <f t="shared" si="50"/>
        <v>#DIV/0!</v>
      </c>
      <c r="AU74" s="71"/>
      <c r="AV74" s="65"/>
      <c r="AW74" s="65" t="e">
        <f t="shared" si="64"/>
        <v>#DIV/0!</v>
      </c>
      <c r="AX74" s="65"/>
      <c r="AY74" s="65" t="e">
        <f t="shared" si="65"/>
        <v>#DIV/0!</v>
      </c>
      <c r="AZ74" s="69"/>
      <c r="BA74" s="69"/>
      <c r="BB74" s="72" t="e">
        <f t="shared" si="51"/>
        <v>#DIV/0!</v>
      </c>
      <c r="BC74" s="72" t="e">
        <f t="shared" si="52"/>
        <v>#DIV/0!</v>
      </c>
      <c r="BD74" s="72" t="e">
        <f t="shared" si="53"/>
        <v>#DIV/0!</v>
      </c>
      <c r="BE74" s="72">
        <f t="shared" si="54"/>
        <v>0</v>
      </c>
      <c r="BF74" s="97"/>
    </row>
    <row r="75" ht="25" hidden="1" customHeight="1" spans="1:58">
      <c r="A75" s="54">
        <v>111</v>
      </c>
      <c r="B75" s="54" t="s">
        <v>198</v>
      </c>
      <c r="C75" s="55"/>
      <c r="D75" s="55"/>
      <c r="E75" s="55"/>
      <c r="F75" s="55"/>
      <c r="G75" s="56">
        <v>1</v>
      </c>
      <c r="H75" s="57">
        <f t="shared" si="66"/>
        <v>8.36637353682585e-5</v>
      </c>
      <c r="I75" s="57">
        <f t="shared" si="67"/>
        <v>0.000333333333333333</v>
      </c>
      <c r="J75" s="58" t="e">
        <f t="shared" si="57"/>
        <v>#DIV/0!</v>
      </c>
      <c r="K75" s="58"/>
      <c r="L75" s="58" t="e">
        <f t="shared" si="58"/>
        <v>#DIV/0!</v>
      </c>
      <c r="M75" s="57" t="e">
        <f t="shared" si="59"/>
        <v>#DIV/0!</v>
      </c>
      <c r="N75" s="57" t="e">
        <f t="shared" si="60"/>
        <v>#DIV/0!</v>
      </c>
      <c r="O75" s="57" t="e">
        <f t="shared" si="61"/>
        <v>#DIV/0!</v>
      </c>
      <c r="P75" s="59">
        <v>0.0302</v>
      </c>
      <c r="Q75" s="60">
        <f t="shared" si="40"/>
        <v>0.0302</v>
      </c>
      <c r="R75" s="61">
        <v>1000</v>
      </c>
      <c r="S75" s="59">
        <v>1.1616</v>
      </c>
      <c r="T75" s="59">
        <v>9.801</v>
      </c>
      <c r="U75" s="62">
        <v>4e-6</v>
      </c>
      <c r="V75" s="63"/>
      <c r="W75" s="63">
        <f t="shared" si="41"/>
        <v>4e-6</v>
      </c>
      <c r="X75" s="64">
        <v>0.001147</v>
      </c>
      <c r="Y75" s="64">
        <v>1.85e-5</v>
      </c>
      <c r="Z75" s="65"/>
      <c r="AA75" s="66"/>
      <c r="AB75" s="65">
        <f t="shared" si="42"/>
        <v>-2.03873598369011</v>
      </c>
      <c r="AC75" s="65">
        <f t="shared" si="43"/>
        <v>0</v>
      </c>
      <c r="AD75" s="65">
        <f t="shared" si="44"/>
        <v>0</v>
      </c>
      <c r="AE75" s="96" t="e">
        <f t="shared" si="38"/>
        <v>#DIV/0!</v>
      </c>
      <c r="AF75" s="96" t="e">
        <f t="shared" si="39"/>
        <v>#DIV/0!</v>
      </c>
      <c r="AG75" s="96" t="e">
        <f t="shared" si="45"/>
        <v>#DIV/0!</v>
      </c>
      <c r="AH75" s="96"/>
      <c r="AI75" s="63">
        <f t="shared" si="46"/>
        <v>0</v>
      </c>
      <c r="AJ75" s="68"/>
      <c r="AK75" s="69" t="e">
        <f t="shared" si="62"/>
        <v>#DIV/0!</v>
      </c>
      <c r="AL75" s="69"/>
      <c r="AM75" s="69"/>
      <c r="AN75" s="69" t="e">
        <f t="shared" si="47"/>
        <v>#DIV/0!</v>
      </c>
      <c r="AO75" s="65">
        <f t="shared" si="63"/>
        <v>0</v>
      </c>
      <c r="AP75" s="68"/>
      <c r="AQ75" s="68"/>
      <c r="AR75" s="68">
        <f t="shared" si="48"/>
        <v>0</v>
      </c>
      <c r="AS75" s="68">
        <f t="shared" si="49"/>
        <v>0</v>
      </c>
      <c r="AT75" s="71" t="e">
        <f t="shared" si="50"/>
        <v>#DIV/0!</v>
      </c>
      <c r="AU75" s="71"/>
      <c r="AV75" s="65"/>
      <c r="AW75" s="65" t="e">
        <f t="shared" si="64"/>
        <v>#DIV/0!</v>
      </c>
      <c r="AX75" s="65"/>
      <c r="AY75" s="65" t="e">
        <f t="shared" si="65"/>
        <v>#DIV/0!</v>
      </c>
      <c r="AZ75" s="69"/>
      <c r="BA75" s="69"/>
      <c r="BB75" s="72" t="e">
        <f t="shared" si="51"/>
        <v>#DIV/0!</v>
      </c>
      <c r="BC75" s="72" t="e">
        <f t="shared" si="52"/>
        <v>#DIV/0!</v>
      </c>
      <c r="BD75" s="72" t="e">
        <f t="shared" si="53"/>
        <v>#DIV/0!</v>
      </c>
      <c r="BE75" s="72">
        <f t="shared" si="54"/>
        <v>0</v>
      </c>
      <c r="BF75" s="1"/>
    </row>
    <row r="76" ht="25" hidden="1" customHeight="1" spans="1:58">
      <c r="A76" s="54">
        <v>112</v>
      </c>
      <c r="B76" s="54" t="s">
        <v>198</v>
      </c>
      <c r="C76" s="55"/>
      <c r="D76" s="55"/>
      <c r="E76" s="55"/>
      <c r="F76" s="55"/>
      <c r="G76" s="56">
        <v>1</v>
      </c>
      <c r="H76" s="57">
        <f t="shared" si="66"/>
        <v>8.36637353682585e-5</v>
      </c>
      <c r="I76" s="57">
        <f t="shared" si="67"/>
        <v>0.000333333333333333</v>
      </c>
      <c r="J76" s="58" t="e">
        <f t="shared" si="57"/>
        <v>#DIV/0!</v>
      </c>
      <c r="K76" s="58"/>
      <c r="L76" s="58" t="e">
        <f t="shared" si="58"/>
        <v>#DIV/0!</v>
      </c>
      <c r="M76" s="57" t="e">
        <f t="shared" si="59"/>
        <v>#DIV/0!</v>
      </c>
      <c r="N76" s="57" t="e">
        <f t="shared" si="60"/>
        <v>#DIV/0!</v>
      </c>
      <c r="O76" s="57" t="e">
        <f t="shared" si="61"/>
        <v>#DIV/0!</v>
      </c>
      <c r="P76" s="59">
        <v>0.0302</v>
      </c>
      <c r="Q76" s="60">
        <f t="shared" si="40"/>
        <v>0.0302</v>
      </c>
      <c r="R76" s="61">
        <v>1000</v>
      </c>
      <c r="S76" s="59">
        <v>1.1616</v>
      </c>
      <c r="T76" s="59">
        <v>9.801</v>
      </c>
      <c r="U76" s="62">
        <v>4e-6</v>
      </c>
      <c r="V76" s="63"/>
      <c r="W76" s="63">
        <f t="shared" si="41"/>
        <v>4e-6</v>
      </c>
      <c r="X76" s="64">
        <v>0.001147</v>
      </c>
      <c r="Y76" s="64">
        <v>1.85e-5</v>
      </c>
      <c r="Z76" s="65"/>
      <c r="AA76" s="66"/>
      <c r="AB76" s="65">
        <f t="shared" si="42"/>
        <v>-2.03873598369011</v>
      </c>
      <c r="AC76" s="65">
        <f t="shared" si="43"/>
        <v>0</v>
      </c>
      <c r="AD76" s="65">
        <f t="shared" si="44"/>
        <v>0</v>
      </c>
      <c r="AE76" s="96" t="e">
        <f t="shared" si="38"/>
        <v>#DIV/0!</v>
      </c>
      <c r="AF76" s="96" t="e">
        <f t="shared" si="39"/>
        <v>#DIV/0!</v>
      </c>
      <c r="AG76" s="96" t="e">
        <f t="shared" si="45"/>
        <v>#DIV/0!</v>
      </c>
      <c r="AH76" s="96"/>
      <c r="AI76" s="63">
        <f t="shared" si="46"/>
        <v>0</v>
      </c>
      <c r="AJ76" s="68"/>
      <c r="AK76" s="69" t="e">
        <f t="shared" si="62"/>
        <v>#DIV/0!</v>
      </c>
      <c r="AL76" s="69"/>
      <c r="AM76" s="69"/>
      <c r="AN76" s="69" t="e">
        <f t="shared" si="47"/>
        <v>#DIV/0!</v>
      </c>
      <c r="AO76" s="65">
        <f t="shared" si="63"/>
        <v>0</v>
      </c>
      <c r="AP76" s="68"/>
      <c r="AQ76" s="68"/>
      <c r="AR76" s="68">
        <f t="shared" si="48"/>
        <v>0</v>
      </c>
      <c r="AS76" s="68">
        <f t="shared" si="49"/>
        <v>0</v>
      </c>
      <c r="AT76" s="71" t="e">
        <f t="shared" si="50"/>
        <v>#DIV/0!</v>
      </c>
      <c r="AU76" s="71"/>
      <c r="AV76" s="65"/>
      <c r="AW76" s="65" t="e">
        <f t="shared" si="64"/>
        <v>#DIV/0!</v>
      </c>
      <c r="AX76" s="65"/>
      <c r="AY76" s="65" t="e">
        <f t="shared" si="65"/>
        <v>#DIV/0!</v>
      </c>
      <c r="AZ76" s="69"/>
      <c r="BA76" s="69"/>
      <c r="BB76" s="72" t="e">
        <f t="shared" si="51"/>
        <v>#DIV/0!</v>
      </c>
      <c r="BC76" s="72" t="e">
        <f t="shared" si="52"/>
        <v>#DIV/0!</v>
      </c>
      <c r="BD76" s="72" t="e">
        <f t="shared" si="53"/>
        <v>#DIV/0!</v>
      </c>
      <c r="BE76" s="72">
        <f t="shared" si="54"/>
        <v>0</v>
      </c>
      <c r="BF76" s="1"/>
    </row>
    <row r="77" ht="25" hidden="1" customHeight="1" spans="1:58">
      <c r="A77" s="54">
        <v>113</v>
      </c>
      <c r="B77" s="54" t="s">
        <v>198</v>
      </c>
      <c r="C77" s="55"/>
      <c r="D77" s="55"/>
      <c r="E77" s="55"/>
      <c r="F77" s="55"/>
      <c r="G77" s="56">
        <v>1</v>
      </c>
      <c r="H77" s="57">
        <f t="shared" si="66"/>
        <v>8.36637353682585e-5</v>
      </c>
      <c r="I77" s="57">
        <f t="shared" si="67"/>
        <v>0.000333333333333333</v>
      </c>
      <c r="J77" s="58" t="e">
        <f t="shared" si="57"/>
        <v>#DIV/0!</v>
      </c>
      <c r="K77" s="58"/>
      <c r="L77" s="58" t="e">
        <f t="shared" si="58"/>
        <v>#DIV/0!</v>
      </c>
      <c r="M77" s="57" t="e">
        <f t="shared" si="59"/>
        <v>#DIV/0!</v>
      </c>
      <c r="N77" s="57" t="e">
        <f t="shared" si="60"/>
        <v>#DIV/0!</v>
      </c>
      <c r="O77" s="57" t="e">
        <f t="shared" si="61"/>
        <v>#DIV/0!</v>
      </c>
      <c r="P77" s="59">
        <v>0.0302</v>
      </c>
      <c r="Q77" s="60">
        <f t="shared" si="40"/>
        <v>0.0302</v>
      </c>
      <c r="R77" s="61">
        <v>1000</v>
      </c>
      <c r="S77" s="59">
        <v>1.1616</v>
      </c>
      <c r="T77" s="59">
        <v>9.801</v>
      </c>
      <c r="U77" s="62">
        <v>4e-6</v>
      </c>
      <c r="V77" s="63"/>
      <c r="W77" s="63">
        <f t="shared" si="41"/>
        <v>4e-6</v>
      </c>
      <c r="X77" s="64">
        <v>0.001147</v>
      </c>
      <c r="Y77" s="64">
        <v>1.85e-5</v>
      </c>
      <c r="Z77" s="65"/>
      <c r="AA77" s="66"/>
      <c r="AB77" s="65">
        <f t="shared" si="42"/>
        <v>-2.03873598369011</v>
      </c>
      <c r="AC77" s="65">
        <f t="shared" si="43"/>
        <v>0</v>
      </c>
      <c r="AD77" s="65">
        <f t="shared" si="44"/>
        <v>0</v>
      </c>
      <c r="AE77" s="96" t="e">
        <f t="shared" si="38"/>
        <v>#DIV/0!</v>
      </c>
      <c r="AF77" s="96" t="e">
        <f t="shared" si="39"/>
        <v>#DIV/0!</v>
      </c>
      <c r="AG77" s="96" t="e">
        <f t="shared" si="45"/>
        <v>#DIV/0!</v>
      </c>
      <c r="AH77" s="96"/>
      <c r="AI77" s="63">
        <f t="shared" si="46"/>
        <v>0</v>
      </c>
      <c r="AJ77" s="68"/>
      <c r="AK77" s="69" t="e">
        <f t="shared" si="62"/>
        <v>#DIV/0!</v>
      </c>
      <c r="AL77" s="69"/>
      <c r="AM77" s="69"/>
      <c r="AN77" s="69" t="e">
        <f t="shared" si="47"/>
        <v>#DIV/0!</v>
      </c>
      <c r="AO77" s="65">
        <f t="shared" si="63"/>
        <v>0</v>
      </c>
      <c r="AP77" s="68"/>
      <c r="AQ77" s="68"/>
      <c r="AR77" s="68">
        <f t="shared" si="48"/>
        <v>0</v>
      </c>
      <c r="AS77" s="68">
        <f t="shared" si="49"/>
        <v>0</v>
      </c>
      <c r="AT77" s="71" t="e">
        <f t="shared" si="50"/>
        <v>#DIV/0!</v>
      </c>
      <c r="AU77" s="71"/>
      <c r="AV77" s="65"/>
      <c r="AW77" s="65" t="e">
        <f t="shared" si="64"/>
        <v>#DIV/0!</v>
      </c>
      <c r="AX77" s="65"/>
      <c r="AY77" s="65" t="e">
        <f t="shared" si="65"/>
        <v>#DIV/0!</v>
      </c>
      <c r="AZ77" s="69"/>
      <c r="BA77" s="69"/>
      <c r="BB77" s="72" t="e">
        <f t="shared" si="51"/>
        <v>#DIV/0!</v>
      </c>
      <c r="BC77" s="72" t="e">
        <f t="shared" si="52"/>
        <v>#DIV/0!</v>
      </c>
      <c r="BD77" s="72" t="e">
        <f t="shared" si="53"/>
        <v>#DIV/0!</v>
      </c>
      <c r="BE77" s="72">
        <f t="shared" si="54"/>
        <v>0</v>
      </c>
      <c r="BF77" s="1"/>
    </row>
    <row r="78" ht="25" hidden="1" customHeight="1" spans="1:58">
      <c r="A78" s="54">
        <v>114</v>
      </c>
      <c r="B78" s="54" t="s">
        <v>198</v>
      </c>
      <c r="C78" s="55"/>
      <c r="D78" s="55"/>
      <c r="E78" s="55"/>
      <c r="F78" s="55"/>
      <c r="G78" s="56">
        <v>1</v>
      </c>
      <c r="H78" s="57">
        <f t="shared" si="66"/>
        <v>8.36637353682585e-5</v>
      </c>
      <c r="I78" s="57">
        <f t="shared" si="67"/>
        <v>0.000333333333333333</v>
      </c>
      <c r="J78" s="58" t="e">
        <f t="shared" si="57"/>
        <v>#DIV/0!</v>
      </c>
      <c r="K78" s="58"/>
      <c r="L78" s="58" t="e">
        <f t="shared" si="58"/>
        <v>#DIV/0!</v>
      </c>
      <c r="M78" s="57" t="e">
        <f t="shared" si="59"/>
        <v>#DIV/0!</v>
      </c>
      <c r="N78" s="57" t="e">
        <f t="shared" si="60"/>
        <v>#DIV/0!</v>
      </c>
      <c r="O78" s="57" t="e">
        <f t="shared" si="61"/>
        <v>#DIV/0!</v>
      </c>
      <c r="P78" s="59">
        <v>0.0302</v>
      </c>
      <c r="Q78" s="60">
        <f t="shared" si="40"/>
        <v>0.0302</v>
      </c>
      <c r="R78" s="61">
        <v>1000</v>
      </c>
      <c r="S78" s="59">
        <v>1.1616</v>
      </c>
      <c r="T78" s="59">
        <v>9.801</v>
      </c>
      <c r="U78" s="62">
        <v>4e-6</v>
      </c>
      <c r="V78" s="63"/>
      <c r="W78" s="63">
        <f t="shared" si="41"/>
        <v>4e-6</v>
      </c>
      <c r="X78" s="64">
        <v>0.001147</v>
      </c>
      <c r="Y78" s="64">
        <v>1.85e-5</v>
      </c>
      <c r="Z78" s="65"/>
      <c r="AA78" s="66"/>
      <c r="AB78" s="65">
        <f t="shared" si="42"/>
        <v>-2.03873598369011</v>
      </c>
      <c r="AC78" s="65">
        <f t="shared" si="43"/>
        <v>0</v>
      </c>
      <c r="AD78" s="65">
        <f t="shared" si="44"/>
        <v>0</v>
      </c>
      <c r="AE78" s="96" t="e">
        <f t="shared" si="38"/>
        <v>#DIV/0!</v>
      </c>
      <c r="AF78" s="96" t="e">
        <f t="shared" si="39"/>
        <v>#DIV/0!</v>
      </c>
      <c r="AG78" s="96" t="e">
        <f t="shared" si="45"/>
        <v>#DIV/0!</v>
      </c>
      <c r="AH78" s="96"/>
      <c r="AI78" s="63">
        <f t="shared" si="46"/>
        <v>0</v>
      </c>
      <c r="AJ78" s="68"/>
      <c r="AK78" s="69" t="e">
        <f t="shared" si="62"/>
        <v>#DIV/0!</v>
      </c>
      <c r="AL78" s="69"/>
      <c r="AM78" s="69"/>
      <c r="AN78" s="69" t="e">
        <f t="shared" si="47"/>
        <v>#DIV/0!</v>
      </c>
      <c r="AO78" s="65">
        <f t="shared" si="63"/>
        <v>0</v>
      </c>
      <c r="AP78" s="68"/>
      <c r="AQ78" s="68"/>
      <c r="AR78" s="68">
        <f t="shared" si="48"/>
        <v>0</v>
      </c>
      <c r="AS78" s="68">
        <f t="shared" si="49"/>
        <v>0</v>
      </c>
      <c r="AT78" s="71" t="e">
        <f t="shared" si="50"/>
        <v>#DIV/0!</v>
      </c>
      <c r="AU78" s="71"/>
      <c r="AV78" s="65"/>
      <c r="AW78" s="65" t="e">
        <f t="shared" si="64"/>
        <v>#DIV/0!</v>
      </c>
      <c r="AX78" s="65"/>
      <c r="AY78" s="65" t="e">
        <f t="shared" si="65"/>
        <v>#DIV/0!</v>
      </c>
      <c r="AZ78" s="69"/>
      <c r="BA78" s="69"/>
      <c r="BB78" s="72" t="e">
        <f t="shared" si="51"/>
        <v>#DIV/0!</v>
      </c>
      <c r="BC78" s="72" t="e">
        <f t="shared" si="52"/>
        <v>#DIV/0!</v>
      </c>
      <c r="BD78" s="72" t="e">
        <f t="shared" si="53"/>
        <v>#DIV/0!</v>
      </c>
      <c r="BE78" s="72">
        <f t="shared" si="54"/>
        <v>0</v>
      </c>
      <c r="BF78" s="1"/>
    </row>
    <row r="79" ht="25" hidden="1" customHeight="1" spans="1:58">
      <c r="A79" s="54">
        <v>115</v>
      </c>
      <c r="B79" s="54" t="s">
        <v>198</v>
      </c>
      <c r="C79" s="55"/>
      <c r="D79" s="55"/>
      <c r="E79" s="55"/>
      <c r="F79" s="55"/>
      <c r="G79" s="56">
        <v>1</v>
      </c>
      <c r="H79" s="57">
        <f t="shared" si="66"/>
        <v>8.36637353682585e-5</v>
      </c>
      <c r="I79" s="57">
        <f t="shared" si="67"/>
        <v>0.000333333333333333</v>
      </c>
      <c r="J79" s="58" t="e">
        <f t="shared" si="57"/>
        <v>#DIV/0!</v>
      </c>
      <c r="K79" s="58"/>
      <c r="L79" s="58" t="e">
        <f t="shared" si="58"/>
        <v>#DIV/0!</v>
      </c>
      <c r="M79" s="57" t="e">
        <f t="shared" si="59"/>
        <v>#DIV/0!</v>
      </c>
      <c r="N79" s="57" t="e">
        <f t="shared" si="60"/>
        <v>#DIV/0!</v>
      </c>
      <c r="O79" s="57" t="e">
        <f t="shared" si="61"/>
        <v>#DIV/0!</v>
      </c>
      <c r="P79" s="59">
        <v>0.0302</v>
      </c>
      <c r="Q79" s="60">
        <f t="shared" si="40"/>
        <v>0.0302</v>
      </c>
      <c r="R79" s="61">
        <v>1000</v>
      </c>
      <c r="S79" s="59">
        <v>1.1616</v>
      </c>
      <c r="T79" s="59">
        <v>9.801</v>
      </c>
      <c r="U79" s="62">
        <v>4e-6</v>
      </c>
      <c r="V79" s="63"/>
      <c r="W79" s="63">
        <f t="shared" si="41"/>
        <v>4e-6</v>
      </c>
      <c r="X79" s="64">
        <v>0.001147</v>
      </c>
      <c r="Y79" s="64">
        <v>1.85e-5</v>
      </c>
      <c r="Z79" s="65"/>
      <c r="AA79" s="66"/>
      <c r="AB79" s="65">
        <f t="shared" si="42"/>
        <v>-2.03873598369011</v>
      </c>
      <c r="AC79" s="65">
        <f t="shared" si="43"/>
        <v>0</v>
      </c>
      <c r="AD79" s="65">
        <f t="shared" si="44"/>
        <v>0</v>
      </c>
      <c r="AE79" s="96" t="e">
        <f t="shared" si="38"/>
        <v>#DIV/0!</v>
      </c>
      <c r="AF79" s="96" t="e">
        <f t="shared" si="39"/>
        <v>#DIV/0!</v>
      </c>
      <c r="AG79" s="96" t="e">
        <f t="shared" si="45"/>
        <v>#DIV/0!</v>
      </c>
      <c r="AH79" s="96"/>
      <c r="AI79" s="63">
        <f t="shared" si="46"/>
        <v>0</v>
      </c>
      <c r="AJ79" s="68"/>
      <c r="AK79" s="69" t="e">
        <f t="shared" si="62"/>
        <v>#DIV/0!</v>
      </c>
      <c r="AL79" s="69"/>
      <c r="AM79" s="69"/>
      <c r="AN79" s="69" t="e">
        <f t="shared" si="47"/>
        <v>#DIV/0!</v>
      </c>
      <c r="AO79" s="65">
        <f t="shared" si="63"/>
        <v>0</v>
      </c>
      <c r="AP79" s="68"/>
      <c r="AQ79" s="68"/>
      <c r="AR79" s="68">
        <f t="shared" si="48"/>
        <v>0</v>
      </c>
      <c r="AS79" s="68">
        <f t="shared" si="49"/>
        <v>0</v>
      </c>
      <c r="AT79" s="71" t="e">
        <f t="shared" si="50"/>
        <v>#DIV/0!</v>
      </c>
      <c r="AU79" s="71"/>
      <c r="AV79" s="65"/>
      <c r="AW79" s="65" t="e">
        <f t="shared" si="64"/>
        <v>#DIV/0!</v>
      </c>
      <c r="AX79" s="65"/>
      <c r="AY79" s="65" t="e">
        <f t="shared" si="65"/>
        <v>#DIV/0!</v>
      </c>
      <c r="AZ79" s="69"/>
      <c r="BA79" s="69"/>
      <c r="BB79" s="72" t="e">
        <f t="shared" si="51"/>
        <v>#DIV/0!</v>
      </c>
      <c r="BC79" s="72" t="e">
        <f t="shared" si="52"/>
        <v>#DIV/0!</v>
      </c>
      <c r="BD79" s="72" t="e">
        <f t="shared" si="53"/>
        <v>#DIV/0!</v>
      </c>
      <c r="BE79" s="72">
        <f t="shared" si="54"/>
        <v>0</v>
      </c>
      <c r="BF79" s="1"/>
    </row>
    <row r="80" ht="25" hidden="1" customHeight="1" spans="1:58">
      <c r="A80" s="54">
        <v>116</v>
      </c>
      <c r="B80" s="54" t="s">
        <v>198</v>
      </c>
      <c r="C80" s="55"/>
      <c r="D80" s="55"/>
      <c r="E80" s="55"/>
      <c r="F80" s="55"/>
      <c r="G80" s="56">
        <v>1</v>
      </c>
      <c r="H80" s="57">
        <f t="shared" si="66"/>
        <v>8.36637353682585e-5</v>
      </c>
      <c r="I80" s="57">
        <f t="shared" si="67"/>
        <v>0.000333333333333333</v>
      </c>
      <c r="J80" s="58" t="e">
        <f t="shared" si="57"/>
        <v>#DIV/0!</v>
      </c>
      <c r="K80" s="58"/>
      <c r="L80" s="58" t="e">
        <f t="shared" si="58"/>
        <v>#DIV/0!</v>
      </c>
      <c r="M80" s="57" t="e">
        <f t="shared" si="59"/>
        <v>#DIV/0!</v>
      </c>
      <c r="N80" s="57" t="e">
        <f t="shared" si="60"/>
        <v>#DIV/0!</v>
      </c>
      <c r="O80" s="57" t="e">
        <f t="shared" si="61"/>
        <v>#DIV/0!</v>
      </c>
      <c r="P80" s="59">
        <v>0.0302</v>
      </c>
      <c r="Q80" s="60">
        <f t="shared" si="40"/>
        <v>0.0302</v>
      </c>
      <c r="R80" s="61">
        <v>1000</v>
      </c>
      <c r="S80" s="59">
        <v>1.1616</v>
      </c>
      <c r="T80" s="59">
        <v>9.801</v>
      </c>
      <c r="U80" s="62">
        <v>4e-6</v>
      </c>
      <c r="V80" s="63"/>
      <c r="W80" s="63">
        <f t="shared" si="41"/>
        <v>4e-6</v>
      </c>
      <c r="X80" s="64">
        <v>0.001147</v>
      </c>
      <c r="Y80" s="64">
        <v>1.85e-5</v>
      </c>
      <c r="Z80" s="65"/>
      <c r="AA80" s="66"/>
      <c r="AB80" s="65">
        <f t="shared" si="42"/>
        <v>-2.03873598369011</v>
      </c>
      <c r="AC80" s="65">
        <f t="shared" si="43"/>
        <v>0</v>
      </c>
      <c r="AD80" s="65">
        <f t="shared" si="44"/>
        <v>0</v>
      </c>
      <c r="AE80" s="96" t="e">
        <f t="shared" si="38"/>
        <v>#DIV/0!</v>
      </c>
      <c r="AF80" s="96" t="e">
        <f t="shared" si="39"/>
        <v>#DIV/0!</v>
      </c>
      <c r="AG80" s="96" t="e">
        <f t="shared" si="45"/>
        <v>#DIV/0!</v>
      </c>
      <c r="AH80" s="96"/>
      <c r="AI80" s="63">
        <f t="shared" si="46"/>
        <v>0</v>
      </c>
      <c r="AJ80" s="68"/>
      <c r="AK80" s="69" t="e">
        <f t="shared" si="62"/>
        <v>#DIV/0!</v>
      </c>
      <c r="AL80" s="69"/>
      <c r="AM80" s="69"/>
      <c r="AN80" s="69" t="e">
        <f t="shared" si="47"/>
        <v>#DIV/0!</v>
      </c>
      <c r="AO80" s="65">
        <f t="shared" si="63"/>
        <v>0</v>
      </c>
      <c r="AP80" s="68"/>
      <c r="AQ80" s="68"/>
      <c r="AR80" s="68">
        <f t="shared" si="48"/>
        <v>0</v>
      </c>
      <c r="AS80" s="68">
        <f t="shared" si="49"/>
        <v>0</v>
      </c>
      <c r="AT80" s="71" t="e">
        <f t="shared" si="50"/>
        <v>#DIV/0!</v>
      </c>
      <c r="AU80" s="71"/>
      <c r="AV80" s="65"/>
      <c r="AW80" s="65" t="e">
        <f t="shared" si="64"/>
        <v>#DIV/0!</v>
      </c>
      <c r="AX80" s="65"/>
      <c r="AY80" s="65" t="e">
        <f t="shared" si="65"/>
        <v>#DIV/0!</v>
      </c>
      <c r="AZ80" s="69"/>
      <c r="BA80" s="69"/>
      <c r="BB80" s="72" t="e">
        <f t="shared" si="51"/>
        <v>#DIV/0!</v>
      </c>
      <c r="BC80" s="72" t="e">
        <f t="shared" si="52"/>
        <v>#DIV/0!</v>
      </c>
      <c r="BD80" s="72" t="e">
        <f t="shared" si="53"/>
        <v>#DIV/0!</v>
      </c>
      <c r="BE80" s="72">
        <f t="shared" si="54"/>
        <v>0</v>
      </c>
      <c r="BF80" s="1"/>
    </row>
    <row r="81" ht="25" hidden="1" customHeight="1" spans="1:58">
      <c r="A81" s="54" t="s">
        <v>106</v>
      </c>
      <c r="B81" s="54" t="s">
        <v>198</v>
      </c>
      <c r="C81" s="55"/>
      <c r="D81" s="55"/>
      <c r="E81" s="55"/>
      <c r="F81" s="55"/>
      <c r="G81" s="56">
        <v>1</v>
      </c>
      <c r="H81" s="57">
        <f t="shared" si="66"/>
        <v>8.36637353682585e-5</v>
      </c>
      <c r="I81" s="57">
        <f t="shared" si="67"/>
        <v>0.000333333333333333</v>
      </c>
      <c r="J81" s="58" t="e">
        <f t="shared" si="57"/>
        <v>#DIV/0!</v>
      </c>
      <c r="K81" s="58"/>
      <c r="L81" s="58" t="e">
        <f t="shared" si="58"/>
        <v>#DIV/0!</v>
      </c>
      <c r="M81" s="57" t="e">
        <f t="shared" si="59"/>
        <v>#DIV/0!</v>
      </c>
      <c r="N81" s="57" t="e">
        <f t="shared" si="60"/>
        <v>#DIV/0!</v>
      </c>
      <c r="O81" s="57" t="e">
        <f t="shared" si="61"/>
        <v>#DIV/0!</v>
      </c>
      <c r="P81" s="59">
        <v>0.0302</v>
      </c>
      <c r="Q81" s="60">
        <f t="shared" si="40"/>
        <v>0.0302</v>
      </c>
      <c r="R81" s="61">
        <v>1000</v>
      </c>
      <c r="S81" s="59">
        <v>1.1616</v>
      </c>
      <c r="T81" s="59">
        <v>9.801</v>
      </c>
      <c r="U81" s="62">
        <v>4e-6</v>
      </c>
      <c r="V81" s="63"/>
      <c r="W81" s="63">
        <f t="shared" si="41"/>
        <v>4e-6</v>
      </c>
      <c r="X81" s="64">
        <v>0.001147</v>
      </c>
      <c r="Y81" s="64">
        <v>1.85e-5</v>
      </c>
      <c r="Z81" s="65"/>
      <c r="AA81" s="66"/>
      <c r="AB81" s="65">
        <f t="shared" si="42"/>
        <v>-2.03873598369011</v>
      </c>
      <c r="AC81" s="65">
        <f t="shared" si="43"/>
        <v>0</v>
      </c>
      <c r="AD81" s="65">
        <f t="shared" si="44"/>
        <v>0</v>
      </c>
      <c r="AE81" s="96" t="e">
        <f t="shared" si="38"/>
        <v>#DIV/0!</v>
      </c>
      <c r="AF81" s="96" t="e">
        <f t="shared" si="39"/>
        <v>#DIV/0!</v>
      </c>
      <c r="AG81" s="96" t="e">
        <f t="shared" si="45"/>
        <v>#DIV/0!</v>
      </c>
      <c r="AH81" s="96"/>
      <c r="AI81" s="63">
        <f t="shared" si="46"/>
        <v>0</v>
      </c>
      <c r="AJ81" s="68"/>
      <c r="AK81" s="69" t="e">
        <f t="shared" si="62"/>
        <v>#DIV/0!</v>
      </c>
      <c r="AL81" s="69"/>
      <c r="AM81" s="69"/>
      <c r="AN81" s="69" t="e">
        <f t="shared" si="47"/>
        <v>#DIV/0!</v>
      </c>
      <c r="AO81" s="65">
        <f t="shared" si="63"/>
        <v>0</v>
      </c>
      <c r="AP81" s="68"/>
      <c r="AQ81" s="68"/>
      <c r="AR81" s="68">
        <f t="shared" si="48"/>
        <v>0</v>
      </c>
      <c r="AS81" s="68">
        <f t="shared" si="49"/>
        <v>0</v>
      </c>
      <c r="AT81" s="71" t="e">
        <f t="shared" si="50"/>
        <v>#DIV/0!</v>
      </c>
      <c r="AU81" s="71"/>
      <c r="AV81" s="65"/>
      <c r="AW81" s="65" t="e">
        <f t="shared" si="64"/>
        <v>#DIV/0!</v>
      </c>
      <c r="AX81" s="65"/>
      <c r="AY81" s="65" t="e">
        <f t="shared" si="65"/>
        <v>#DIV/0!</v>
      </c>
      <c r="AZ81" s="69"/>
      <c r="BA81" s="69"/>
      <c r="BB81" s="72" t="e">
        <f t="shared" si="51"/>
        <v>#DIV/0!</v>
      </c>
      <c r="BC81" s="72" t="e">
        <f t="shared" si="52"/>
        <v>#DIV/0!</v>
      </c>
      <c r="BD81" s="72" t="e">
        <f t="shared" si="53"/>
        <v>#DIV/0!</v>
      </c>
      <c r="BE81" s="72">
        <f t="shared" si="54"/>
        <v>0</v>
      </c>
      <c r="BF81" s="1"/>
    </row>
    <row r="82" ht="25" hidden="1" customHeight="1" spans="1:58">
      <c r="A82" s="54" t="s">
        <v>107</v>
      </c>
      <c r="B82" s="54" t="s">
        <v>198</v>
      </c>
      <c r="C82" s="55"/>
      <c r="D82" s="55"/>
      <c r="E82" s="55"/>
      <c r="F82" s="55"/>
      <c r="G82" s="56">
        <v>1</v>
      </c>
      <c r="H82" s="57">
        <f t="shared" si="66"/>
        <v>8.36637353682585e-5</v>
      </c>
      <c r="I82" s="57">
        <f t="shared" si="67"/>
        <v>0.000333333333333333</v>
      </c>
      <c r="J82" s="58" t="e">
        <f t="shared" si="57"/>
        <v>#DIV/0!</v>
      </c>
      <c r="K82" s="58"/>
      <c r="L82" s="58" t="e">
        <f t="shared" si="58"/>
        <v>#DIV/0!</v>
      </c>
      <c r="M82" s="57" t="e">
        <f t="shared" si="59"/>
        <v>#DIV/0!</v>
      </c>
      <c r="N82" s="57" t="e">
        <f t="shared" si="60"/>
        <v>#DIV/0!</v>
      </c>
      <c r="O82" s="57" t="e">
        <f t="shared" si="61"/>
        <v>#DIV/0!</v>
      </c>
      <c r="P82" s="59">
        <v>0.0302</v>
      </c>
      <c r="Q82" s="60">
        <f t="shared" si="40"/>
        <v>0.0302</v>
      </c>
      <c r="R82" s="61">
        <v>1000</v>
      </c>
      <c r="S82" s="59">
        <v>1.1616</v>
      </c>
      <c r="T82" s="59">
        <v>9.801</v>
      </c>
      <c r="U82" s="62">
        <v>4e-6</v>
      </c>
      <c r="V82" s="63"/>
      <c r="W82" s="63">
        <f t="shared" si="41"/>
        <v>4e-6</v>
      </c>
      <c r="X82" s="64">
        <v>0.001147</v>
      </c>
      <c r="Y82" s="64">
        <v>1.85e-5</v>
      </c>
      <c r="Z82" s="65"/>
      <c r="AA82" s="66"/>
      <c r="AB82" s="65">
        <f t="shared" si="42"/>
        <v>-2.03873598369011</v>
      </c>
      <c r="AC82" s="65">
        <f t="shared" si="43"/>
        <v>0</v>
      </c>
      <c r="AD82" s="65">
        <f t="shared" si="44"/>
        <v>0</v>
      </c>
      <c r="AE82" s="96" t="e">
        <f t="shared" si="38"/>
        <v>#DIV/0!</v>
      </c>
      <c r="AF82" s="96" t="e">
        <f t="shared" si="39"/>
        <v>#DIV/0!</v>
      </c>
      <c r="AG82" s="96" t="e">
        <f t="shared" si="45"/>
        <v>#DIV/0!</v>
      </c>
      <c r="AH82" s="96"/>
      <c r="AI82" s="63">
        <f t="shared" si="46"/>
        <v>0</v>
      </c>
      <c r="AJ82" s="68"/>
      <c r="AK82" s="69" t="e">
        <f t="shared" si="62"/>
        <v>#DIV/0!</v>
      </c>
      <c r="AL82" s="69"/>
      <c r="AM82" s="69"/>
      <c r="AN82" s="69" t="e">
        <f t="shared" si="47"/>
        <v>#DIV/0!</v>
      </c>
      <c r="AO82" s="65">
        <f t="shared" si="63"/>
        <v>0</v>
      </c>
      <c r="AP82" s="68"/>
      <c r="AQ82" s="68"/>
      <c r="AR82" s="68">
        <f t="shared" si="48"/>
        <v>0</v>
      </c>
      <c r="AS82" s="68">
        <f t="shared" si="49"/>
        <v>0</v>
      </c>
      <c r="AT82" s="71" t="e">
        <f t="shared" si="50"/>
        <v>#DIV/0!</v>
      </c>
      <c r="AU82" s="71"/>
      <c r="AV82" s="65"/>
      <c r="AW82" s="65" t="e">
        <f t="shared" si="64"/>
        <v>#DIV/0!</v>
      </c>
      <c r="AX82" s="65"/>
      <c r="AY82" s="65" t="e">
        <f t="shared" si="65"/>
        <v>#DIV/0!</v>
      </c>
      <c r="AZ82" s="69"/>
      <c r="BA82" s="69"/>
      <c r="BB82" s="72" t="e">
        <f t="shared" si="51"/>
        <v>#DIV/0!</v>
      </c>
      <c r="BC82" s="72" t="e">
        <f t="shared" si="52"/>
        <v>#DIV/0!</v>
      </c>
      <c r="BD82" s="72" t="e">
        <f t="shared" si="53"/>
        <v>#DIV/0!</v>
      </c>
      <c r="BE82" s="72">
        <f t="shared" si="54"/>
        <v>0</v>
      </c>
      <c r="BF82" s="1"/>
    </row>
    <row r="83" ht="25" hidden="1" customHeight="1" spans="1:58">
      <c r="A83" s="54">
        <v>118</v>
      </c>
      <c r="B83" s="54" t="s">
        <v>198</v>
      </c>
      <c r="C83" s="55"/>
      <c r="D83" s="55"/>
      <c r="E83" s="55"/>
      <c r="F83" s="55"/>
      <c r="G83" s="56">
        <v>1</v>
      </c>
      <c r="H83" s="57">
        <f t="shared" si="66"/>
        <v>8.36637353682585e-5</v>
      </c>
      <c r="I83" s="57">
        <f t="shared" si="67"/>
        <v>0.000333333333333333</v>
      </c>
      <c r="J83" s="58" t="e">
        <f t="shared" si="57"/>
        <v>#DIV/0!</v>
      </c>
      <c r="K83" s="58"/>
      <c r="L83" s="58" t="e">
        <f t="shared" si="58"/>
        <v>#DIV/0!</v>
      </c>
      <c r="M83" s="57" t="e">
        <f t="shared" si="59"/>
        <v>#DIV/0!</v>
      </c>
      <c r="N83" s="57" t="e">
        <f t="shared" si="60"/>
        <v>#DIV/0!</v>
      </c>
      <c r="O83" s="57" t="e">
        <f t="shared" si="61"/>
        <v>#DIV/0!</v>
      </c>
      <c r="P83" s="59">
        <v>0.0302</v>
      </c>
      <c r="Q83" s="60">
        <f t="shared" si="40"/>
        <v>0.0302</v>
      </c>
      <c r="R83" s="61">
        <v>1000</v>
      </c>
      <c r="S83" s="59">
        <v>1.1616</v>
      </c>
      <c r="T83" s="59">
        <v>9.801</v>
      </c>
      <c r="U83" s="62">
        <v>4e-6</v>
      </c>
      <c r="V83" s="63"/>
      <c r="W83" s="63">
        <f t="shared" si="41"/>
        <v>4e-6</v>
      </c>
      <c r="X83" s="64">
        <v>0.001147</v>
      </c>
      <c r="Y83" s="64">
        <v>1.85e-5</v>
      </c>
      <c r="Z83" s="65"/>
      <c r="AA83" s="66"/>
      <c r="AB83" s="65">
        <f t="shared" si="42"/>
        <v>-2.03873598369011</v>
      </c>
      <c r="AC83" s="65">
        <f t="shared" si="43"/>
        <v>0</v>
      </c>
      <c r="AD83" s="65">
        <f t="shared" si="44"/>
        <v>0</v>
      </c>
      <c r="AE83" s="96" t="e">
        <f t="shared" si="38"/>
        <v>#DIV/0!</v>
      </c>
      <c r="AF83" s="96" t="e">
        <f t="shared" si="39"/>
        <v>#DIV/0!</v>
      </c>
      <c r="AG83" s="96" t="e">
        <f t="shared" si="45"/>
        <v>#DIV/0!</v>
      </c>
      <c r="AH83" s="96"/>
      <c r="AI83" s="63">
        <f t="shared" si="46"/>
        <v>0</v>
      </c>
      <c r="AJ83" s="68"/>
      <c r="AK83" s="69" t="e">
        <f t="shared" si="62"/>
        <v>#DIV/0!</v>
      </c>
      <c r="AL83" s="69"/>
      <c r="AM83" s="69"/>
      <c r="AN83" s="69" t="e">
        <f t="shared" si="47"/>
        <v>#DIV/0!</v>
      </c>
      <c r="AO83" s="65">
        <f t="shared" si="63"/>
        <v>0</v>
      </c>
      <c r="AP83" s="68"/>
      <c r="AQ83" s="68"/>
      <c r="AR83" s="68">
        <f t="shared" si="48"/>
        <v>0</v>
      </c>
      <c r="AS83" s="68">
        <f t="shared" si="49"/>
        <v>0</v>
      </c>
      <c r="AT83" s="71" t="e">
        <f t="shared" si="50"/>
        <v>#DIV/0!</v>
      </c>
      <c r="AU83" s="71"/>
      <c r="AV83" s="65"/>
      <c r="AW83" s="65" t="e">
        <f t="shared" si="64"/>
        <v>#DIV/0!</v>
      </c>
      <c r="AX83" s="65"/>
      <c r="AY83" s="65" t="e">
        <f t="shared" si="65"/>
        <v>#DIV/0!</v>
      </c>
      <c r="AZ83" s="69"/>
      <c r="BA83" s="69"/>
      <c r="BB83" s="72" t="e">
        <f t="shared" si="51"/>
        <v>#DIV/0!</v>
      </c>
      <c r="BC83" s="72" t="e">
        <f t="shared" si="52"/>
        <v>#DIV/0!</v>
      </c>
      <c r="BD83" s="72" t="e">
        <f t="shared" si="53"/>
        <v>#DIV/0!</v>
      </c>
      <c r="BE83" s="72">
        <f t="shared" si="54"/>
        <v>0</v>
      </c>
      <c r="BF83" s="1"/>
    </row>
    <row r="84" ht="25" hidden="1" customHeight="1" spans="1:58">
      <c r="A84" s="54">
        <v>119</v>
      </c>
      <c r="B84" s="54" t="s">
        <v>198</v>
      </c>
      <c r="C84" s="55"/>
      <c r="D84" s="55"/>
      <c r="E84" s="55"/>
      <c r="F84" s="55"/>
      <c r="G84" s="56">
        <v>1</v>
      </c>
      <c r="H84" s="57">
        <f t="shared" ref="H84:H93" si="68">0.001/11.95261</f>
        <v>8.36637353682585e-5</v>
      </c>
      <c r="I84" s="57">
        <f t="shared" ref="I84:I93" si="69">1/3000</f>
        <v>0.000333333333333333</v>
      </c>
      <c r="J84" s="58" t="e">
        <f t="shared" si="57"/>
        <v>#DIV/0!</v>
      </c>
      <c r="K84" s="58"/>
      <c r="L84" s="58" t="e">
        <f t="shared" si="58"/>
        <v>#DIV/0!</v>
      </c>
      <c r="M84" s="57" t="e">
        <f t="shared" si="59"/>
        <v>#DIV/0!</v>
      </c>
      <c r="N84" s="57" t="e">
        <f t="shared" si="60"/>
        <v>#DIV/0!</v>
      </c>
      <c r="O84" s="57" t="e">
        <f t="shared" si="61"/>
        <v>#DIV/0!</v>
      </c>
      <c r="P84" s="59">
        <v>0.0302</v>
      </c>
      <c r="Q84" s="60">
        <f t="shared" si="40"/>
        <v>0.0302</v>
      </c>
      <c r="R84" s="61">
        <v>1000</v>
      </c>
      <c r="S84" s="59">
        <v>1.1616</v>
      </c>
      <c r="T84" s="59">
        <v>9.801</v>
      </c>
      <c r="U84" s="62">
        <v>4e-6</v>
      </c>
      <c r="V84" s="63"/>
      <c r="W84" s="63">
        <f t="shared" si="41"/>
        <v>4e-6</v>
      </c>
      <c r="X84" s="64">
        <v>0.001147</v>
      </c>
      <c r="Y84" s="64">
        <v>1.85e-5</v>
      </c>
      <c r="Z84" s="65"/>
      <c r="AA84" s="66"/>
      <c r="AB84" s="65">
        <f t="shared" si="42"/>
        <v>-2.03873598369011</v>
      </c>
      <c r="AC84" s="65">
        <f t="shared" si="43"/>
        <v>0</v>
      </c>
      <c r="AD84" s="65">
        <f t="shared" si="44"/>
        <v>0</v>
      </c>
      <c r="AE84" s="96" t="e">
        <f t="shared" si="38"/>
        <v>#DIV/0!</v>
      </c>
      <c r="AF84" s="96" t="e">
        <f t="shared" si="39"/>
        <v>#DIV/0!</v>
      </c>
      <c r="AG84" s="96" t="e">
        <f t="shared" si="45"/>
        <v>#DIV/0!</v>
      </c>
      <c r="AH84" s="96"/>
      <c r="AI84" s="63">
        <f t="shared" si="46"/>
        <v>0</v>
      </c>
      <c r="AJ84" s="68"/>
      <c r="AK84" s="69" t="e">
        <f t="shared" si="62"/>
        <v>#DIV/0!</v>
      </c>
      <c r="AL84" s="69"/>
      <c r="AM84" s="69"/>
      <c r="AN84" s="69" t="e">
        <f t="shared" si="47"/>
        <v>#DIV/0!</v>
      </c>
      <c r="AO84" s="65">
        <f t="shared" si="63"/>
        <v>0</v>
      </c>
      <c r="AP84" s="68"/>
      <c r="AQ84" s="68"/>
      <c r="AR84" s="68">
        <f t="shared" si="48"/>
        <v>0</v>
      </c>
      <c r="AS84" s="68">
        <f t="shared" si="49"/>
        <v>0</v>
      </c>
      <c r="AT84" s="71" t="e">
        <f t="shared" si="50"/>
        <v>#DIV/0!</v>
      </c>
      <c r="AU84" s="71"/>
      <c r="AV84" s="65"/>
      <c r="AW84" s="65" t="e">
        <f t="shared" si="64"/>
        <v>#DIV/0!</v>
      </c>
      <c r="AX84" s="65"/>
      <c r="AY84" s="65" t="e">
        <f t="shared" si="65"/>
        <v>#DIV/0!</v>
      </c>
      <c r="AZ84" s="69"/>
      <c r="BA84" s="69"/>
      <c r="BB84" s="72" t="e">
        <f t="shared" si="51"/>
        <v>#DIV/0!</v>
      </c>
      <c r="BC84" s="72" t="e">
        <f t="shared" si="52"/>
        <v>#DIV/0!</v>
      </c>
      <c r="BD84" s="72" t="e">
        <f t="shared" si="53"/>
        <v>#DIV/0!</v>
      </c>
      <c r="BE84" s="72">
        <f t="shared" si="54"/>
        <v>0</v>
      </c>
      <c r="BF84" s="1"/>
    </row>
    <row r="85" ht="25" hidden="1" customHeight="1" spans="1:58">
      <c r="A85" s="54">
        <v>120</v>
      </c>
      <c r="B85" s="54" t="s">
        <v>198</v>
      </c>
      <c r="C85" s="55"/>
      <c r="D85" s="55"/>
      <c r="E85" s="55"/>
      <c r="F85" s="55"/>
      <c r="G85" s="56">
        <v>1</v>
      </c>
      <c r="H85" s="57">
        <f t="shared" si="68"/>
        <v>8.36637353682585e-5</v>
      </c>
      <c r="I85" s="57">
        <f t="shared" si="69"/>
        <v>0.000333333333333333</v>
      </c>
      <c r="J85" s="58" t="e">
        <f t="shared" si="57"/>
        <v>#DIV/0!</v>
      </c>
      <c r="K85" s="58"/>
      <c r="L85" s="58" t="e">
        <f t="shared" si="58"/>
        <v>#DIV/0!</v>
      </c>
      <c r="M85" s="57" t="e">
        <f t="shared" si="59"/>
        <v>#DIV/0!</v>
      </c>
      <c r="N85" s="57" t="e">
        <f t="shared" si="60"/>
        <v>#DIV/0!</v>
      </c>
      <c r="O85" s="57" t="e">
        <f t="shared" si="61"/>
        <v>#DIV/0!</v>
      </c>
      <c r="P85" s="59">
        <v>0.0302</v>
      </c>
      <c r="Q85" s="60">
        <f t="shared" si="40"/>
        <v>0.0302</v>
      </c>
      <c r="R85" s="61">
        <v>1000</v>
      </c>
      <c r="S85" s="59">
        <v>1.1616</v>
      </c>
      <c r="T85" s="59">
        <v>9.801</v>
      </c>
      <c r="U85" s="62">
        <v>4e-6</v>
      </c>
      <c r="V85" s="63"/>
      <c r="W85" s="63">
        <f t="shared" si="41"/>
        <v>4e-6</v>
      </c>
      <c r="X85" s="64">
        <v>0.001147</v>
      </c>
      <c r="Y85" s="64">
        <v>1.85e-5</v>
      </c>
      <c r="Z85" s="65"/>
      <c r="AA85" s="66"/>
      <c r="AB85" s="65">
        <f t="shared" si="42"/>
        <v>-2.03873598369011</v>
      </c>
      <c r="AC85" s="65">
        <f t="shared" si="43"/>
        <v>0</v>
      </c>
      <c r="AD85" s="65">
        <f t="shared" si="44"/>
        <v>0</v>
      </c>
      <c r="AE85" s="96" t="e">
        <f t="shared" si="38"/>
        <v>#DIV/0!</v>
      </c>
      <c r="AF85" s="96" t="e">
        <f t="shared" si="39"/>
        <v>#DIV/0!</v>
      </c>
      <c r="AG85" s="96" t="e">
        <f t="shared" si="45"/>
        <v>#DIV/0!</v>
      </c>
      <c r="AH85" s="96"/>
      <c r="AI85" s="63">
        <f t="shared" si="46"/>
        <v>0</v>
      </c>
      <c r="AJ85" s="68"/>
      <c r="AK85" s="69" t="e">
        <f t="shared" si="62"/>
        <v>#DIV/0!</v>
      </c>
      <c r="AL85" s="69"/>
      <c r="AM85" s="69"/>
      <c r="AN85" s="69" t="e">
        <f t="shared" si="47"/>
        <v>#DIV/0!</v>
      </c>
      <c r="AO85" s="65">
        <f t="shared" si="63"/>
        <v>0</v>
      </c>
      <c r="AP85" s="68"/>
      <c r="AQ85" s="68"/>
      <c r="AR85" s="68">
        <f t="shared" si="48"/>
        <v>0</v>
      </c>
      <c r="AS85" s="68">
        <f t="shared" si="49"/>
        <v>0</v>
      </c>
      <c r="AT85" s="71" t="e">
        <f t="shared" si="50"/>
        <v>#DIV/0!</v>
      </c>
      <c r="AU85" s="71"/>
      <c r="AV85" s="65"/>
      <c r="AW85" s="65" t="e">
        <f t="shared" si="64"/>
        <v>#DIV/0!</v>
      </c>
      <c r="AX85" s="65"/>
      <c r="AY85" s="65" t="e">
        <f t="shared" si="65"/>
        <v>#DIV/0!</v>
      </c>
      <c r="AZ85" s="69"/>
      <c r="BA85" s="69"/>
      <c r="BB85" s="72" t="e">
        <f t="shared" si="51"/>
        <v>#DIV/0!</v>
      </c>
      <c r="BC85" s="72" t="e">
        <f t="shared" si="52"/>
        <v>#DIV/0!</v>
      </c>
      <c r="BD85" s="72" t="e">
        <f t="shared" si="53"/>
        <v>#DIV/0!</v>
      </c>
      <c r="BE85" s="72">
        <f t="shared" si="54"/>
        <v>0</v>
      </c>
      <c r="BF85" s="1"/>
    </row>
    <row r="86" ht="25" hidden="1" customHeight="1" spans="1:58">
      <c r="A86" s="54">
        <v>121</v>
      </c>
      <c r="B86" s="54" t="s">
        <v>198</v>
      </c>
      <c r="C86" s="55"/>
      <c r="D86" s="55"/>
      <c r="E86" s="55"/>
      <c r="F86" s="55"/>
      <c r="G86" s="56">
        <v>1</v>
      </c>
      <c r="H86" s="57">
        <f t="shared" si="68"/>
        <v>8.36637353682585e-5</v>
      </c>
      <c r="I86" s="57">
        <f t="shared" si="69"/>
        <v>0.000333333333333333</v>
      </c>
      <c r="J86" s="58" t="e">
        <f t="shared" si="57"/>
        <v>#DIV/0!</v>
      </c>
      <c r="K86" s="58"/>
      <c r="L86" s="58" t="e">
        <f t="shared" si="58"/>
        <v>#DIV/0!</v>
      </c>
      <c r="M86" s="57" t="e">
        <f t="shared" si="59"/>
        <v>#DIV/0!</v>
      </c>
      <c r="N86" s="57" t="e">
        <f t="shared" si="60"/>
        <v>#DIV/0!</v>
      </c>
      <c r="O86" s="57" t="e">
        <f t="shared" si="61"/>
        <v>#DIV/0!</v>
      </c>
      <c r="P86" s="59">
        <v>0.0302</v>
      </c>
      <c r="Q86" s="60">
        <f t="shared" si="40"/>
        <v>0.0302</v>
      </c>
      <c r="R86" s="61">
        <v>1000</v>
      </c>
      <c r="S86" s="59">
        <v>1.1616</v>
      </c>
      <c r="T86" s="59">
        <v>9.801</v>
      </c>
      <c r="U86" s="62">
        <v>4e-6</v>
      </c>
      <c r="V86" s="63"/>
      <c r="W86" s="63">
        <f t="shared" si="41"/>
        <v>4e-6</v>
      </c>
      <c r="X86" s="64">
        <v>0.001147</v>
      </c>
      <c r="Y86" s="64">
        <v>1.85e-5</v>
      </c>
      <c r="Z86" s="65"/>
      <c r="AA86" s="66"/>
      <c r="AB86" s="65">
        <f t="shared" si="42"/>
        <v>-2.03873598369011</v>
      </c>
      <c r="AC86" s="65">
        <f t="shared" si="43"/>
        <v>0</v>
      </c>
      <c r="AD86" s="65">
        <f t="shared" si="44"/>
        <v>0</v>
      </c>
      <c r="AE86" s="96" t="e">
        <f t="shared" si="38"/>
        <v>#DIV/0!</v>
      </c>
      <c r="AF86" s="96" t="e">
        <f t="shared" si="39"/>
        <v>#DIV/0!</v>
      </c>
      <c r="AG86" s="96" t="e">
        <f t="shared" si="45"/>
        <v>#DIV/0!</v>
      </c>
      <c r="AH86" s="96"/>
      <c r="AI86" s="63">
        <f t="shared" si="46"/>
        <v>0</v>
      </c>
      <c r="AJ86" s="68"/>
      <c r="AK86" s="69" t="e">
        <f t="shared" si="62"/>
        <v>#DIV/0!</v>
      </c>
      <c r="AL86" s="69"/>
      <c r="AM86" s="69"/>
      <c r="AN86" s="69" t="e">
        <f t="shared" si="47"/>
        <v>#DIV/0!</v>
      </c>
      <c r="AO86" s="65">
        <f t="shared" si="63"/>
        <v>0</v>
      </c>
      <c r="AP86" s="68"/>
      <c r="AQ86" s="68"/>
      <c r="AR86" s="68">
        <f t="shared" si="48"/>
        <v>0</v>
      </c>
      <c r="AS86" s="68">
        <f t="shared" si="49"/>
        <v>0</v>
      </c>
      <c r="AT86" s="71" t="e">
        <f t="shared" si="50"/>
        <v>#DIV/0!</v>
      </c>
      <c r="AU86" s="71"/>
      <c r="AV86" s="65"/>
      <c r="AW86" s="65" t="e">
        <f t="shared" si="64"/>
        <v>#DIV/0!</v>
      </c>
      <c r="AX86" s="65"/>
      <c r="AY86" s="65" t="e">
        <f t="shared" si="65"/>
        <v>#DIV/0!</v>
      </c>
      <c r="AZ86" s="69"/>
      <c r="BA86" s="69"/>
      <c r="BB86" s="72" t="e">
        <f t="shared" si="51"/>
        <v>#DIV/0!</v>
      </c>
      <c r="BC86" s="72" t="e">
        <f t="shared" si="52"/>
        <v>#DIV/0!</v>
      </c>
      <c r="BD86" s="72" t="e">
        <f t="shared" si="53"/>
        <v>#DIV/0!</v>
      </c>
      <c r="BE86" s="72">
        <f t="shared" si="54"/>
        <v>0</v>
      </c>
      <c r="BF86" s="1"/>
    </row>
    <row r="87" ht="25" hidden="1" customHeight="1" spans="1:58">
      <c r="A87" s="54">
        <v>122</v>
      </c>
      <c r="B87" s="54" t="s">
        <v>198</v>
      </c>
      <c r="C87" s="55"/>
      <c r="D87" s="55"/>
      <c r="E87" s="55"/>
      <c r="F87" s="55"/>
      <c r="G87" s="56">
        <v>1</v>
      </c>
      <c r="H87" s="57">
        <f t="shared" si="68"/>
        <v>8.36637353682585e-5</v>
      </c>
      <c r="I87" s="57">
        <f t="shared" si="69"/>
        <v>0.000333333333333333</v>
      </c>
      <c r="J87" s="58" t="e">
        <f t="shared" si="57"/>
        <v>#DIV/0!</v>
      </c>
      <c r="K87" s="58"/>
      <c r="L87" s="58" t="e">
        <f t="shared" si="58"/>
        <v>#DIV/0!</v>
      </c>
      <c r="M87" s="57" t="e">
        <f t="shared" si="59"/>
        <v>#DIV/0!</v>
      </c>
      <c r="N87" s="57" t="e">
        <f t="shared" si="60"/>
        <v>#DIV/0!</v>
      </c>
      <c r="O87" s="57" t="e">
        <f t="shared" si="61"/>
        <v>#DIV/0!</v>
      </c>
      <c r="P87" s="59">
        <v>0.0302</v>
      </c>
      <c r="Q87" s="60">
        <f t="shared" si="40"/>
        <v>0.0302</v>
      </c>
      <c r="R87" s="61">
        <v>1000</v>
      </c>
      <c r="S87" s="59">
        <v>1.1616</v>
      </c>
      <c r="T87" s="59">
        <v>9.801</v>
      </c>
      <c r="U87" s="62">
        <v>4e-6</v>
      </c>
      <c r="V87" s="63"/>
      <c r="W87" s="63">
        <f t="shared" si="41"/>
        <v>4e-6</v>
      </c>
      <c r="X87" s="64">
        <v>0.001147</v>
      </c>
      <c r="Y87" s="64">
        <v>1.85e-5</v>
      </c>
      <c r="Z87" s="65"/>
      <c r="AA87" s="66"/>
      <c r="AB87" s="65">
        <f t="shared" si="42"/>
        <v>-2.03873598369011</v>
      </c>
      <c r="AC87" s="65">
        <f t="shared" si="43"/>
        <v>0</v>
      </c>
      <c r="AD87" s="65">
        <f t="shared" si="44"/>
        <v>0</v>
      </c>
      <c r="AE87" s="96" t="e">
        <f t="shared" si="38"/>
        <v>#DIV/0!</v>
      </c>
      <c r="AF87" s="96" t="e">
        <f t="shared" si="39"/>
        <v>#DIV/0!</v>
      </c>
      <c r="AG87" s="96" t="e">
        <f t="shared" si="45"/>
        <v>#DIV/0!</v>
      </c>
      <c r="AH87" s="96"/>
      <c r="AI87" s="63">
        <f t="shared" si="46"/>
        <v>0</v>
      </c>
      <c r="AJ87" s="68"/>
      <c r="AK87" s="69" t="e">
        <f t="shared" si="62"/>
        <v>#DIV/0!</v>
      </c>
      <c r="AL87" s="69"/>
      <c r="AM87" s="69"/>
      <c r="AN87" s="69" t="e">
        <f t="shared" si="47"/>
        <v>#DIV/0!</v>
      </c>
      <c r="AO87" s="65">
        <f t="shared" si="63"/>
        <v>0</v>
      </c>
      <c r="AP87" s="68"/>
      <c r="AQ87" s="68"/>
      <c r="AR87" s="68">
        <f t="shared" si="48"/>
        <v>0</v>
      </c>
      <c r="AS87" s="68">
        <f t="shared" si="49"/>
        <v>0</v>
      </c>
      <c r="AT87" s="71" t="e">
        <f t="shared" si="50"/>
        <v>#DIV/0!</v>
      </c>
      <c r="AU87" s="71"/>
      <c r="AV87" s="65"/>
      <c r="AW87" s="65" t="e">
        <f t="shared" si="64"/>
        <v>#DIV/0!</v>
      </c>
      <c r="AX87" s="65"/>
      <c r="AY87" s="65" t="e">
        <f t="shared" si="65"/>
        <v>#DIV/0!</v>
      </c>
      <c r="AZ87" s="69"/>
      <c r="BA87" s="69"/>
      <c r="BB87" s="72" t="e">
        <f t="shared" si="51"/>
        <v>#DIV/0!</v>
      </c>
      <c r="BC87" s="72" t="e">
        <f t="shared" si="52"/>
        <v>#DIV/0!</v>
      </c>
      <c r="BD87" s="72" t="e">
        <f t="shared" si="53"/>
        <v>#DIV/0!</v>
      </c>
      <c r="BE87" s="72">
        <f t="shared" si="54"/>
        <v>0</v>
      </c>
      <c r="BF87" s="1"/>
    </row>
    <row r="88" ht="25" hidden="1" customHeight="1" spans="1:58">
      <c r="A88" s="54">
        <v>123</v>
      </c>
      <c r="B88" s="54" t="s">
        <v>198</v>
      </c>
      <c r="C88" s="55"/>
      <c r="D88" s="55"/>
      <c r="E88" s="55"/>
      <c r="F88" s="55"/>
      <c r="G88" s="56">
        <v>1</v>
      </c>
      <c r="H88" s="57">
        <f t="shared" si="68"/>
        <v>8.36637353682585e-5</v>
      </c>
      <c r="I88" s="57">
        <f t="shared" si="69"/>
        <v>0.000333333333333333</v>
      </c>
      <c r="J88" s="58" t="e">
        <f t="shared" si="57"/>
        <v>#DIV/0!</v>
      </c>
      <c r="K88" s="58"/>
      <c r="L88" s="58" t="e">
        <f t="shared" si="58"/>
        <v>#DIV/0!</v>
      </c>
      <c r="M88" s="57" t="e">
        <f t="shared" si="59"/>
        <v>#DIV/0!</v>
      </c>
      <c r="N88" s="57" t="e">
        <f t="shared" si="60"/>
        <v>#DIV/0!</v>
      </c>
      <c r="O88" s="57" t="e">
        <f t="shared" si="61"/>
        <v>#DIV/0!</v>
      </c>
      <c r="P88" s="59">
        <v>0.0302</v>
      </c>
      <c r="Q88" s="60">
        <f t="shared" si="40"/>
        <v>0.0302</v>
      </c>
      <c r="R88" s="61">
        <v>1000</v>
      </c>
      <c r="S88" s="59">
        <v>1.1616</v>
      </c>
      <c r="T88" s="59">
        <v>9.801</v>
      </c>
      <c r="U88" s="62">
        <v>4e-6</v>
      </c>
      <c r="V88" s="63"/>
      <c r="W88" s="63">
        <f t="shared" si="41"/>
        <v>4e-6</v>
      </c>
      <c r="X88" s="64">
        <v>0.001147</v>
      </c>
      <c r="Y88" s="64">
        <v>1.85e-5</v>
      </c>
      <c r="Z88" s="65"/>
      <c r="AA88" s="66"/>
      <c r="AB88" s="65">
        <f t="shared" si="42"/>
        <v>-2.03873598369011</v>
      </c>
      <c r="AC88" s="65">
        <f t="shared" si="43"/>
        <v>0</v>
      </c>
      <c r="AD88" s="65">
        <f t="shared" si="44"/>
        <v>0</v>
      </c>
      <c r="AE88" s="96" t="e">
        <f t="shared" si="38"/>
        <v>#DIV/0!</v>
      </c>
      <c r="AF88" s="96" t="e">
        <f t="shared" si="39"/>
        <v>#DIV/0!</v>
      </c>
      <c r="AG88" s="96" t="e">
        <f t="shared" si="45"/>
        <v>#DIV/0!</v>
      </c>
      <c r="AH88" s="96"/>
      <c r="AI88" s="63">
        <f t="shared" si="46"/>
        <v>0</v>
      </c>
      <c r="AJ88" s="68"/>
      <c r="AK88" s="69" t="e">
        <f t="shared" si="62"/>
        <v>#DIV/0!</v>
      </c>
      <c r="AL88" s="69"/>
      <c r="AM88" s="69"/>
      <c r="AN88" s="69" t="e">
        <f t="shared" si="47"/>
        <v>#DIV/0!</v>
      </c>
      <c r="AO88" s="65">
        <f t="shared" si="63"/>
        <v>0</v>
      </c>
      <c r="AP88" s="68"/>
      <c r="AQ88" s="68"/>
      <c r="AR88" s="68">
        <f t="shared" si="48"/>
        <v>0</v>
      </c>
      <c r="AS88" s="68">
        <f t="shared" si="49"/>
        <v>0</v>
      </c>
      <c r="AT88" s="71" t="e">
        <f t="shared" si="50"/>
        <v>#DIV/0!</v>
      </c>
      <c r="AU88" s="71"/>
      <c r="AV88" s="65"/>
      <c r="AW88" s="65" t="e">
        <f t="shared" si="64"/>
        <v>#DIV/0!</v>
      </c>
      <c r="AX88" s="65"/>
      <c r="AY88" s="65" t="e">
        <f t="shared" si="65"/>
        <v>#DIV/0!</v>
      </c>
      <c r="AZ88" s="69"/>
      <c r="BA88" s="69"/>
      <c r="BB88" s="72" t="e">
        <f t="shared" si="51"/>
        <v>#DIV/0!</v>
      </c>
      <c r="BC88" s="72" t="e">
        <f t="shared" si="52"/>
        <v>#DIV/0!</v>
      </c>
      <c r="BD88" s="72" t="e">
        <f t="shared" si="53"/>
        <v>#DIV/0!</v>
      </c>
      <c r="BE88" s="72">
        <f t="shared" si="54"/>
        <v>0</v>
      </c>
      <c r="BF88" s="1"/>
    </row>
    <row r="89" ht="25" hidden="1" customHeight="1" spans="1:58">
      <c r="A89" s="54">
        <v>124</v>
      </c>
      <c r="B89" s="54" t="s">
        <v>198</v>
      </c>
      <c r="C89" s="55"/>
      <c r="D89" s="55"/>
      <c r="E89" s="55"/>
      <c r="F89" s="55"/>
      <c r="G89" s="56">
        <v>1</v>
      </c>
      <c r="H89" s="57">
        <f t="shared" si="68"/>
        <v>8.36637353682585e-5</v>
      </c>
      <c r="I89" s="57">
        <f t="shared" si="69"/>
        <v>0.000333333333333333</v>
      </c>
      <c r="J89" s="58" t="e">
        <f t="shared" si="57"/>
        <v>#DIV/0!</v>
      </c>
      <c r="K89" s="58"/>
      <c r="L89" s="58" t="e">
        <f t="shared" si="58"/>
        <v>#DIV/0!</v>
      </c>
      <c r="M89" s="57" t="e">
        <f t="shared" si="59"/>
        <v>#DIV/0!</v>
      </c>
      <c r="N89" s="57" t="e">
        <f t="shared" si="60"/>
        <v>#DIV/0!</v>
      </c>
      <c r="O89" s="57" t="e">
        <f t="shared" si="61"/>
        <v>#DIV/0!</v>
      </c>
      <c r="P89" s="59">
        <v>0.0302</v>
      </c>
      <c r="Q89" s="60">
        <f t="shared" si="40"/>
        <v>0.0302</v>
      </c>
      <c r="R89" s="61">
        <v>1000</v>
      </c>
      <c r="S89" s="59">
        <v>1.1616</v>
      </c>
      <c r="T89" s="59">
        <v>9.801</v>
      </c>
      <c r="U89" s="62">
        <v>4e-6</v>
      </c>
      <c r="V89" s="63"/>
      <c r="W89" s="63">
        <f t="shared" si="41"/>
        <v>4e-6</v>
      </c>
      <c r="X89" s="64">
        <v>0.001147</v>
      </c>
      <c r="Y89" s="64">
        <v>1.85e-5</v>
      </c>
      <c r="Z89" s="65"/>
      <c r="AA89" s="66"/>
      <c r="AB89" s="65">
        <f t="shared" si="42"/>
        <v>-2.03873598369011</v>
      </c>
      <c r="AC89" s="65">
        <f t="shared" si="43"/>
        <v>0</v>
      </c>
      <c r="AD89" s="65">
        <f t="shared" si="44"/>
        <v>0</v>
      </c>
      <c r="AE89" s="96" t="e">
        <f t="shared" si="38"/>
        <v>#DIV/0!</v>
      </c>
      <c r="AF89" s="96" t="e">
        <f t="shared" si="39"/>
        <v>#DIV/0!</v>
      </c>
      <c r="AG89" s="96" t="e">
        <f t="shared" si="45"/>
        <v>#DIV/0!</v>
      </c>
      <c r="AH89" s="96"/>
      <c r="AI89" s="63">
        <f t="shared" si="46"/>
        <v>0</v>
      </c>
      <c r="AJ89" s="68"/>
      <c r="AK89" s="69" t="e">
        <f t="shared" si="62"/>
        <v>#DIV/0!</v>
      </c>
      <c r="AL89" s="69"/>
      <c r="AM89" s="69"/>
      <c r="AN89" s="69" t="e">
        <f t="shared" si="47"/>
        <v>#DIV/0!</v>
      </c>
      <c r="AO89" s="65">
        <f t="shared" si="63"/>
        <v>0</v>
      </c>
      <c r="AP89" s="68"/>
      <c r="AQ89" s="68"/>
      <c r="AR89" s="68">
        <f t="shared" si="48"/>
        <v>0</v>
      </c>
      <c r="AS89" s="68">
        <f t="shared" si="49"/>
        <v>0</v>
      </c>
      <c r="AT89" s="71" t="e">
        <f t="shared" si="50"/>
        <v>#DIV/0!</v>
      </c>
      <c r="AU89" s="71"/>
      <c r="AV89" s="65"/>
      <c r="AW89" s="65" t="e">
        <f t="shared" si="64"/>
        <v>#DIV/0!</v>
      </c>
      <c r="AX89" s="65"/>
      <c r="AY89" s="65" t="e">
        <f t="shared" si="65"/>
        <v>#DIV/0!</v>
      </c>
      <c r="AZ89" s="69"/>
      <c r="BA89" s="69"/>
      <c r="BB89" s="72" t="e">
        <f t="shared" si="51"/>
        <v>#DIV/0!</v>
      </c>
      <c r="BC89" s="72" t="e">
        <f t="shared" si="52"/>
        <v>#DIV/0!</v>
      </c>
      <c r="BD89" s="72" t="e">
        <f t="shared" si="53"/>
        <v>#DIV/0!</v>
      </c>
      <c r="BE89" s="72">
        <f t="shared" si="54"/>
        <v>0</v>
      </c>
      <c r="BF89" s="1"/>
    </row>
    <row r="90" ht="25" hidden="1" customHeight="1" spans="1:58">
      <c r="A90" s="54">
        <v>125</v>
      </c>
      <c r="B90" s="54" t="s">
        <v>198</v>
      </c>
      <c r="C90" s="55"/>
      <c r="D90" s="55"/>
      <c r="E90" s="55"/>
      <c r="F90" s="55"/>
      <c r="G90" s="56">
        <v>1</v>
      </c>
      <c r="H90" s="57">
        <f t="shared" si="68"/>
        <v>8.36637353682585e-5</v>
      </c>
      <c r="I90" s="57">
        <f t="shared" si="69"/>
        <v>0.000333333333333333</v>
      </c>
      <c r="J90" s="58" t="e">
        <f t="shared" si="57"/>
        <v>#DIV/0!</v>
      </c>
      <c r="K90" s="58"/>
      <c r="L90" s="58" t="e">
        <f t="shared" si="58"/>
        <v>#DIV/0!</v>
      </c>
      <c r="M90" s="57" t="e">
        <f t="shared" si="59"/>
        <v>#DIV/0!</v>
      </c>
      <c r="N90" s="57" t="e">
        <f t="shared" si="60"/>
        <v>#DIV/0!</v>
      </c>
      <c r="O90" s="57" t="e">
        <f t="shared" si="61"/>
        <v>#DIV/0!</v>
      </c>
      <c r="P90" s="59">
        <v>0.0302</v>
      </c>
      <c r="Q90" s="60">
        <f t="shared" si="40"/>
        <v>0.0302</v>
      </c>
      <c r="R90" s="61">
        <v>1000</v>
      </c>
      <c r="S90" s="59">
        <v>1.1616</v>
      </c>
      <c r="T90" s="59">
        <v>9.801</v>
      </c>
      <c r="U90" s="62">
        <v>4e-6</v>
      </c>
      <c r="V90" s="63"/>
      <c r="W90" s="63">
        <f t="shared" si="41"/>
        <v>4e-6</v>
      </c>
      <c r="X90" s="64">
        <v>0.001147</v>
      </c>
      <c r="Y90" s="64">
        <v>1.85e-5</v>
      </c>
      <c r="Z90" s="65"/>
      <c r="AA90" s="66"/>
      <c r="AB90" s="65">
        <f t="shared" si="42"/>
        <v>-2.03873598369011</v>
      </c>
      <c r="AC90" s="65">
        <f t="shared" si="43"/>
        <v>0</v>
      </c>
      <c r="AD90" s="65">
        <f t="shared" si="44"/>
        <v>0</v>
      </c>
      <c r="AE90" s="96" t="e">
        <f t="shared" si="38"/>
        <v>#DIV/0!</v>
      </c>
      <c r="AF90" s="96" t="e">
        <f t="shared" si="39"/>
        <v>#DIV/0!</v>
      </c>
      <c r="AG90" s="96" t="e">
        <f t="shared" si="45"/>
        <v>#DIV/0!</v>
      </c>
      <c r="AH90" s="96"/>
      <c r="AI90" s="63">
        <f t="shared" si="46"/>
        <v>0</v>
      </c>
      <c r="AJ90" s="68"/>
      <c r="AK90" s="69" t="e">
        <f t="shared" si="62"/>
        <v>#DIV/0!</v>
      </c>
      <c r="AL90" s="69"/>
      <c r="AM90" s="69"/>
      <c r="AN90" s="69" t="e">
        <f t="shared" si="47"/>
        <v>#DIV/0!</v>
      </c>
      <c r="AO90" s="65">
        <f t="shared" si="63"/>
        <v>0</v>
      </c>
      <c r="AP90" s="68"/>
      <c r="AQ90" s="68"/>
      <c r="AR90" s="68">
        <f t="shared" si="48"/>
        <v>0</v>
      </c>
      <c r="AS90" s="68">
        <f t="shared" si="49"/>
        <v>0</v>
      </c>
      <c r="AT90" s="71" t="e">
        <f t="shared" si="50"/>
        <v>#DIV/0!</v>
      </c>
      <c r="AU90" s="71"/>
      <c r="AV90" s="65"/>
      <c r="AW90" s="65" t="e">
        <f t="shared" si="64"/>
        <v>#DIV/0!</v>
      </c>
      <c r="AX90" s="65"/>
      <c r="AY90" s="65" t="e">
        <f t="shared" si="65"/>
        <v>#DIV/0!</v>
      </c>
      <c r="AZ90" s="69"/>
      <c r="BA90" s="69"/>
      <c r="BB90" s="72" t="e">
        <f t="shared" si="51"/>
        <v>#DIV/0!</v>
      </c>
      <c r="BC90" s="72" t="e">
        <f t="shared" si="52"/>
        <v>#DIV/0!</v>
      </c>
      <c r="BD90" s="72" t="e">
        <f t="shared" si="53"/>
        <v>#DIV/0!</v>
      </c>
      <c r="BE90" s="72">
        <f t="shared" si="54"/>
        <v>0</v>
      </c>
      <c r="BF90" s="1"/>
    </row>
    <row r="91" ht="25" hidden="1" customHeight="1" spans="1:58">
      <c r="A91" s="54">
        <v>126</v>
      </c>
      <c r="B91" s="54" t="s">
        <v>198</v>
      </c>
      <c r="C91" s="55"/>
      <c r="D91" s="55"/>
      <c r="E91" s="55"/>
      <c r="F91" s="55"/>
      <c r="G91" s="56">
        <v>1</v>
      </c>
      <c r="H91" s="57">
        <f t="shared" si="68"/>
        <v>8.36637353682585e-5</v>
      </c>
      <c r="I91" s="57">
        <f t="shared" si="69"/>
        <v>0.000333333333333333</v>
      </c>
      <c r="J91" s="58" t="e">
        <f t="shared" si="57"/>
        <v>#DIV/0!</v>
      </c>
      <c r="K91" s="58"/>
      <c r="L91" s="58" t="e">
        <f t="shared" si="58"/>
        <v>#DIV/0!</v>
      </c>
      <c r="M91" s="57" t="e">
        <f t="shared" si="59"/>
        <v>#DIV/0!</v>
      </c>
      <c r="N91" s="57" t="e">
        <f t="shared" si="60"/>
        <v>#DIV/0!</v>
      </c>
      <c r="O91" s="57" t="e">
        <f t="shared" si="61"/>
        <v>#DIV/0!</v>
      </c>
      <c r="P91" s="59">
        <v>0.0302</v>
      </c>
      <c r="Q91" s="60">
        <f t="shared" si="40"/>
        <v>0.0302</v>
      </c>
      <c r="R91" s="61">
        <v>1000</v>
      </c>
      <c r="S91" s="59">
        <v>1.1616</v>
      </c>
      <c r="T91" s="59">
        <v>9.801</v>
      </c>
      <c r="U91" s="62">
        <v>4e-6</v>
      </c>
      <c r="V91" s="63"/>
      <c r="W91" s="63">
        <f t="shared" si="41"/>
        <v>4e-6</v>
      </c>
      <c r="X91" s="64">
        <v>0.001147</v>
      </c>
      <c r="Y91" s="64">
        <v>1.85e-5</v>
      </c>
      <c r="Z91" s="65"/>
      <c r="AA91" s="66"/>
      <c r="AB91" s="65">
        <f t="shared" si="42"/>
        <v>-2.03873598369011</v>
      </c>
      <c r="AC91" s="65">
        <f t="shared" si="43"/>
        <v>0</v>
      </c>
      <c r="AD91" s="65">
        <f t="shared" si="44"/>
        <v>0</v>
      </c>
      <c r="AE91" s="96" t="e">
        <f t="shared" si="38"/>
        <v>#DIV/0!</v>
      </c>
      <c r="AF91" s="96" t="e">
        <f t="shared" si="39"/>
        <v>#DIV/0!</v>
      </c>
      <c r="AG91" s="96" t="e">
        <f t="shared" si="45"/>
        <v>#DIV/0!</v>
      </c>
      <c r="AH91" s="96"/>
      <c r="AI91" s="63">
        <f t="shared" si="46"/>
        <v>0</v>
      </c>
      <c r="AJ91" s="68"/>
      <c r="AK91" s="69" t="e">
        <f t="shared" si="62"/>
        <v>#DIV/0!</v>
      </c>
      <c r="AL91" s="69"/>
      <c r="AM91" s="69"/>
      <c r="AN91" s="69" t="e">
        <f t="shared" si="47"/>
        <v>#DIV/0!</v>
      </c>
      <c r="AO91" s="65">
        <f t="shared" si="63"/>
        <v>0</v>
      </c>
      <c r="AP91" s="68"/>
      <c r="AQ91" s="68"/>
      <c r="AR91" s="68">
        <f t="shared" si="48"/>
        <v>0</v>
      </c>
      <c r="AS91" s="68">
        <f t="shared" si="49"/>
        <v>0</v>
      </c>
      <c r="AT91" s="71" t="e">
        <f t="shared" si="50"/>
        <v>#DIV/0!</v>
      </c>
      <c r="AU91" s="71"/>
      <c r="AV91" s="65"/>
      <c r="AW91" s="65" t="e">
        <f t="shared" si="64"/>
        <v>#DIV/0!</v>
      </c>
      <c r="AX91" s="65"/>
      <c r="AY91" s="65" t="e">
        <f t="shared" si="65"/>
        <v>#DIV/0!</v>
      </c>
      <c r="AZ91" s="69"/>
      <c r="BA91" s="69"/>
      <c r="BB91" s="72" t="e">
        <f t="shared" si="51"/>
        <v>#DIV/0!</v>
      </c>
      <c r="BC91" s="72" t="e">
        <f t="shared" si="52"/>
        <v>#DIV/0!</v>
      </c>
      <c r="BD91" s="72" t="e">
        <f t="shared" si="53"/>
        <v>#DIV/0!</v>
      </c>
      <c r="BE91" s="72">
        <f t="shared" si="54"/>
        <v>0</v>
      </c>
      <c r="BF91" s="1"/>
    </row>
    <row r="92" ht="25" hidden="1" customHeight="1" spans="1:58">
      <c r="A92" s="54">
        <v>127</v>
      </c>
      <c r="B92" s="54" t="s">
        <v>198</v>
      </c>
      <c r="C92" s="55"/>
      <c r="D92" s="55"/>
      <c r="E92" s="55"/>
      <c r="F92" s="55"/>
      <c r="G92" s="56">
        <v>1</v>
      </c>
      <c r="H92" s="57">
        <f t="shared" si="68"/>
        <v>8.36637353682585e-5</v>
      </c>
      <c r="I92" s="57">
        <f t="shared" si="69"/>
        <v>0.000333333333333333</v>
      </c>
      <c r="J92" s="58" t="e">
        <f t="shared" si="57"/>
        <v>#DIV/0!</v>
      </c>
      <c r="K92" s="58"/>
      <c r="L92" s="58" t="e">
        <f t="shared" si="58"/>
        <v>#DIV/0!</v>
      </c>
      <c r="M92" s="57" t="e">
        <f t="shared" si="59"/>
        <v>#DIV/0!</v>
      </c>
      <c r="N92" s="57" t="e">
        <f t="shared" si="60"/>
        <v>#DIV/0!</v>
      </c>
      <c r="O92" s="57" t="e">
        <f t="shared" si="61"/>
        <v>#DIV/0!</v>
      </c>
      <c r="P92" s="59">
        <v>0.0302</v>
      </c>
      <c r="Q92" s="60">
        <f t="shared" si="40"/>
        <v>0.0302</v>
      </c>
      <c r="R92" s="61">
        <v>1000</v>
      </c>
      <c r="S92" s="59">
        <v>1.1616</v>
      </c>
      <c r="T92" s="59">
        <v>9.801</v>
      </c>
      <c r="U92" s="62">
        <v>4e-6</v>
      </c>
      <c r="V92" s="63"/>
      <c r="W92" s="63">
        <f t="shared" si="41"/>
        <v>4e-6</v>
      </c>
      <c r="X92" s="64">
        <v>0.001147</v>
      </c>
      <c r="Y92" s="64">
        <v>1.85e-5</v>
      </c>
      <c r="Z92" s="65"/>
      <c r="AA92" s="66"/>
      <c r="AB92" s="65">
        <f t="shared" si="42"/>
        <v>-2.03873598369011</v>
      </c>
      <c r="AC92" s="65">
        <f t="shared" si="43"/>
        <v>0</v>
      </c>
      <c r="AD92" s="65">
        <f t="shared" si="44"/>
        <v>0</v>
      </c>
      <c r="AE92" s="96" t="e">
        <f t="shared" si="38"/>
        <v>#DIV/0!</v>
      </c>
      <c r="AF92" s="96" t="e">
        <f t="shared" si="39"/>
        <v>#DIV/0!</v>
      </c>
      <c r="AG92" s="96" t="e">
        <f t="shared" si="45"/>
        <v>#DIV/0!</v>
      </c>
      <c r="AH92" s="96"/>
      <c r="AI92" s="63">
        <f t="shared" si="46"/>
        <v>0</v>
      </c>
      <c r="AJ92" s="68"/>
      <c r="AK92" s="69" t="e">
        <f t="shared" si="62"/>
        <v>#DIV/0!</v>
      </c>
      <c r="AL92" s="69"/>
      <c r="AM92" s="69"/>
      <c r="AN92" s="69" t="e">
        <f t="shared" si="47"/>
        <v>#DIV/0!</v>
      </c>
      <c r="AO92" s="65">
        <f t="shared" si="63"/>
        <v>0</v>
      </c>
      <c r="AP92" s="68"/>
      <c r="AQ92" s="68"/>
      <c r="AR92" s="68">
        <f t="shared" si="48"/>
        <v>0</v>
      </c>
      <c r="AS92" s="68">
        <f t="shared" si="49"/>
        <v>0</v>
      </c>
      <c r="AT92" s="71" t="e">
        <f t="shared" si="50"/>
        <v>#DIV/0!</v>
      </c>
      <c r="AU92" s="71"/>
      <c r="AV92" s="65"/>
      <c r="AW92" s="65" t="e">
        <f t="shared" si="64"/>
        <v>#DIV/0!</v>
      </c>
      <c r="AX92" s="65"/>
      <c r="AY92" s="65" t="e">
        <f t="shared" si="65"/>
        <v>#DIV/0!</v>
      </c>
      <c r="AZ92" s="69"/>
      <c r="BA92" s="69"/>
      <c r="BB92" s="72" t="e">
        <f t="shared" si="51"/>
        <v>#DIV/0!</v>
      </c>
      <c r="BC92" s="72" t="e">
        <f t="shared" si="52"/>
        <v>#DIV/0!</v>
      </c>
      <c r="BD92" s="72" t="e">
        <f t="shared" si="53"/>
        <v>#DIV/0!</v>
      </c>
      <c r="BE92" s="72">
        <f t="shared" si="54"/>
        <v>0</v>
      </c>
      <c r="BF92" s="1"/>
    </row>
    <row r="93" ht="25" hidden="1" customHeight="1" spans="1:58">
      <c r="A93" s="54">
        <v>128</v>
      </c>
      <c r="B93" s="54" t="s">
        <v>198</v>
      </c>
      <c r="C93" s="55"/>
      <c r="D93" s="55"/>
      <c r="E93" s="55"/>
      <c r="F93" s="55"/>
      <c r="G93" s="56">
        <v>1</v>
      </c>
      <c r="H93" s="57">
        <f t="shared" si="68"/>
        <v>8.36637353682585e-5</v>
      </c>
      <c r="I93" s="57">
        <f t="shared" si="69"/>
        <v>0.000333333333333333</v>
      </c>
      <c r="J93" s="58" t="e">
        <f t="shared" si="57"/>
        <v>#DIV/0!</v>
      </c>
      <c r="K93" s="58"/>
      <c r="L93" s="58" t="e">
        <f t="shared" si="58"/>
        <v>#DIV/0!</v>
      </c>
      <c r="M93" s="57" t="e">
        <f t="shared" si="59"/>
        <v>#DIV/0!</v>
      </c>
      <c r="N93" s="57" t="e">
        <f t="shared" si="60"/>
        <v>#DIV/0!</v>
      </c>
      <c r="O93" s="57" t="e">
        <f t="shared" si="61"/>
        <v>#DIV/0!</v>
      </c>
      <c r="P93" s="59">
        <v>0.0302</v>
      </c>
      <c r="Q93" s="60">
        <f t="shared" si="40"/>
        <v>0.0302</v>
      </c>
      <c r="R93" s="61">
        <v>1000</v>
      </c>
      <c r="S93" s="59">
        <v>1.1616</v>
      </c>
      <c r="T93" s="59">
        <v>9.801</v>
      </c>
      <c r="U93" s="62">
        <v>4e-6</v>
      </c>
      <c r="V93" s="63"/>
      <c r="W93" s="63">
        <f t="shared" si="41"/>
        <v>4e-6</v>
      </c>
      <c r="X93" s="64">
        <v>0.001147</v>
      </c>
      <c r="Y93" s="64">
        <v>1.85e-5</v>
      </c>
      <c r="Z93" s="65"/>
      <c r="AA93" s="66"/>
      <c r="AB93" s="65">
        <f t="shared" si="42"/>
        <v>-2.03873598369011</v>
      </c>
      <c r="AC93" s="65">
        <f t="shared" si="43"/>
        <v>0</v>
      </c>
      <c r="AD93" s="65">
        <f t="shared" si="44"/>
        <v>0</v>
      </c>
      <c r="AE93" s="96" t="e">
        <f t="shared" si="38"/>
        <v>#DIV/0!</v>
      </c>
      <c r="AF93" s="96" t="e">
        <f t="shared" si="39"/>
        <v>#DIV/0!</v>
      </c>
      <c r="AG93" s="96" t="e">
        <f t="shared" si="45"/>
        <v>#DIV/0!</v>
      </c>
      <c r="AH93" s="96"/>
      <c r="AI93" s="63">
        <f t="shared" si="46"/>
        <v>0</v>
      </c>
      <c r="AJ93" s="68"/>
      <c r="AK93" s="69" t="e">
        <f t="shared" si="62"/>
        <v>#DIV/0!</v>
      </c>
      <c r="AL93" s="69"/>
      <c r="AM93" s="69"/>
      <c r="AN93" s="69" t="e">
        <f t="shared" si="47"/>
        <v>#DIV/0!</v>
      </c>
      <c r="AO93" s="65">
        <f t="shared" si="63"/>
        <v>0</v>
      </c>
      <c r="AP93" s="68"/>
      <c r="AQ93" s="68"/>
      <c r="AR93" s="68">
        <f t="shared" si="48"/>
        <v>0</v>
      </c>
      <c r="AS93" s="68">
        <f t="shared" si="49"/>
        <v>0</v>
      </c>
      <c r="AT93" s="71" t="e">
        <f t="shared" si="50"/>
        <v>#DIV/0!</v>
      </c>
      <c r="AU93" s="71"/>
      <c r="AV93" s="65"/>
      <c r="AW93" s="65" t="e">
        <f t="shared" si="64"/>
        <v>#DIV/0!</v>
      </c>
      <c r="AX93" s="65"/>
      <c r="AY93" s="65" t="e">
        <f t="shared" si="65"/>
        <v>#DIV/0!</v>
      </c>
      <c r="AZ93" s="69"/>
      <c r="BA93" s="69"/>
      <c r="BB93" s="72" t="e">
        <f t="shared" si="51"/>
        <v>#DIV/0!</v>
      </c>
      <c r="BC93" s="72" t="e">
        <f t="shared" si="52"/>
        <v>#DIV/0!</v>
      </c>
      <c r="BD93" s="72" t="e">
        <f t="shared" si="53"/>
        <v>#DIV/0!</v>
      </c>
      <c r="BE93" s="72">
        <f t="shared" si="54"/>
        <v>0</v>
      </c>
      <c r="BF93" s="1"/>
    </row>
    <row r="94" ht="25" hidden="1" customHeight="1" spans="1:58">
      <c r="A94" s="54">
        <v>129</v>
      </c>
      <c r="B94" s="54" t="s">
        <v>198</v>
      </c>
      <c r="C94" s="55"/>
      <c r="D94" s="55"/>
      <c r="E94" s="55"/>
      <c r="F94" s="55"/>
      <c r="G94" s="56">
        <v>1</v>
      </c>
      <c r="H94" s="57">
        <f t="shared" ref="H94:H104" si="70">0.001/11.95261</f>
        <v>8.36637353682585e-5</v>
      </c>
      <c r="I94" s="57">
        <f t="shared" ref="I94:I104" si="71">1/3000</f>
        <v>0.000333333333333333</v>
      </c>
      <c r="J94" s="58" t="e">
        <f t="shared" si="57"/>
        <v>#DIV/0!</v>
      </c>
      <c r="K94" s="58"/>
      <c r="L94" s="58" t="e">
        <f t="shared" si="58"/>
        <v>#DIV/0!</v>
      </c>
      <c r="M94" s="57" t="e">
        <f t="shared" si="59"/>
        <v>#DIV/0!</v>
      </c>
      <c r="N94" s="57" t="e">
        <f t="shared" si="60"/>
        <v>#DIV/0!</v>
      </c>
      <c r="O94" s="57" t="e">
        <f t="shared" si="61"/>
        <v>#DIV/0!</v>
      </c>
      <c r="P94" s="59">
        <v>0.0302</v>
      </c>
      <c r="Q94" s="60">
        <f t="shared" si="40"/>
        <v>0.0302</v>
      </c>
      <c r="R94" s="61">
        <v>1000</v>
      </c>
      <c r="S94" s="59">
        <v>1.1616</v>
      </c>
      <c r="T94" s="59">
        <v>9.801</v>
      </c>
      <c r="U94" s="62">
        <v>4e-6</v>
      </c>
      <c r="V94" s="63"/>
      <c r="W94" s="63">
        <f t="shared" si="41"/>
        <v>4e-6</v>
      </c>
      <c r="X94" s="64">
        <v>0.001147</v>
      </c>
      <c r="Y94" s="64">
        <v>1.85e-5</v>
      </c>
      <c r="Z94" s="65"/>
      <c r="AA94" s="66"/>
      <c r="AB94" s="65">
        <f t="shared" si="42"/>
        <v>-2.03873598369011</v>
      </c>
      <c r="AC94" s="65">
        <f t="shared" si="43"/>
        <v>0</v>
      </c>
      <c r="AD94" s="65">
        <f t="shared" si="44"/>
        <v>0</v>
      </c>
      <c r="AE94" s="96" t="e">
        <f t="shared" si="38"/>
        <v>#DIV/0!</v>
      </c>
      <c r="AF94" s="96" t="e">
        <f t="shared" si="39"/>
        <v>#DIV/0!</v>
      </c>
      <c r="AG94" s="96" t="e">
        <f t="shared" si="45"/>
        <v>#DIV/0!</v>
      </c>
      <c r="AH94" s="96"/>
      <c r="AI94" s="63">
        <f t="shared" si="46"/>
        <v>0</v>
      </c>
      <c r="AJ94" s="68"/>
      <c r="AK94" s="69" t="e">
        <f t="shared" si="62"/>
        <v>#DIV/0!</v>
      </c>
      <c r="AL94" s="69"/>
      <c r="AM94" s="69"/>
      <c r="AN94" s="69" t="e">
        <f t="shared" si="47"/>
        <v>#DIV/0!</v>
      </c>
      <c r="AO94" s="65">
        <f t="shared" si="63"/>
        <v>0</v>
      </c>
      <c r="AP94" s="68"/>
      <c r="AQ94" s="68"/>
      <c r="AR94" s="68">
        <f t="shared" si="48"/>
        <v>0</v>
      </c>
      <c r="AS94" s="68">
        <f t="shared" si="49"/>
        <v>0</v>
      </c>
      <c r="AT94" s="71" t="e">
        <f t="shared" si="50"/>
        <v>#DIV/0!</v>
      </c>
      <c r="AU94" s="71"/>
      <c r="AV94" s="65"/>
      <c r="AW94" s="65" t="e">
        <f t="shared" si="64"/>
        <v>#DIV/0!</v>
      </c>
      <c r="AX94" s="65"/>
      <c r="AY94" s="65" t="e">
        <f t="shared" si="65"/>
        <v>#DIV/0!</v>
      </c>
      <c r="AZ94" s="69"/>
      <c r="BA94" s="69"/>
      <c r="BB94" s="72" t="e">
        <f t="shared" si="51"/>
        <v>#DIV/0!</v>
      </c>
      <c r="BC94" s="72" t="e">
        <f t="shared" si="52"/>
        <v>#DIV/0!</v>
      </c>
      <c r="BD94" s="72" t="e">
        <f t="shared" si="53"/>
        <v>#DIV/0!</v>
      </c>
      <c r="BE94" s="72">
        <f t="shared" si="54"/>
        <v>0</v>
      </c>
      <c r="BF94" s="1"/>
    </row>
    <row r="95" ht="25" hidden="1" customHeight="1" spans="1:58">
      <c r="A95" s="54">
        <v>130</v>
      </c>
      <c r="B95" s="54" t="s">
        <v>198</v>
      </c>
      <c r="C95" s="55"/>
      <c r="D95" s="55"/>
      <c r="E95" s="55"/>
      <c r="F95" s="55"/>
      <c r="G95" s="56">
        <v>1</v>
      </c>
      <c r="H95" s="57">
        <f t="shared" si="70"/>
        <v>8.36637353682585e-5</v>
      </c>
      <c r="I95" s="57">
        <f t="shared" si="71"/>
        <v>0.000333333333333333</v>
      </c>
      <c r="J95" s="58" t="e">
        <f t="shared" si="57"/>
        <v>#DIV/0!</v>
      </c>
      <c r="K95" s="58"/>
      <c r="L95" s="58" t="e">
        <f t="shared" si="58"/>
        <v>#DIV/0!</v>
      </c>
      <c r="M95" s="57" t="e">
        <f t="shared" si="59"/>
        <v>#DIV/0!</v>
      </c>
      <c r="N95" s="57" t="e">
        <f t="shared" si="60"/>
        <v>#DIV/0!</v>
      </c>
      <c r="O95" s="57" t="e">
        <f t="shared" si="61"/>
        <v>#DIV/0!</v>
      </c>
      <c r="P95" s="59">
        <v>0.0302</v>
      </c>
      <c r="Q95" s="60">
        <f t="shared" si="40"/>
        <v>0.0302</v>
      </c>
      <c r="R95" s="61">
        <v>1000</v>
      </c>
      <c r="S95" s="59">
        <v>1.1616</v>
      </c>
      <c r="T95" s="59">
        <v>9.801</v>
      </c>
      <c r="U95" s="62">
        <v>4e-6</v>
      </c>
      <c r="V95" s="63"/>
      <c r="W95" s="63">
        <f t="shared" si="41"/>
        <v>4e-6</v>
      </c>
      <c r="X95" s="64">
        <v>0.001147</v>
      </c>
      <c r="Y95" s="64">
        <v>1.85e-5</v>
      </c>
      <c r="Z95" s="65"/>
      <c r="AA95" s="66"/>
      <c r="AB95" s="65">
        <f t="shared" si="42"/>
        <v>-2.03873598369011</v>
      </c>
      <c r="AC95" s="65">
        <f t="shared" si="43"/>
        <v>0</v>
      </c>
      <c r="AD95" s="65">
        <f t="shared" si="44"/>
        <v>0</v>
      </c>
      <c r="AE95" s="96" t="e">
        <f t="shared" si="38"/>
        <v>#DIV/0!</v>
      </c>
      <c r="AF95" s="96" t="e">
        <f t="shared" si="39"/>
        <v>#DIV/0!</v>
      </c>
      <c r="AG95" s="96" t="e">
        <f t="shared" si="45"/>
        <v>#DIV/0!</v>
      </c>
      <c r="AH95" s="96"/>
      <c r="AI95" s="63">
        <f t="shared" si="46"/>
        <v>0</v>
      </c>
      <c r="AJ95" s="68"/>
      <c r="AK95" s="69" t="e">
        <f t="shared" si="62"/>
        <v>#DIV/0!</v>
      </c>
      <c r="AL95" s="69"/>
      <c r="AM95" s="69"/>
      <c r="AN95" s="69" t="e">
        <f t="shared" si="47"/>
        <v>#DIV/0!</v>
      </c>
      <c r="AO95" s="65">
        <f t="shared" si="63"/>
        <v>0</v>
      </c>
      <c r="AP95" s="68"/>
      <c r="AQ95" s="68"/>
      <c r="AR95" s="68">
        <f t="shared" si="48"/>
        <v>0</v>
      </c>
      <c r="AS95" s="68">
        <f t="shared" si="49"/>
        <v>0</v>
      </c>
      <c r="AT95" s="71" t="e">
        <f t="shared" si="50"/>
        <v>#DIV/0!</v>
      </c>
      <c r="AU95" s="71"/>
      <c r="AV95" s="65"/>
      <c r="AW95" s="65" t="e">
        <f t="shared" si="64"/>
        <v>#DIV/0!</v>
      </c>
      <c r="AX95" s="65"/>
      <c r="AY95" s="65" t="e">
        <f t="shared" si="65"/>
        <v>#DIV/0!</v>
      </c>
      <c r="AZ95" s="69"/>
      <c r="BA95" s="69"/>
      <c r="BB95" s="72" t="e">
        <f t="shared" si="51"/>
        <v>#DIV/0!</v>
      </c>
      <c r="BC95" s="72" t="e">
        <f t="shared" si="52"/>
        <v>#DIV/0!</v>
      </c>
      <c r="BD95" s="72" t="e">
        <f t="shared" si="53"/>
        <v>#DIV/0!</v>
      </c>
      <c r="BE95" s="72">
        <f t="shared" si="54"/>
        <v>0</v>
      </c>
      <c r="BF95" s="1"/>
    </row>
    <row r="96" ht="25" hidden="1" customHeight="1" spans="1:58">
      <c r="A96" s="54">
        <v>131</v>
      </c>
      <c r="B96" s="54" t="s">
        <v>198</v>
      </c>
      <c r="C96" s="55"/>
      <c r="D96" s="55"/>
      <c r="E96" s="55"/>
      <c r="F96" s="55"/>
      <c r="G96" s="56">
        <v>1</v>
      </c>
      <c r="H96" s="57">
        <f t="shared" si="70"/>
        <v>8.36637353682585e-5</v>
      </c>
      <c r="I96" s="57">
        <f t="shared" si="71"/>
        <v>0.000333333333333333</v>
      </c>
      <c r="J96" s="58" t="e">
        <f t="shared" si="57"/>
        <v>#DIV/0!</v>
      </c>
      <c r="K96" s="58"/>
      <c r="L96" s="58" t="e">
        <f t="shared" si="58"/>
        <v>#DIV/0!</v>
      </c>
      <c r="M96" s="57" t="e">
        <f t="shared" si="59"/>
        <v>#DIV/0!</v>
      </c>
      <c r="N96" s="57" t="e">
        <f t="shared" si="60"/>
        <v>#DIV/0!</v>
      </c>
      <c r="O96" s="57" t="e">
        <f t="shared" si="61"/>
        <v>#DIV/0!</v>
      </c>
      <c r="P96" s="59">
        <v>0.0302</v>
      </c>
      <c r="Q96" s="60">
        <f t="shared" si="40"/>
        <v>0.0302</v>
      </c>
      <c r="R96" s="61">
        <v>1000</v>
      </c>
      <c r="S96" s="59">
        <v>1.1616</v>
      </c>
      <c r="T96" s="59">
        <v>9.801</v>
      </c>
      <c r="U96" s="62">
        <v>4e-6</v>
      </c>
      <c r="V96" s="63"/>
      <c r="W96" s="63">
        <f t="shared" si="41"/>
        <v>4e-6</v>
      </c>
      <c r="X96" s="64">
        <v>0.001147</v>
      </c>
      <c r="Y96" s="64">
        <v>1.85e-5</v>
      </c>
      <c r="Z96" s="65"/>
      <c r="AA96" s="66"/>
      <c r="AB96" s="65">
        <f t="shared" si="42"/>
        <v>-2.03873598369011</v>
      </c>
      <c r="AC96" s="65">
        <f t="shared" si="43"/>
        <v>0</v>
      </c>
      <c r="AD96" s="65">
        <f t="shared" si="44"/>
        <v>0</v>
      </c>
      <c r="AE96" s="96" t="e">
        <f t="shared" si="38"/>
        <v>#DIV/0!</v>
      </c>
      <c r="AF96" s="96" t="e">
        <f t="shared" si="39"/>
        <v>#DIV/0!</v>
      </c>
      <c r="AG96" s="96" t="e">
        <f t="shared" si="45"/>
        <v>#DIV/0!</v>
      </c>
      <c r="AH96" s="96"/>
      <c r="AI96" s="63">
        <f t="shared" si="46"/>
        <v>0</v>
      </c>
      <c r="AJ96" s="68"/>
      <c r="AK96" s="69" t="e">
        <f t="shared" si="62"/>
        <v>#DIV/0!</v>
      </c>
      <c r="AL96" s="69"/>
      <c r="AM96" s="69"/>
      <c r="AN96" s="69" t="e">
        <f t="shared" si="47"/>
        <v>#DIV/0!</v>
      </c>
      <c r="AO96" s="65">
        <f t="shared" si="63"/>
        <v>0</v>
      </c>
      <c r="AP96" s="68"/>
      <c r="AQ96" s="68"/>
      <c r="AR96" s="68">
        <f t="shared" si="48"/>
        <v>0</v>
      </c>
      <c r="AS96" s="68">
        <f t="shared" si="49"/>
        <v>0</v>
      </c>
      <c r="AT96" s="71" t="e">
        <f t="shared" si="50"/>
        <v>#DIV/0!</v>
      </c>
      <c r="AU96" s="71"/>
      <c r="AV96" s="65"/>
      <c r="AW96" s="65" t="e">
        <f t="shared" si="64"/>
        <v>#DIV/0!</v>
      </c>
      <c r="AX96" s="65"/>
      <c r="AY96" s="65" t="e">
        <f t="shared" si="65"/>
        <v>#DIV/0!</v>
      </c>
      <c r="AZ96" s="69"/>
      <c r="BA96" s="69"/>
      <c r="BB96" s="72" t="e">
        <f t="shared" si="51"/>
        <v>#DIV/0!</v>
      </c>
      <c r="BC96" s="72" t="e">
        <f t="shared" si="52"/>
        <v>#DIV/0!</v>
      </c>
      <c r="BD96" s="72" t="e">
        <f t="shared" si="53"/>
        <v>#DIV/0!</v>
      </c>
      <c r="BE96" s="72">
        <f t="shared" si="54"/>
        <v>0</v>
      </c>
      <c r="BF96" s="1"/>
    </row>
    <row r="97" ht="25" hidden="1" customHeight="1" spans="1:58">
      <c r="A97" s="54">
        <v>132</v>
      </c>
      <c r="B97" s="54" t="s">
        <v>198</v>
      </c>
      <c r="C97" s="55"/>
      <c r="D97" s="55"/>
      <c r="E97" s="55"/>
      <c r="F97" s="55"/>
      <c r="G97" s="56">
        <v>1</v>
      </c>
      <c r="H97" s="57">
        <f t="shared" si="70"/>
        <v>8.36637353682585e-5</v>
      </c>
      <c r="I97" s="57">
        <f t="shared" si="71"/>
        <v>0.000333333333333333</v>
      </c>
      <c r="J97" s="58" t="e">
        <f t="shared" si="57"/>
        <v>#DIV/0!</v>
      </c>
      <c r="K97" s="58"/>
      <c r="L97" s="58" t="e">
        <f t="shared" si="58"/>
        <v>#DIV/0!</v>
      </c>
      <c r="M97" s="57" t="e">
        <f t="shared" si="59"/>
        <v>#DIV/0!</v>
      </c>
      <c r="N97" s="57" t="e">
        <f t="shared" si="60"/>
        <v>#DIV/0!</v>
      </c>
      <c r="O97" s="57" t="e">
        <f t="shared" si="61"/>
        <v>#DIV/0!</v>
      </c>
      <c r="P97" s="59">
        <v>0.0302</v>
      </c>
      <c r="Q97" s="60">
        <f t="shared" si="40"/>
        <v>0.0302</v>
      </c>
      <c r="R97" s="61">
        <v>1000</v>
      </c>
      <c r="S97" s="59">
        <v>1.1616</v>
      </c>
      <c r="T97" s="59">
        <v>9.801</v>
      </c>
      <c r="U97" s="62">
        <v>4e-6</v>
      </c>
      <c r="V97" s="63"/>
      <c r="W97" s="63">
        <f t="shared" si="41"/>
        <v>4e-6</v>
      </c>
      <c r="X97" s="64">
        <v>0.001147</v>
      </c>
      <c r="Y97" s="64">
        <v>1.85e-5</v>
      </c>
      <c r="Z97" s="65"/>
      <c r="AA97" s="66"/>
      <c r="AB97" s="65">
        <f t="shared" si="42"/>
        <v>-2.03873598369011</v>
      </c>
      <c r="AC97" s="65">
        <f t="shared" si="43"/>
        <v>0</v>
      </c>
      <c r="AD97" s="65">
        <f t="shared" si="44"/>
        <v>0</v>
      </c>
      <c r="AE97" s="96" t="e">
        <f t="shared" si="38"/>
        <v>#DIV/0!</v>
      </c>
      <c r="AF97" s="96" t="e">
        <f t="shared" si="39"/>
        <v>#DIV/0!</v>
      </c>
      <c r="AG97" s="96" t="e">
        <f t="shared" si="45"/>
        <v>#DIV/0!</v>
      </c>
      <c r="AH97" s="96"/>
      <c r="AI97" s="63">
        <f t="shared" si="46"/>
        <v>0</v>
      </c>
      <c r="AJ97" s="68"/>
      <c r="AK97" s="69" t="e">
        <f t="shared" si="62"/>
        <v>#DIV/0!</v>
      </c>
      <c r="AL97" s="69"/>
      <c r="AM97" s="69"/>
      <c r="AN97" s="69" t="e">
        <f t="shared" si="47"/>
        <v>#DIV/0!</v>
      </c>
      <c r="AO97" s="65">
        <f t="shared" si="63"/>
        <v>0</v>
      </c>
      <c r="AP97" s="68"/>
      <c r="AQ97" s="68"/>
      <c r="AR97" s="68">
        <f t="shared" si="48"/>
        <v>0</v>
      </c>
      <c r="AS97" s="68">
        <f t="shared" si="49"/>
        <v>0</v>
      </c>
      <c r="AT97" s="71" t="e">
        <f t="shared" si="50"/>
        <v>#DIV/0!</v>
      </c>
      <c r="AU97" s="71"/>
      <c r="AV97" s="65"/>
      <c r="AW97" s="65" t="e">
        <f t="shared" si="64"/>
        <v>#DIV/0!</v>
      </c>
      <c r="AX97" s="65"/>
      <c r="AY97" s="65" t="e">
        <f t="shared" si="65"/>
        <v>#DIV/0!</v>
      </c>
      <c r="AZ97" s="69"/>
      <c r="BA97" s="69"/>
      <c r="BB97" s="72" t="e">
        <f t="shared" si="51"/>
        <v>#DIV/0!</v>
      </c>
      <c r="BC97" s="72" t="e">
        <f t="shared" si="52"/>
        <v>#DIV/0!</v>
      </c>
      <c r="BD97" s="72" t="e">
        <f t="shared" si="53"/>
        <v>#DIV/0!</v>
      </c>
      <c r="BE97" s="72">
        <f t="shared" si="54"/>
        <v>0</v>
      </c>
      <c r="BF97" s="1"/>
    </row>
    <row r="98" ht="25" hidden="1" customHeight="1" spans="1:58">
      <c r="A98" s="54">
        <v>133</v>
      </c>
      <c r="B98" s="54" t="s">
        <v>198</v>
      </c>
      <c r="C98" s="55"/>
      <c r="D98" s="55"/>
      <c r="E98" s="55"/>
      <c r="F98" s="55"/>
      <c r="G98" s="56">
        <v>1</v>
      </c>
      <c r="H98" s="57">
        <f t="shared" si="70"/>
        <v>8.36637353682585e-5</v>
      </c>
      <c r="I98" s="57">
        <f t="shared" si="71"/>
        <v>0.000333333333333333</v>
      </c>
      <c r="J98" s="58" t="e">
        <f t="shared" si="57"/>
        <v>#DIV/0!</v>
      </c>
      <c r="K98" s="58"/>
      <c r="L98" s="58" t="e">
        <f t="shared" si="58"/>
        <v>#DIV/0!</v>
      </c>
      <c r="M98" s="57" t="e">
        <f t="shared" si="59"/>
        <v>#DIV/0!</v>
      </c>
      <c r="N98" s="57" t="e">
        <f t="shared" si="60"/>
        <v>#DIV/0!</v>
      </c>
      <c r="O98" s="57" t="e">
        <f t="shared" si="61"/>
        <v>#DIV/0!</v>
      </c>
      <c r="P98" s="59">
        <v>0.0302</v>
      </c>
      <c r="Q98" s="60">
        <f t="shared" si="40"/>
        <v>0.0302</v>
      </c>
      <c r="R98" s="61">
        <v>1000</v>
      </c>
      <c r="S98" s="59">
        <v>1.1616</v>
      </c>
      <c r="T98" s="59">
        <v>9.801</v>
      </c>
      <c r="U98" s="62">
        <v>4e-6</v>
      </c>
      <c r="V98" s="63"/>
      <c r="W98" s="63">
        <f t="shared" si="41"/>
        <v>4e-6</v>
      </c>
      <c r="X98" s="64">
        <v>0.001147</v>
      </c>
      <c r="Y98" s="64">
        <v>1.85e-5</v>
      </c>
      <c r="Z98" s="65"/>
      <c r="AA98" s="66"/>
      <c r="AB98" s="65">
        <f t="shared" si="42"/>
        <v>-2.03873598369011</v>
      </c>
      <c r="AC98" s="65">
        <f t="shared" si="43"/>
        <v>0</v>
      </c>
      <c r="AD98" s="65">
        <f t="shared" si="44"/>
        <v>0</v>
      </c>
      <c r="AE98" s="96" t="e">
        <f t="shared" si="38"/>
        <v>#DIV/0!</v>
      </c>
      <c r="AF98" s="96" t="e">
        <f t="shared" si="39"/>
        <v>#DIV/0!</v>
      </c>
      <c r="AG98" s="96" t="e">
        <f t="shared" si="45"/>
        <v>#DIV/0!</v>
      </c>
      <c r="AH98" s="96"/>
      <c r="AI98" s="63">
        <f t="shared" si="46"/>
        <v>0</v>
      </c>
      <c r="AJ98" s="68"/>
      <c r="AK98" s="69" t="e">
        <f t="shared" si="62"/>
        <v>#DIV/0!</v>
      </c>
      <c r="AL98" s="69"/>
      <c r="AM98" s="69"/>
      <c r="AN98" s="69" t="e">
        <f t="shared" si="47"/>
        <v>#DIV/0!</v>
      </c>
      <c r="AO98" s="65">
        <f t="shared" si="63"/>
        <v>0</v>
      </c>
      <c r="AP98" s="68"/>
      <c r="AQ98" s="68"/>
      <c r="AR98" s="68">
        <f t="shared" si="48"/>
        <v>0</v>
      </c>
      <c r="AS98" s="68">
        <f t="shared" si="49"/>
        <v>0</v>
      </c>
      <c r="AT98" s="71" t="e">
        <f t="shared" si="50"/>
        <v>#DIV/0!</v>
      </c>
      <c r="AU98" s="71"/>
      <c r="AV98" s="65"/>
      <c r="AW98" s="65" t="e">
        <f t="shared" si="64"/>
        <v>#DIV/0!</v>
      </c>
      <c r="AX98" s="65"/>
      <c r="AY98" s="65" t="e">
        <f t="shared" si="65"/>
        <v>#DIV/0!</v>
      </c>
      <c r="AZ98" s="69"/>
      <c r="BA98" s="69"/>
      <c r="BB98" s="72" t="e">
        <f t="shared" si="51"/>
        <v>#DIV/0!</v>
      </c>
      <c r="BC98" s="72" t="e">
        <f t="shared" si="52"/>
        <v>#DIV/0!</v>
      </c>
      <c r="BD98" s="72" t="e">
        <f t="shared" si="53"/>
        <v>#DIV/0!</v>
      </c>
      <c r="BE98" s="72">
        <f t="shared" si="54"/>
        <v>0</v>
      </c>
      <c r="BF98" s="1"/>
    </row>
    <row r="99" ht="25" hidden="1" customHeight="1" spans="1:58">
      <c r="A99" s="54">
        <v>134</v>
      </c>
      <c r="B99" s="54" t="s">
        <v>198</v>
      </c>
      <c r="C99" s="55"/>
      <c r="D99" s="55"/>
      <c r="E99" s="55"/>
      <c r="F99" s="55"/>
      <c r="G99" s="56">
        <v>1</v>
      </c>
      <c r="H99" s="57">
        <f t="shared" si="70"/>
        <v>8.36637353682585e-5</v>
      </c>
      <c r="I99" s="57">
        <f t="shared" si="71"/>
        <v>0.000333333333333333</v>
      </c>
      <c r="J99" s="58" t="e">
        <f t="shared" si="57"/>
        <v>#DIV/0!</v>
      </c>
      <c r="K99" s="58"/>
      <c r="L99" s="58" t="e">
        <f t="shared" si="58"/>
        <v>#DIV/0!</v>
      </c>
      <c r="M99" s="57" t="e">
        <f t="shared" si="59"/>
        <v>#DIV/0!</v>
      </c>
      <c r="N99" s="57" t="e">
        <f t="shared" si="60"/>
        <v>#DIV/0!</v>
      </c>
      <c r="O99" s="57" t="e">
        <f t="shared" si="61"/>
        <v>#DIV/0!</v>
      </c>
      <c r="P99" s="59">
        <v>0.0302</v>
      </c>
      <c r="Q99" s="60">
        <f t="shared" si="40"/>
        <v>0.0302</v>
      </c>
      <c r="R99" s="61">
        <v>1000</v>
      </c>
      <c r="S99" s="59">
        <v>1.1616</v>
      </c>
      <c r="T99" s="59">
        <v>9.801</v>
      </c>
      <c r="U99" s="62">
        <v>4e-6</v>
      </c>
      <c r="V99" s="63"/>
      <c r="W99" s="63">
        <f t="shared" si="41"/>
        <v>4e-6</v>
      </c>
      <c r="X99" s="64">
        <v>0.001147</v>
      </c>
      <c r="Y99" s="64">
        <v>1.85e-5</v>
      </c>
      <c r="Z99" s="65"/>
      <c r="AA99" s="66"/>
      <c r="AB99" s="65">
        <f t="shared" si="42"/>
        <v>-2.03873598369011</v>
      </c>
      <c r="AC99" s="65">
        <f t="shared" si="43"/>
        <v>0</v>
      </c>
      <c r="AD99" s="65">
        <f t="shared" si="44"/>
        <v>0</v>
      </c>
      <c r="AE99" s="96" t="e">
        <f t="shared" si="38"/>
        <v>#DIV/0!</v>
      </c>
      <c r="AF99" s="96" t="e">
        <f t="shared" si="39"/>
        <v>#DIV/0!</v>
      </c>
      <c r="AG99" s="96" t="e">
        <f t="shared" si="45"/>
        <v>#DIV/0!</v>
      </c>
      <c r="AH99" s="96"/>
      <c r="AI99" s="63">
        <f t="shared" si="46"/>
        <v>0</v>
      </c>
      <c r="AJ99" s="68"/>
      <c r="AK99" s="69" t="e">
        <f t="shared" si="62"/>
        <v>#DIV/0!</v>
      </c>
      <c r="AL99" s="69"/>
      <c r="AM99" s="69"/>
      <c r="AN99" s="69" t="e">
        <f t="shared" si="47"/>
        <v>#DIV/0!</v>
      </c>
      <c r="AO99" s="65">
        <f t="shared" si="63"/>
        <v>0</v>
      </c>
      <c r="AP99" s="68"/>
      <c r="AQ99" s="68"/>
      <c r="AR99" s="68">
        <f t="shared" si="48"/>
        <v>0</v>
      </c>
      <c r="AS99" s="68">
        <f t="shared" si="49"/>
        <v>0</v>
      </c>
      <c r="AT99" s="71" t="e">
        <f t="shared" si="50"/>
        <v>#DIV/0!</v>
      </c>
      <c r="AU99" s="71"/>
      <c r="AV99" s="65"/>
      <c r="AW99" s="65" t="e">
        <f t="shared" si="64"/>
        <v>#DIV/0!</v>
      </c>
      <c r="AX99" s="65"/>
      <c r="AY99" s="65" t="e">
        <f t="shared" si="65"/>
        <v>#DIV/0!</v>
      </c>
      <c r="AZ99" s="69"/>
      <c r="BA99" s="69"/>
      <c r="BB99" s="72" t="e">
        <f t="shared" si="51"/>
        <v>#DIV/0!</v>
      </c>
      <c r="BC99" s="72" t="e">
        <f t="shared" si="52"/>
        <v>#DIV/0!</v>
      </c>
      <c r="BD99" s="72" t="e">
        <f t="shared" si="53"/>
        <v>#DIV/0!</v>
      </c>
      <c r="BE99" s="72">
        <f t="shared" si="54"/>
        <v>0</v>
      </c>
      <c r="BF99" s="1"/>
    </row>
    <row r="100" ht="25" hidden="1" customHeight="1" spans="1:58">
      <c r="A100" s="54">
        <v>135</v>
      </c>
      <c r="B100" s="54" t="s">
        <v>198</v>
      </c>
      <c r="C100" s="55"/>
      <c r="D100" s="55"/>
      <c r="E100" s="55"/>
      <c r="F100" s="55"/>
      <c r="G100" s="56">
        <v>1</v>
      </c>
      <c r="H100" s="57">
        <f t="shared" si="70"/>
        <v>8.36637353682585e-5</v>
      </c>
      <c r="I100" s="57">
        <f t="shared" si="71"/>
        <v>0.000333333333333333</v>
      </c>
      <c r="J100" s="58" t="e">
        <f t="shared" si="57"/>
        <v>#DIV/0!</v>
      </c>
      <c r="K100" s="58"/>
      <c r="L100" s="58" t="e">
        <f t="shared" si="58"/>
        <v>#DIV/0!</v>
      </c>
      <c r="M100" s="57" t="e">
        <f t="shared" si="59"/>
        <v>#DIV/0!</v>
      </c>
      <c r="N100" s="57" t="e">
        <f t="shared" si="60"/>
        <v>#DIV/0!</v>
      </c>
      <c r="O100" s="57" t="e">
        <f t="shared" si="61"/>
        <v>#DIV/0!</v>
      </c>
      <c r="P100" s="59">
        <v>0.0302</v>
      </c>
      <c r="Q100" s="60">
        <f t="shared" si="40"/>
        <v>0.0302</v>
      </c>
      <c r="R100" s="61">
        <v>1000</v>
      </c>
      <c r="S100" s="59">
        <v>1.1616</v>
      </c>
      <c r="T100" s="59">
        <v>9.801</v>
      </c>
      <c r="U100" s="62">
        <v>4e-6</v>
      </c>
      <c r="V100" s="63"/>
      <c r="W100" s="63">
        <f t="shared" si="41"/>
        <v>4e-6</v>
      </c>
      <c r="X100" s="64">
        <v>0.001147</v>
      </c>
      <c r="Y100" s="64">
        <v>1.85e-5</v>
      </c>
      <c r="Z100" s="65"/>
      <c r="AA100" s="66"/>
      <c r="AB100" s="65">
        <f t="shared" si="42"/>
        <v>-2.03873598369011</v>
      </c>
      <c r="AC100" s="65">
        <f t="shared" si="43"/>
        <v>0</v>
      </c>
      <c r="AD100" s="65">
        <f t="shared" si="44"/>
        <v>0</v>
      </c>
      <c r="AE100" s="96" t="e">
        <f t="shared" si="38"/>
        <v>#DIV/0!</v>
      </c>
      <c r="AF100" s="96" t="e">
        <f t="shared" si="39"/>
        <v>#DIV/0!</v>
      </c>
      <c r="AG100" s="96" t="e">
        <f t="shared" ref="AG100:AG143" si="72">2*AE100*(PI()-2*AF100)/SQRT(AE100^2-1)</f>
        <v>#DIV/0!</v>
      </c>
      <c r="AH100" s="96"/>
      <c r="AI100" s="63">
        <f t="shared" si="46"/>
        <v>0</v>
      </c>
      <c r="AJ100" s="68"/>
      <c r="AK100" s="69" t="e">
        <f t="shared" si="62"/>
        <v>#DIV/0!</v>
      </c>
      <c r="AL100" s="69"/>
      <c r="AM100" s="69"/>
      <c r="AN100" s="69" t="e">
        <f t="shared" si="47"/>
        <v>#DIV/0!</v>
      </c>
      <c r="AO100" s="65">
        <f t="shared" si="63"/>
        <v>0</v>
      </c>
      <c r="AP100" s="68"/>
      <c r="AQ100" s="68"/>
      <c r="AR100" s="68">
        <f t="shared" si="48"/>
        <v>0</v>
      </c>
      <c r="AS100" s="68">
        <f t="shared" si="49"/>
        <v>0</v>
      </c>
      <c r="AT100" s="71" t="e">
        <f t="shared" si="50"/>
        <v>#DIV/0!</v>
      </c>
      <c r="AU100" s="71"/>
      <c r="AV100" s="65"/>
      <c r="AW100" s="65" t="e">
        <f t="shared" si="64"/>
        <v>#DIV/0!</v>
      </c>
      <c r="AX100" s="65"/>
      <c r="AY100" s="65" t="e">
        <f t="shared" si="65"/>
        <v>#DIV/0!</v>
      </c>
      <c r="AZ100" s="69"/>
      <c r="BA100" s="69"/>
      <c r="BB100" s="72" t="e">
        <f t="shared" si="51"/>
        <v>#DIV/0!</v>
      </c>
      <c r="BC100" s="72" t="e">
        <f t="shared" si="52"/>
        <v>#DIV/0!</v>
      </c>
      <c r="BD100" s="72" t="e">
        <f t="shared" si="53"/>
        <v>#DIV/0!</v>
      </c>
      <c r="BE100" s="72">
        <f t="shared" si="54"/>
        <v>0</v>
      </c>
      <c r="BF100" s="1"/>
    </row>
    <row r="101" ht="25" hidden="1" customHeight="1" spans="1:58">
      <c r="A101" s="54">
        <v>136</v>
      </c>
      <c r="B101" s="54" t="s">
        <v>198</v>
      </c>
      <c r="C101" s="55"/>
      <c r="D101" s="55"/>
      <c r="E101" s="55"/>
      <c r="F101" s="55"/>
      <c r="G101" s="56">
        <v>1</v>
      </c>
      <c r="H101" s="57">
        <f t="shared" si="70"/>
        <v>8.36637353682585e-5</v>
      </c>
      <c r="I101" s="57">
        <f t="shared" si="71"/>
        <v>0.000333333333333333</v>
      </c>
      <c r="J101" s="58" t="e">
        <f t="shared" si="57"/>
        <v>#DIV/0!</v>
      </c>
      <c r="K101" s="58"/>
      <c r="L101" s="58" t="e">
        <f t="shared" si="58"/>
        <v>#DIV/0!</v>
      </c>
      <c r="M101" s="57" t="e">
        <f t="shared" si="59"/>
        <v>#DIV/0!</v>
      </c>
      <c r="N101" s="57" t="e">
        <f t="shared" si="60"/>
        <v>#DIV/0!</v>
      </c>
      <c r="O101" s="57" t="e">
        <f t="shared" si="61"/>
        <v>#DIV/0!</v>
      </c>
      <c r="P101" s="59">
        <v>0.0302</v>
      </c>
      <c r="Q101" s="60">
        <f t="shared" si="40"/>
        <v>0.0302</v>
      </c>
      <c r="R101" s="61">
        <v>1000</v>
      </c>
      <c r="S101" s="59">
        <v>1.1616</v>
      </c>
      <c r="T101" s="59">
        <v>9.801</v>
      </c>
      <c r="U101" s="62">
        <v>4e-6</v>
      </c>
      <c r="V101" s="63"/>
      <c r="W101" s="63">
        <f t="shared" si="41"/>
        <v>4e-6</v>
      </c>
      <c r="X101" s="64">
        <v>0.001147</v>
      </c>
      <c r="Y101" s="64">
        <v>1.85e-5</v>
      </c>
      <c r="Z101" s="65"/>
      <c r="AA101" s="66"/>
      <c r="AB101" s="65">
        <f t="shared" si="42"/>
        <v>-2.03873598369011</v>
      </c>
      <c r="AC101" s="65">
        <f t="shared" si="43"/>
        <v>0</v>
      </c>
      <c r="AD101" s="65">
        <f t="shared" si="44"/>
        <v>0</v>
      </c>
      <c r="AE101" s="96" t="e">
        <f t="shared" si="38"/>
        <v>#DIV/0!</v>
      </c>
      <c r="AF101" s="96" t="e">
        <f t="shared" si="39"/>
        <v>#DIV/0!</v>
      </c>
      <c r="AG101" s="96" t="e">
        <f t="shared" si="72"/>
        <v>#DIV/0!</v>
      </c>
      <c r="AH101" s="96"/>
      <c r="AI101" s="63">
        <f t="shared" si="46"/>
        <v>0</v>
      </c>
      <c r="AJ101" s="68"/>
      <c r="AK101" s="69" t="e">
        <f t="shared" si="62"/>
        <v>#DIV/0!</v>
      </c>
      <c r="AL101" s="69"/>
      <c r="AM101" s="69"/>
      <c r="AN101" s="69" t="e">
        <f t="shared" si="47"/>
        <v>#DIV/0!</v>
      </c>
      <c r="AO101" s="65">
        <f t="shared" si="63"/>
        <v>0</v>
      </c>
      <c r="AP101" s="68"/>
      <c r="AQ101" s="68"/>
      <c r="AR101" s="68">
        <f t="shared" si="48"/>
        <v>0</v>
      </c>
      <c r="AS101" s="68">
        <f t="shared" si="49"/>
        <v>0</v>
      </c>
      <c r="AT101" s="71" t="e">
        <f t="shared" si="50"/>
        <v>#DIV/0!</v>
      </c>
      <c r="AU101" s="71"/>
      <c r="AV101" s="65"/>
      <c r="AW101" s="65" t="e">
        <f t="shared" si="64"/>
        <v>#DIV/0!</v>
      </c>
      <c r="AX101" s="65"/>
      <c r="AY101" s="65" t="e">
        <f t="shared" si="65"/>
        <v>#DIV/0!</v>
      </c>
      <c r="AZ101" s="69"/>
      <c r="BA101" s="69"/>
      <c r="BB101" s="72" t="e">
        <f t="shared" si="51"/>
        <v>#DIV/0!</v>
      </c>
      <c r="BC101" s="72" t="e">
        <f t="shared" si="52"/>
        <v>#DIV/0!</v>
      </c>
      <c r="BD101" s="72" t="e">
        <f t="shared" si="53"/>
        <v>#DIV/0!</v>
      </c>
      <c r="BE101" s="72">
        <f t="shared" si="54"/>
        <v>0</v>
      </c>
      <c r="BF101" s="1"/>
    </row>
    <row r="102" ht="25" hidden="1" customHeight="1" spans="1:58">
      <c r="A102" s="54">
        <v>137</v>
      </c>
      <c r="B102" s="54" t="s">
        <v>198</v>
      </c>
      <c r="C102" s="55"/>
      <c r="D102" s="55"/>
      <c r="E102" s="55"/>
      <c r="F102" s="55"/>
      <c r="G102" s="56">
        <v>1</v>
      </c>
      <c r="H102" s="57">
        <f t="shared" si="70"/>
        <v>8.36637353682585e-5</v>
      </c>
      <c r="I102" s="57">
        <f t="shared" si="71"/>
        <v>0.000333333333333333</v>
      </c>
      <c r="J102" s="58" t="e">
        <f t="shared" si="57"/>
        <v>#DIV/0!</v>
      </c>
      <c r="K102" s="58"/>
      <c r="L102" s="58" t="e">
        <f t="shared" si="58"/>
        <v>#DIV/0!</v>
      </c>
      <c r="M102" s="57" t="e">
        <f t="shared" si="59"/>
        <v>#DIV/0!</v>
      </c>
      <c r="N102" s="57" t="e">
        <f t="shared" si="60"/>
        <v>#DIV/0!</v>
      </c>
      <c r="O102" s="57" t="e">
        <f t="shared" si="61"/>
        <v>#DIV/0!</v>
      </c>
      <c r="P102" s="59">
        <v>0.0302</v>
      </c>
      <c r="Q102" s="60">
        <f t="shared" si="40"/>
        <v>0.0302</v>
      </c>
      <c r="R102" s="61">
        <v>1000</v>
      </c>
      <c r="S102" s="59">
        <v>1.1616</v>
      </c>
      <c r="T102" s="59">
        <v>9.801</v>
      </c>
      <c r="U102" s="62">
        <v>4e-6</v>
      </c>
      <c r="V102" s="63"/>
      <c r="W102" s="63">
        <f t="shared" si="41"/>
        <v>4e-6</v>
      </c>
      <c r="X102" s="64">
        <v>0.001147</v>
      </c>
      <c r="Y102" s="64">
        <v>1.85e-5</v>
      </c>
      <c r="Z102" s="65"/>
      <c r="AA102" s="66"/>
      <c r="AB102" s="65">
        <f t="shared" si="42"/>
        <v>-2.03873598369011</v>
      </c>
      <c r="AC102" s="65">
        <f t="shared" si="43"/>
        <v>0</v>
      </c>
      <c r="AD102" s="65">
        <f t="shared" si="44"/>
        <v>0</v>
      </c>
      <c r="AE102" s="96" t="e">
        <f t="shared" si="38"/>
        <v>#DIV/0!</v>
      </c>
      <c r="AF102" s="96" t="e">
        <f t="shared" si="39"/>
        <v>#DIV/0!</v>
      </c>
      <c r="AG102" s="96" t="e">
        <f t="shared" si="72"/>
        <v>#DIV/0!</v>
      </c>
      <c r="AH102" s="96"/>
      <c r="AI102" s="63">
        <f t="shared" si="46"/>
        <v>0</v>
      </c>
      <c r="AJ102" s="68"/>
      <c r="AK102" s="69" t="e">
        <f t="shared" si="62"/>
        <v>#DIV/0!</v>
      </c>
      <c r="AL102" s="69"/>
      <c r="AM102" s="69"/>
      <c r="AN102" s="69" t="e">
        <f t="shared" si="47"/>
        <v>#DIV/0!</v>
      </c>
      <c r="AO102" s="65">
        <f t="shared" si="63"/>
        <v>0</v>
      </c>
      <c r="AP102" s="68"/>
      <c r="AQ102" s="68"/>
      <c r="AR102" s="68">
        <f t="shared" si="48"/>
        <v>0</v>
      </c>
      <c r="AS102" s="68">
        <f t="shared" si="49"/>
        <v>0</v>
      </c>
      <c r="AT102" s="71" t="e">
        <f t="shared" si="50"/>
        <v>#DIV/0!</v>
      </c>
      <c r="AU102" s="71"/>
      <c r="AV102" s="65"/>
      <c r="AW102" s="65" t="e">
        <f t="shared" si="64"/>
        <v>#DIV/0!</v>
      </c>
      <c r="AX102" s="65"/>
      <c r="AY102" s="65" t="e">
        <f t="shared" si="65"/>
        <v>#DIV/0!</v>
      </c>
      <c r="AZ102" s="69"/>
      <c r="BA102" s="69"/>
      <c r="BB102" s="72" t="e">
        <f t="shared" si="51"/>
        <v>#DIV/0!</v>
      </c>
      <c r="BC102" s="72" t="e">
        <f t="shared" si="52"/>
        <v>#DIV/0!</v>
      </c>
      <c r="BD102" s="72" t="e">
        <f t="shared" si="53"/>
        <v>#DIV/0!</v>
      </c>
      <c r="BE102" s="72">
        <f t="shared" si="54"/>
        <v>0</v>
      </c>
      <c r="BF102" s="1"/>
    </row>
    <row r="103" ht="25" customHeight="1" spans="1:58">
      <c r="A103" s="54" t="s">
        <v>108</v>
      </c>
      <c r="B103" s="54" t="s">
        <v>198</v>
      </c>
      <c r="C103" s="55">
        <v>0.3</v>
      </c>
      <c r="D103" s="55" t="s">
        <v>109</v>
      </c>
      <c r="E103" s="55"/>
      <c r="F103" s="55">
        <v>1.8</v>
      </c>
      <c r="G103" s="56" t="s">
        <v>109</v>
      </c>
      <c r="H103" s="57">
        <f t="shared" si="70"/>
        <v>8.36637353682585e-5</v>
      </c>
      <c r="I103" s="57">
        <f t="shared" si="71"/>
        <v>0.000333333333333333</v>
      </c>
      <c r="J103" s="58">
        <f t="shared" si="57"/>
        <v>0.0156913087644033</v>
      </c>
      <c r="K103" s="58"/>
      <c r="L103" s="58">
        <f t="shared" si="58"/>
        <v>1.22808786070044</v>
      </c>
      <c r="M103" s="57">
        <f t="shared" si="59"/>
        <v>0.000968860590677436</v>
      </c>
      <c r="N103" s="57">
        <f t="shared" si="60"/>
        <v>0.00582519415794059</v>
      </c>
      <c r="O103" s="57">
        <f t="shared" si="61"/>
        <v>0.0521974251559501</v>
      </c>
      <c r="P103" s="59">
        <v>0.0302</v>
      </c>
      <c r="Q103" s="60" t="e">
        <f t="shared" si="40"/>
        <v>#VALUE!</v>
      </c>
      <c r="R103" s="61">
        <v>1000</v>
      </c>
      <c r="S103" s="59">
        <v>1.1616</v>
      </c>
      <c r="T103" s="59">
        <v>9.801</v>
      </c>
      <c r="U103" s="62">
        <v>4e-6</v>
      </c>
      <c r="V103" s="63"/>
      <c r="W103" s="63" t="e">
        <f t="shared" si="41"/>
        <v>#VALUE!</v>
      </c>
      <c r="X103" s="64">
        <v>0.001147</v>
      </c>
      <c r="Y103" s="64">
        <v>1.85e-5</v>
      </c>
      <c r="Z103" s="65" t="e">
        <f>AD103*(1+D103/9.801)-7.5*AA103+18*AM103</f>
        <v>#VALUE!</v>
      </c>
      <c r="AA103" s="66">
        <f t="shared" ref="AA103:AA166" si="73">F103/1000</f>
        <v>0.0018</v>
      </c>
      <c r="AB103" s="65">
        <f t="shared" si="42"/>
        <v>2.54841997961264</v>
      </c>
      <c r="AC103" s="65">
        <f t="shared" si="43"/>
        <v>10.7284768211921</v>
      </c>
      <c r="AD103" s="65">
        <f t="shared" si="44"/>
        <v>4.20599205298013</v>
      </c>
      <c r="AE103" s="96">
        <f t="shared" si="38"/>
        <v>2.5507601265177</v>
      </c>
      <c r="AF103" s="96">
        <f t="shared" si="39"/>
        <v>0.986822195373079</v>
      </c>
      <c r="AG103" s="96">
        <f t="shared" si="72"/>
        <v>2.53916100693615</v>
      </c>
      <c r="AH103" s="96"/>
      <c r="AI103" s="63">
        <f t="shared" si="46"/>
        <v>64.8648648648649</v>
      </c>
      <c r="AJ103" s="68"/>
      <c r="AK103" s="69" t="e">
        <f t="shared" si="62"/>
        <v>#VALUE!</v>
      </c>
      <c r="AL103" s="69"/>
      <c r="AM103" s="69">
        <f t="shared" ref="AM103:AM166" si="74">X103*C103/P103</f>
        <v>0.0113940397350993</v>
      </c>
      <c r="AN103" s="69">
        <f t="shared" si="47"/>
        <v>7.93472727843092e-5</v>
      </c>
      <c r="AO103" s="65">
        <f t="shared" si="63"/>
        <v>0.0138964953416844</v>
      </c>
      <c r="AP103" s="68"/>
      <c r="AQ103" s="68"/>
      <c r="AR103" s="68">
        <f t="shared" si="48"/>
        <v>17.1899647376636</v>
      </c>
      <c r="AS103" s="68">
        <f t="shared" si="49"/>
        <v>24.3188668479477</v>
      </c>
      <c r="AT103" s="71">
        <f t="shared" si="50"/>
        <v>0.0196781236505087</v>
      </c>
      <c r="AU103" s="71"/>
      <c r="AV103" s="65"/>
      <c r="AW103" s="65">
        <f t="shared" si="64"/>
        <v>0.041625</v>
      </c>
      <c r="AX103" s="65">
        <f t="shared" ref="AX103:AX166" si="75">AO103/AW103</f>
        <v>0.333849737938365</v>
      </c>
      <c r="AY103" s="65">
        <f t="shared" si="65"/>
        <v>18.73125</v>
      </c>
      <c r="AZ103" s="69">
        <f t="shared" ref="AZ103:AZ166" si="76">AO103/AY103</f>
        <v>0.000741888306529699</v>
      </c>
      <c r="BA103" s="69">
        <f t="shared" ref="BA103:BA166" si="77">0.5*R103*(4/3)*PI()*AA103^3*C103^2</f>
        <v>1.09930610134414e-6</v>
      </c>
      <c r="BB103" s="72">
        <f t="shared" si="51"/>
        <v>16.0678227388226</v>
      </c>
      <c r="BC103" s="72">
        <f t="shared" si="52"/>
        <v>4.23607809641051</v>
      </c>
      <c r="BD103" s="72">
        <f t="shared" si="53"/>
        <v>0.614068148148148</v>
      </c>
      <c r="BE103" s="72">
        <f t="shared" si="54"/>
        <v>19.1404609271523</v>
      </c>
      <c r="BF103" s="1"/>
    </row>
    <row r="104" ht="25" customHeight="1" spans="1:58">
      <c r="A104" s="54" t="s">
        <v>110</v>
      </c>
      <c r="B104" s="54" t="s">
        <v>198</v>
      </c>
      <c r="C104" s="55">
        <v>0.7</v>
      </c>
      <c r="D104" s="55" t="s">
        <v>109</v>
      </c>
      <c r="E104" s="55"/>
      <c r="F104" s="55">
        <v>1.8</v>
      </c>
      <c r="G104" s="56" t="s">
        <v>109</v>
      </c>
      <c r="H104" s="57">
        <f t="shared" si="70"/>
        <v>8.36637353682585e-5</v>
      </c>
      <c r="I104" s="57">
        <f t="shared" si="71"/>
        <v>0.000333333333333333</v>
      </c>
      <c r="J104" s="58">
        <f t="shared" si="57"/>
        <v>0.0366130537836076</v>
      </c>
      <c r="K104" s="58"/>
      <c r="L104" s="58">
        <f t="shared" si="58"/>
        <v>6.68625613048015</v>
      </c>
      <c r="M104" s="57">
        <f t="shared" si="59"/>
        <v>0.000968860590677436</v>
      </c>
      <c r="N104" s="57">
        <f t="shared" si="60"/>
        <v>0.00106993362084623</v>
      </c>
      <c r="O104" s="57">
        <f t="shared" si="61"/>
        <v>0.284185981404617</v>
      </c>
      <c r="P104" s="59">
        <v>0.0302</v>
      </c>
      <c r="Q104" s="60" t="e">
        <f t="shared" si="40"/>
        <v>#VALUE!</v>
      </c>
      <c r="R104" s="61">
        <v>1000</v>
      </c>
      <c r="S104" s="59">
        <v>1.1616</v>
      </c>
      <c r="T104" s="59">
        <v>9.801</v>
      </c>
      <c r="U104" s="62">
        <v>4e-6</v>
      </c>
      <c r="V104" s="63"/>
      <c r="W104" s="63" t="e">
        <f t="shared" si="41"/>
        <v>#VALUE!</v>
      </c>
      <c r="X104" s="64">
        <v>0.001147</v>
      </c>
      <c r="Y104" s="64">
        <v>1.85e-5</v>
      </c>
      <c r="Z104" s="65" t="e">
        <f>AD104*(1+D104/9.801)-7.5*AA104+18*AM104</f>
        <v>#VALUE!</v>
      </c>
      <c r="AA104" s="66">
        <f t="shared" si="73"/>
        <v>0.0018</v>
      </c>
      <c r="AB104" s="65">
        <f t="shared" si="42"/>
        <v>22.9357798165138</v>
      </c>
      <c r="AC104" s="65">
        <f t="shared" si="43"/>
        <v>58.4105960264901</v>
      </c>
      <c r="AD104" s="65">
        <f t="shared" si="44"/>
        <v>4.20599205298013</v>
      </c>
      <c r="AE104" s="96">
        <f t="shared" si="38"/>
        <v>13.8874717999297</v>
      </c>
      <c r="AF104" s="96">
        <f t="shared" si="39"/>
        <v>0.82143302321073</v>
      </c>
      <c r="AG104" s="96">
        <f t="shared" si="72"/>
        <v>3.00525454966559</v>
      </c>
      <c r="AH104" s="96"/>
      <c r="AI104" s="63">
        <f t="shared" si="46"/>
        <v>151.351351351351</v>
      </c>
      <c r="AJ104" s="68"/>
      <c r="AK104" s="69" t="e">
        <f t="shared" si="62"/>
        <v>#VALUE!</v>
      </c>
      <c r="AL104" s="69"/>
      <c r="AM104" s="69">
        <f t="shared" si="74"/>
        <v>0.0265860927152318</v>
      </c>
      <c r="AN104" s="69">
        <f t="shared" si="47"/>
        <v>7.93472727843092e-5</v>
      </c>
      <c r="AO104" s="65">
        <f t="shared" si="63"/>
        <v>0.0138964953416844</v>
      </c>
      <c r="AP104" s="68"/>
      <c r="AQ104" s="68"/>
      <c r="AR104" s="68">
        <f t="shared" si="48"/>
        <v>17.1899647376636</v>
      </c>
      <c r="AS104" s="68">
        <f t="shared" si="49"/>
        <v>24.3188668479477</v>
      </c>
      <c r="AT104" s="71">
        <f t="shared" si="50"/>
        <v>0.0196781236505087</v>
      </c>
      <c r="AU104" s="71"/>
      <c r="AV104" s="65"/>
      <c r="AW104" s="65">
        <f t="shared" si="64"/>
        <v>0.00764540816326531</v>
      </c>
      <c r="AX104" s="65">
        <f t="shared" si="75"/>
        <v>1.81762635099776</v>
      </c>
      <c r="AY104" s="65">
        <f t="shared" si="65"/>
        <v>3.44043367346939</v>
      </c>
      <c r="AZ104" s="69">
        <f t="shared" si="76"/>
        <v>0.00403916966888392</v>
      </c>
      <c r="BA104" s="69">
        <f t="shared" si="77"/>
        <v>5.98511099620699e-6</v>
      </c>
      <c r="BB104" s="72">
        <f t="shared" si="51"/>
        <v>16.0678227388226</v>
      </c>
      <c r="BC104" s="72">
        <f t="shared" si="52"/>
        <v>0.778055160565196</v>
      </c>
      <c r="BD104" s="72">
        <f t="shared" si="53"/>
        <v>0.112788027210884</v>
      </c>
      <c r="BE104" s="72">
        <f t="shared" si="54"/>
        <v>66.8225801324503</v>
      </c>
      <c r="BF104" s="1"/>
    </row>
    <row r="105" ht="25" customHeight="1" spans="1:58">
      <c r="A105" s="54">
        <v>139</v>
      </c>
      <c r="B105" s="54" t="s">
        <v>198</v>
      </c>
      <c r="C105" s="55">
        <v>0.609736530475151</v>
      </c>
      <c r="D105" s="55">
        <v>3.25039948067151</v>
      </c>
      <c r="E105" s="55"/>
      <c r="F105" s="55">
        <v>2.25192699537618</v>
      </c>
      <c r="G105" s="56">
        <v>1</v>
      </c>
      <c r="H105" s="57">
        <f t="shared" ref="H105:H146" si="78">0.001/5.3843</f>
        <v>0.000185725163902457</v>
      </c>
      <c r="I105" s="57">
        <f t="shared" ref="I105:I146" si="79">1/8000</f>
        <v>0.000125</v>
      </c>
      <c r="J105" s="58">
        <f t="shared" si="57"/>
        <v>0.0504398505805703</v>
      </c>
      <c r="K105" s="58"/>
      <c r="L105" s="58">
        <f t="shared" si="58"/>
        <v>10.2498138573168</v>
      </c>
      <c r="M105" s="57">
        <f t="shared" si="59"/>
        <v>0.00240566800079451</v>
      </c>
      <c r="N105" s="57">
        <f t="shared" si="60"/>
        <v>0.00368464734672088</v>
      </c>
      <c r="O105" s="57">
        <f t="shared" si="61"/>
        <v>0.325945212277994</v>
      </c>
      <c r="P105" s="59">
        <v>0.0302</v>
      </c>
      <c r="Q105" s="60">
        <f t="shared" si="40"/>
        <v>0.0302</v>
      </c>
      <c r="R105" s="61">
        <v>1000</v>
      </c>
      <c r="S105" s="59">
        <v>1.1616</v>
      </c>
      <c r="T105" s="59">
        <v>9.801</v>
      </c>
      <c r="U105" s="62">
        <v>4e-6</v>
      </c>
      <c r="V105" s="63"/>
      <c r="W105" s="63">
        <f t="shared" si="41"/>
        <v>4e-6</v>
      </c>
      <c r="X105" s="64">
        <v>0.001147</v>
      </c>
      <c r="Y105" s="64">
        <v>1.85e-5</v>
      </c>
      <c r="Z105" s="65"/>
      <c r="AA105" s="66">
        <f t="shared" si="73"/>
        <v>0.00225192699537618</v>
      </c>
      <c r="AB105" s="65">
        <f t="shared" si="42"/>
        <v>16.9102261261914</v>
      </c>
      <c r="AC105" s="65">
        <f t="shared" si="43"/>
        <v>55.444923712212</v>
      </c>
      <c r="AD105" s="65">
        <f t="shared" si="44"/>
        <v>6.58312424658697</v>
      </c>
      <c r="AE105" s="96">
        <f t="shared" si="38"/>
        <v>8.42228122019078</v>
      </c>
      <c r="AF105" s="96">
        <f t="shared" si="39"/>
        <v>0.844904880177737</v>
      </c>
      <c r="AG105" s="96">
        <f t="shared" si="72"/>
        <v>2.92425118865198</v>
      </c>
      <c r="AH105" s="96"/>
      <c r="AI105" s="63">
        <f t="shared" si="46"/>
        <v>131.834925508141</v>
      </c>
      <c r="AJ105" s="68"/>
      <c r="AK105" s="69">
        <f t="shared" si="62"/>
        <v>537.954525389798</v>
      </c>
      <c r="AL105" s="69"/>
      <c r="AM105" s="69">
        <f t="shared" si="74"/>
        <v>0.0231578741872516</v>
      </c>
      <c r="AN105" s="69">
        <f t="shared" si="47"/>
        <v>7.09399868055406e-5</v>
      </c>
      <c r="AO105" s="65">
        <f t="shared" si="63"/>
        <v>0.0194458973645848</v>
      </c>
      <c r="AP105" s="68"/>
      <c r="AQ105" s="68"/>
      <c r="AR105" s="68">
        <f t="shared" si="48"/>
        <v>24.0545750399914</v>
      </c>
      <c r="AS105" s="68">
        <f t="shared" si="49"/>
        <v>34.0303203880233</v>
      </c>
      <c r="AT105" s="71">
        <f t="shared" si="50"/>
        <v>0.0175931167277741</v>
      </c>
      <c r="AU105" s="71"/>
      <c r="AV105" s="65"/>
      <c r="AW105" s="65">
        <f t="shared" si="64"/>
        <v>0.0157716063785194</v>
      </c>
      <c r="AX105" s="65">
        <f t="shared" si="75"/>
        <v>1.2329687222647</v>
      </c>
      <c r="AY105" s="65">
        <f t="shared" si="65"/>
        <v>8.87912654105874</v>
      </c>
      <c r="AZ105" s="69">
        <f t="shared" si="76"/>
        <v>0.00219006872744332</v>
      </c>
      <c r="BA105" s="69">
        <f t="shared" si="77"/>
        <v>8.89213331964858e-6</v>
      </c>
      <c r="BB105" s="72">
        <f t="shared" si="51"/>
        <v>22.4843188278011</v>
      </c>
      <c r="BC105" s="72">
        <f t="shared" si="52"/>
        <v>1.14699873308667</v>
      </c>
      <c r="BD105" s="72">
        <f t="shared" si="53"/>
        <v>0.033073388581869</v>
      </c>
      <c r="BE105" s="72">
        <f t="shared" si="54"/>
        <v>68.6111722053859</v>
      </c>
      <c r="BF105" s="1"/>
    </row>
    <row r="106" ht="25" customHeight="1" spans="1:58">
      <c r="A106" s="54">
        <v>140</v>
      </c>
      <c r="B106" s="54" t="s">
        <v>198</v>
      </c>
      <c r="C106" s="55">
        <v>0.45871767575761</v>
      </c>
      <c r="D106" s="55">
        <v>-14.1761398441931</v>
      </c>
      <c r="E106" s="55"/>
      <c r="F106" s="55">
        <v>2.34080280595721</v>
      </c>
      <c r="G106" s="56">
        <v>0.9</v>
      </c>
      <c r="H106" s="57">
        <f t="shared" si="78"/>
        <v>0.000185725163902457</v>
      </c>
      <c r="I106" s="57">
        <f t="shared" si="79"/>
        <v>0.000125</v>
      </c>
      <c r="J106" s="58">
        <f t="shared" si="57"/>
        <v>0.0365020067559861</v>
      </c>
      <c r="K106" s="58"/>
      <c r="L106" s="58">
        <f t="shared" si="58"/>
        <v>5.80072959047066</v>
      </c>
      <c r="M106" s="57">
        <f t="shared" si="59"/>
        <v>0.00245268035491629</v>
      </c>
      <c r="N106" s="57">
        <f t="shared" si="60"/>
        <v>0.00676666946671291</v>
      </c>
      <c r="O106" s="57">
        <f t="shared" si="61"/>
        <v>0.174066758850129</v>
      </c>
      <c r="P106" s="59">
        <v>0.0302</v>
      </c>
      <c r="Q106" s="60">
        <f t="shared" si="40"/>
        <v>0.0297</v>
      </c>
      <c r="R106" s="61">
        <v>1000</v>
      </c>
      <c r="S106" s="59">
        <v>1.0454</v>
      </c>
      <c r="T106" s="59">
        <v>9.801</v>
      </c>
      <c r="U106" s="62">
        <v>4e-6</v>
      </c>
      <c r="V106" s="63"/>
      <c r="W106" s="63">
        <f t="shared" si="41"/>
        <v>3.8e-6</v>
      </c>
      <c r="X106" s="64">
        <v>0.001147</v>
      </c>
      <c r="Y106" s="64">
        <v>1.85e-5</v>
      </c>
      <c r="Z106" s="65"/>
      <c r="AA106" s="66">
        <f t="shared" si="73"/>
        <v>0.00234080280595721</v>
      </c>
      <c r="AB106" s="65">
        <f t="shared" si="42"/>
        <v>8.68613180695534</v>
      </c>
      <c r="AC106" s="65">
        <f t="shared" si="43"/>
        <v>32.6196151074485</v>
      </c>
      <c r="AD106" s="65">
        <f t="shared" si="44"/>
        <v>7.11300471076456</v>
      </c>
      <c r="AE106" s="96">
        <f t="shared" si="38"/>
        <v>4.58591220361251</v>
      </c>
      <c r="AF106" s="96">
        <f t="shared" si="39"/>
        <v>0.895310810323147</v>
      </c>
      <c r="AG106" s="96">
        <f t="shared" si="72"/>
        <v>2.76856605626615</v>
      </c>
      <c r="AH106" s="96"/>
      <c r="AI106" s="63">
        <f t="shared" si="46"/>
        <v>99.1822001638076</v>
      </c>
      <c r="AJ106" s="68"/>
      <c r="AK106" s="69">
        <f t="shared" si="62"/>
        <v>855.424244446874</v>
      </c>
      <c r="AL106" s="69"/>
      <c r="AM106" s="69">
        <f t="shared" si="74"/>
        <v>0.0174221580825821</v>
      </c>
      <c r="AN106" s="69">
        <f t="shared" si="47"/>
        <v>6.9580227155486e-5</v>
      </c>
      <c r="AO106" s="65">
        <f t="shared" si="63"/>
        <v>0.0206083761484595</v>
      </c>
      <c r="AP106" s="68"/>
      <c r="AQ106" s="68"/>
      <c r="AR106" s="68">
        <f t="shared" si="48"/>
        <v>25.4925612956444</v>
      </c>
      <c r="AS106" s="68">
        <f t="shared" si="49"/>
        <v>36.0646582598041</v>
      </c>
      <c r="AT106" s="71">
        <f t="shared" si="50"/>
        <v>0.0172558963345605</v>
      </c>
      <c r="AU106" s="71"/>
      <c r="AV106" s="65"/>
      <c r="AW106" s="65">
        <f t="shared" si="64"/>
        <v>0.0301085925310289</v>
      </c>
      <c r="AX106" s="65">
        <f t="shared" si="75"/>
        <v>0.684468266898268</v>
      </c>
      <c r="AY106" s="65">
        <f t="shared" si="65"/>
        <v>17.6195694700137</v>
      </c>
      <c r="AZ106" s="69">
        <f t="shared" si="76"/>
        <v>0.00116962994944527</v>
      </c>
      <c r="BA106" s="69">
        <f t="shared" si="77"/>
        <v>5.65254530639622e-6</v>
      </c>
      <c r="BB106" s="72">
        <f t="shared" si="51"/>
        <v>23.8284349216563</v>
      </c>
      <c r="BC106" s="72">
        <f t="shared" si="52"/>
        <v>2.06614920043224</v>
      </c>
      <c r="BD106" s="72">
        <f t="shared" si="53"/>
        <v>0.0237277655153616</v>
      </c>
      <c r="BE106" s="72">
        <f t="shared" si="54"/>
        <v>46.8456245289776</v>
      </c>
      <c r="BF106" s="1"/>
    </row>
    <row r="107" ht="25" customHeight="1" spans="1:58">
      <c r="A107" s="54">
        <v>141</v>
      </c>
      <c r="B107" s="54" t="s">
        <v>198</v>
      </c>
      <c r="C107" s="55">
        <v>0.683034585369603</v>
      </c>
      <c r="D107" s="55">
        <v>-10.6833641546267</v>
      </c>
      <c r="E107" s="55"/>
      <c r="F107" s="55">
        <v>2.36751307877695</v>
      </c>
      <c r="G107" s="56">
        <v>0.9</v>
      </c>
      <c r="H107" s="57">
        <f t="shared" si="78"/>
        <v>0.000185725163902457</v>
      </c>
      <c r="I107" s="57">
        <f t="shared" si="79"/>
        <v>0.000125</v>
      </c>
      <c r="J107" s="58">
        <f t="shared" si="57"/>
        <v>0.0537368455133727</v>
      </c>
      <c r="K107" s="58"/>
      <c r="L107" s="58">
        <f t="shared" si="58"/>
        <v>12.8607311338157</v>
      </c>
      <c r="M107" s="57">
        <f t="shared" si="59"/>
        <v>0.00246663410097065</v>
      </c>
      <c r="N107" s="57">
        <f t="shared" si="60"/>
        <v>0.00308674635032547</v>
      </c>
      <c r="O107" s="57">
        <f t="shared" si="61"/>
        <v>0.379414016801449</v>
      </c>
      <c r="P107" s="59">
        <v>0.0302</v>
      </c>
      <c r="Q107" s="60">
        <f t="shared" si="40"/>
        <v>0.0297</v>
      </c>
      <c r="R107" s="61">
        <v>1000</v>
      </c>
      <c r="S107" s="59">
        <v>1.0454</v>
      </c>
      <c r="T107" s="59">
        <v>9.801</v>
      </c>
      <c r="U107" s="62">
        <v>4e-6</v>
      </c>
      <c r="V107" s="63"/>
      <c r="W107" s="63">
        <f t="shared" si="41"/>
        <v>3.8e-6</v>
      </c>
      <c r="X107" s="64">
        <v>0.001147</v>
      </c>
      <c r="Y107" s="64">
        <v>1.85e-5</v>
      </c>
      <c r="Z107" s="65"/>
      <c r="AA107" s="66">
        <f t="shared" si="73"/>
        <v>0.00236751307877695</v>
      </c>
      <c r="AB107" s="65">
        <f t="shared" si="42"/>
        <v>21.7398697661073</v>
      </c>
      <c r="AC107" s="65">
        <f t="shared" si="43"/>
        <v>73.1477259148072</v>
      </c>
      <c r="AD107" s="65">
        <f t="shared" si="44"/>
        <v>7.2762600350121</v>
      </c>
      <c r="AE107" s="96">
        <f t="shared" si="38"/>
        <v>10.0529290546013</v>
      </c>
      <c r="AF107" s="96">
        <f t="shared" si="39"/>
        <v>0.835217302880907</v>
      </c>
      <c r="AG107" s="96">
        <f t="shared" si="72"/>
        <v>2.95698209990368</v>
      </c>
      <c r="AH107" s="96"/>
      <c r="AI107" s="63">
        <f t="shared" si="46"/>
        <v>147.683153593428</v>
      </c>
      <c r="AJ107" s="68"/>
      <c r="AK107" s="69">
        <f t="shared" si="62"/>
        <v>385.822113505695</v>
      </c>
      <c r="AL107" s="69"/>
      <c r="AM107" s="69">
        <f t="shared" si="74"/>
        <v>0.0259417440204945</v>
      </c>
      <c r="AN107" s="69">
        <f t="shared" si="47"/>
        <v>6.91866118966401e-5</v>
      </c>
      <c r="AO107" s="65">
        <f t="shared" si="63"/>
        <v>0.0209621154610019</v>
      </c>
      <c r="AP107" s="68"/>
      <c r="AQ107" s="68"/>
      <c r="AR107" s="68">
        <f t="shared" si="48"/>
        <v>25.9301368252594</v>
      </c>
      <c r="AS107" s="68">
        <f t="shared" si="49"/>
        <v>36.6837020567534</v>
      </c>
      <c r="AT107" s="71">
        <f t="shared" si="50"/>
        <v>0.0171582797503667</v>
      </c>
      <c r="AU107" s="71"/>
      <c r="AV107" s="65"/>
      <c r="AW107" s="65">
        <f t="shared" si="64"/>
        <v>0.0138915635507498</v>
      </c>
      <c r="AX107" s="65">
        <f t="shared" si="75"/>
        <v>1.50898172005055</v>
      </c>
      <c r="AY107" s="65">
        <f t="shared" si="65"/>
        <v>8.22211459776532</v>
      </c>
      <c r="AZ107" s="69">
        <f t="shared" si="76"/>
        <v>0.00254947984630368</v>
      </c>
      <c r="BA107" s="69">
        <f t="shared" si="77"/>
        <v>1.29664522044014e-5</v>
      </c>
      <c r="BB107" s="72">
        <f t="shared" si="51"/>
        <v>24.2374460017835</v>
      </c>
      <c r="BC107" s="72">
        <f t="shared" si="52"/>
        <v>0.937197279186205</v>
      </c>
      <c r="BD107" s="72">
        <f t="shared" si="53"/>
        <v>0.0061174824559409</v>
      </c>
      <c r="BE107" s="72">
        <f t="shared" si="54"/>
        <v>87.7002459848314</v>
      </c>
      <c r="BF107" s="1"/>
    </row>
    <row r="108" ht="25" customHeight="1" spans="1:58">
      <c r="A108" s="54">
        <v>142</v>
      </c>
      <c r="B108" s="54" t="s">
        <v>198</v>
      </c>
      <c r="C108" s="55">
        <v>0.576675575154627</v>
      </c>
      <c r="D108" s="55">
        <v>5.56887748725672</v>
      </c>
      <c r="E108" s="55"/>
      <c r="F108" s="55">
        <v>2.22609391024175</v>
      </c>
      <c r="G108" s="56">
        <v>0.8</v>
      </c>
      <c r="H108" s="57">
        <f t="shared" si="78"/>
        <v>0.000185725163902457</v>
      </c>
      <c r="I108" s="57">
        <f t="shared" si="79"/>
        <v>0.000125</v>
      </c>
      <c r="J108" s="58">
        <f t="shared" si="57"/>
        <v>0.0482602063133423</v>
      </c>
      <c r="K108" s="58"/>
      <c r="L108" s="58">
        <f t="shared" si="58"/>
        <v>9.16868072236833</v>
      </c>
      <c r="M108" s="57">
        <f t="shared" si="59"/>
        <v>0.0023918298339178</v>
      </c>
      <c r="N108" s="57">
        <f t="shared" si="60"/>
        <v>0.00407205887972442</v>
      </c>
      <c r="O108" s="57">
        <f t="shared" si="61"/>
        <v>0.296650775925543</v>
      </c>
      <c r="P108" s="59">
        <v>0.0302</v>
      </c>
      <c r="Q108" s="60">
        <f t="shared" si="40"/>
        <v>0.0292</v>
      </c>
      <c r="R108" s="61">
        <v>1000</v>
      </c>
      <c r="S108" s="59">
        <v>0.92922</v>
      </c>
      <c r="T108" s="59">
        <v>9.801</v>
      </c>
      <c r="U108" s="62">
        <v>4e-6</v>
      </c>
      <c r="V108" s="63"/>
      <c r="W108" s="63">
        <f t="shared" si="41"/>
        <v>3.6e-6</v>
      </c>
      <c r="X108" s="64">
        <v>0.001147</v>
      </c>
      <c r="Y108" s="64">
        <v>1.85e-5</v>
      </c>
      <c r="Z108" s="65"/>
      <c r="AA108" s="66">
        <f t="shared" si="73"/>
        <v>0.00222609391024175</v>
      </c>
      <c r="AB108" s="65">
        <f t="shared" si="42"/>
        <v>14.9110458195678</v>
      </c>
      <c r="AC108" s="65">
        <f t="shared" si="43"/>
        <v>49.0263599167785</v>
      </c>
      <c r="AD108" s="65">
        <f t="shared" si="44"/>
        <v>6.43295333070307</v>
      </c>
      <c r="AE108" s="96">
        <f t="shared" si="38"/>
        <v>7.62112787027173</v>
      </c>
      <c r="AF108" s="96">
        <f t="shared" si="39"/>
        <v>0.851194985501591</v>
      </c>
      <c r="AG108" s="96">
        <f t="shared" si="72"/>
        <v>2.90350897612476</v>
      </c>
      <c r="AH108" s="96"/>
      <c r="AI108" s="63">
        <f t="shared" si="46"/>
        <v>124.686610844244</v>
      </c>
      <c r="AJ108" s="68"/>
      <c r="AK108" s="69">
        <f t="shared" si="62"/>
        <v>481.123829758859</v>
      </c>
      <c r="AL108" s="69"/>
      <c r="AM108" s="69">
        <f t="shared" si="74"/>
        <v>0.0219022147252436</v>
      </c>
      <c r="AN108" s="69">
        <f t="shared" si="47"/>
        <v>7.13504170801889e-5</v>
      </c>
      <c r="AO108" s="65">
        <f t="shared" si="63"/>
        <v>0.0191122470634991</v>
      </c>
      <c r="AP108" s="68"/>
      <c r="AQ108" s="68"/>
      <c r="AR108" s="68">
        <f t="shared" si="48"/>
        <v>23.6418496175484</v>
      </c>
      <c r="AS108" s="68">
        <f t="shared" si="49"/>
        <v>33.4464323611234</v>
      </c>
      <c r="AT108" s="71">
        <f t="shared" si="50"/>
        <v>0.0176949034358869</v>
      </c>
      <c r="AU108" s="71"/>
      <c r="AV108" s="65"/>
      <c r="AW108" s="65">
        <f t="shared" si="64"/>
        <v>0.017229615828279</v>
      </c>
      <c r="AX108" s="65">
        <f t="shared" si="75"/>
        <v>1.10926716265665</v>
      </c>
      <c r="AY108" s="65">
        <f t="shared" si="65"/>
        <v>9.58868571778421</v>
      </c>
      <c r="AZ108" s="69">
        <f t="shared" si="76"/>
        <v>0.00199320820663164</v>
      </c>
      <c r="BA108" s="69">
        <f t="shared" si="77"/>
        <v>7.68337753152634e-6</v>
      </c>
      <c r="BB108" s="72">
        <f t="shared" si="51"/>
        <v>22.0985356671708</v>
      </c>
      <c r="BC108" s="72">
        <f t="shared" si="52"/>
        <v>1.27490798428227</v>
      </c>
      <c r="BD108" s="72">
        <f t="shared" si="53"/>
        <v>0.0435295082526308</v>
      </c>
      <c r="BE108" s="72">
        <f t="shared" si="54"/>
        <v>61.8922665781847</v>
      </c>
      <c r="BF108" s="1"/>
    </row>
    <row r="109" ht="25" customHeight="1" spans="1:58">
      <c r="A109" s="54">
        <v>143</v>
      </c>
      <c r="B109" s="54" t="s">
        <v>198</v>
      </c>
      <c r="C109" s="55">
        <v>0.467989805422608</v>
      </c>
      <c r="D109" s="55">
        <v>-5.48642003216745</v>
      </c>
      <c r="E109" s="55"/>
      <c r="F109" s="55">
        <v>2.35684279807455</v>
      </c>
      <c r="G109" s="56">
        <v>0.8</v>
      </c>
      <c r="H109" s="57">
        <f t="shared" si="78"/>
        <v>0.000185725163902457</v>
      </c>
      <c r="I109" s="57">
        <f t="shared" si="79"/>
        <v>0.000125</v>
      </c>
      <c r="J109" s="58">
        <f t="shared" si="57"/>
        <v>0.0369856525377723</v>
      </c>
      <c r="K109" s="58"/>
      <c r="L109" s="58">
        <f t="shared" si="58"/>
        <v>6.03750604136776</v>
      </c>
      <c r="M109" s="57">
        <f t="shared" si="59"/>
        <v>0.00246106931636231</v>
      </c>
      <c r="N109" s="57">
        <f t="shared" si="60"/>
        <v>0.00654567756772485</v>
      </c>
      <c r="O109" s="57">
        <f t="shared" si="61"/>
        <v>0.179326980168647</v>
      </c>
      <c r="P109" s="59">
        <v>0.0302</v>
      </c>
      <c r="Q109" s="60">
        <f t="shared" si="40"/>
        <v>0.0292</v>
      </c>
      <c r="R109" s="61">
        <v>1000</v>
      </c>
      <c r="S109" s="59">
        <v>0.92922</v>
      </c>
      <c r="T109" s="59">
        <v>9.801</v>
      </c>
      <c r="U109" s="62">
        <v>4e-6</v>
      </c>
      <c r="V109" s="63"/>
      <c r="W109" s="63">
        <f t="shared" si="41"/>
        <v>3.6e-6</v>
      </c>
      <c r="X109" s="64">
        <v>0.001147</v>
      </c>
      <c r="Y109" s="64">
        <v>1.85e-5</v>
      </c>
      <c r="Z109" s="65"/>
      <c r="AA109" s="66">
        <f t="shared" si="73"/>
        <v>0.00235684279807455</v>
      </c>
      <c r="AB109" s="65">
        <f t="shared" si="42"/>
        <v>9.12408042708922</v>
      </c>
      <c r="AC109" s="65">
        <f t="shared" si="43"/>
        <v>34.1842813220638</v>
      </c>
      <c r="AD109" s="65">
        <f t="shared" si="44"/>
        <v>7.2108202465386</v>
      </c>
      <c r="AE109" s="96">
        <f t="shared" si="38"/>
        <v>4.74069248064716</v>
      </c>
      <c r="AF109" s="96">
        <f t="shared" si="39"/>
        <v>0.89166623198209</v>
      </c>
      <c r="AG109" s="96">
        <f t="shared" si="72"/>
        <v>2.77905157686899</v>
      </c>
      <c r="AH109" s="96"/>
      <c r="AI109" s="63">
        <f t="shared" si="46"/>
        <v>101.18698495624</v>
      </c>
      <c r="AJ109" s="68"/>
      <c r="AK109" s="69">
        <f t="shared" si="62"/>
        <v>730.545378036107</v>
      </c>
      <c r="AL109" s="69"/>
      <c r="AM109" s="69">
        <f t="shared" si="74"/>
        <v>0.0177743147953553</v>
      </c>
      <c r="AN109" s="69">
        <f t="shared" si="47"/>
        <v>6.93430514533912e-5</v>
      </c>
      <c r="AO109" s="65">
        <f t="shared" si="63"/>
        <v>0.020820562211222</v>
      </c>
      <c r="AP109" s="68"/>
      <c r="AQ109" s="68"/>
      <c r="AR109" s="68">
        <f t="shared" si="48"/>
        <v>25.7550354552816</v>
      </c>
      <c r="AS109" s="68">
        <f t="shared" si="49"/>
        <v>36.4359838696384</v>
      </c>
      <c r="AT109" s="71">
        <f t="shared" si="50"/>
        <v>0.017197076760441</v>
      </c>
      <c r="AU109" s="71"/>
      <c r="AV109" s="65"/>
      <c r="AW109" s="65">
        <f t="shared" si="64"/>
        <v>0.0293251466371477</v>
      </c>
      <c r="AX109" s="65">
        <f t="shared" si="75"/>
        <v>0.709990046046265</v>
      </c>
      <c r="AY109" s="65">
        <f t="shared" si="65"/>
        <v>17.2786901635604</v>
      </c>
      <c r="AZ109" s="69">
        <f t="shared" si="76"/>
        <v>0.00120498498521208</v>
      </c>
      <c r="BA109" s="69">
        <f t="shared" si="77"/>
        <v>6.00514152102573e-6</v>
      </c>
      <c r="BB109" s="72">
        <f t="shared" si="51"/>
        <v>24.0737750567254</v>
      </c>
      <c r="BC109" s="72">
        <f t="shared" si="52"/>
        <v>1.99187801328829</v>
      </c>
      <c r="BD109" s="72">
        <f t="shared" si="53"/>
        <v>0.0169188727846536</v>
      </c>
      <c r="BE109" s="72">
        <f t="shared" si="54"/>
        <v>48.605921815141</v>
      </c>
      <c r="BF109" s="1"/>
    </row>
    <row r="110" ht="25" customHeight="1" spans="1:58">
      <c r="A110" s="54">
        <v>144</v>
      </c>
      <c r="B110" s="54" t="s">
        <v>198</v>
      </c>
      <c r="C110" s="55">
        <v>0.546589026734305</v>
      </c>
      <c r="D110" s="55">
        <v>10.8427850461297</v>
      </c>
      <c r="E110" s="55"/>
      <c r="F110" s="55">
        <v>2.31237383660544</v>
      </c>
      <c r="G110" s="56">
        <v>0.8</v>
      </c>
      <c r="H110" s="57">
        <f t="shared" si="78"/>
        <v>0.000185725163902457</v>
      </c>
      <c r="I110" s="57">
        <f t="shared" si="79"/>
        <v>0.000125</v>
      </c>
      <c r="J110" s="58">
        <f t="shared" si="57"/>
        <v>0.0440305862355871</v>
      </c>
      <c r="K110" s="58"/>
      <c r="L110" s="58">
        <f t="shared" si="58"/>
        <v>8.23618154092074</v>
      </c>
      <c r="M110" s="57">
        <f t="shared" si="59"/>
        <v>0.00243774099769384</v>
      </c>
      <c r="N110" s="57">
        <f t="shared" si="60"/>
        <v>0.00470809363515279</v>
      </c>
      <c r="O110" s="57">
        <f t="shared" si="61"/>
        <v>0.251717238176857</v>
      </c>
      <c r="P110" s="59">
        <v>0.0302</v>
      </c>
      <c r="Q110" s="60">
        <f t="shared" si="40"/>
        <v>0.0292</v>
      </c>
      <c r="R110" s="61">
        <v>1000</v>
      </c>
      <c r="S110" s="59">
        <v>0.92922</v>
      </c>
      <c r="T110" s="59">
        <v>9.801</v>
      </c>
      <c r="U110" s="62">
        <v>4e-6</v>
      </c>
      <c r="V110" s="63"/>
      <c r="W110" s="63">
        <f t="shared" si="41"/>
        <v>3.6e-6</v>
      </c>
      <c r="X110" s="64">
        <v>0.001147</v>
      </c>
      <c r="Y110" s="64">
        <v>1.85e-5</v>
      </c>
      <c r="Z110" s="65"/>
      <c r="AA110" s="66">
        <f t="shared" si="73"/>
        <v>0.00231237383660544</v>
      </c>
      <c r="AB110" s="65">
        <f t="shared" si="42"/>
        <v>13.1885608637286</v>
      </c>
      <c r="AC110" s="65">
        <f t="shared" si="43"/>
        <v>45.7512450044818</v>
      </c>
      <c r="AD110" s="65">
        <f t="shared" si="44"/>
        <v>6.94127948647555</v>
      </c>
      <c r="AE110" s="96">
        <f t="shared" si="38"/>
        <v>6.59118323842513</v>
      </c>
      <c r="AF110" s="96">
        <f t="shared" si="39"/>
        <v>0.861551157341912</v>
      </c>
      <c r="AG110" s="96">
        <f t="shared" si="72"/>
        <v>2.87020662951604</v>
      </c>
      <c r="AH110" s="96"/>
      <c r="AI110" s="63">
        <f t="shared" si="46"/>
        <v>118.181411185796</v>
      </c>
      <c r="AJ110" s="68"/>
      <c r="AK110" s="69">
        <f t="shared" si="62"/>
        <v>535.547708596937</v>
      </c>
      <c r="AL110" s="69"/>
      <c r="AM110" s="69">
        <f t="shared" si="74"/>
        <v>0.0207595236312665</v>
      </c>
      <c r="AN110" s="69">
        <f t="shared" si="47"/>
        <v>7.00066399163488e-5</v>
      </c>
      <c r="AO110" s="65">
        <f t="shared" si="63"/>
        <v>0.0202340863422192</v>
      </c>
      <c r="AP110" s="68"/>
      <c r="AQ110" s="68"/>
      <c r="AR110" s="68">
        <f t="shared" si="48"/>
        <v>25.0295648053251</v>
      </c>
      <c r="AS110" s="68">
        <f t="shared" si="49"/>
        <v>35.4096510988835</v>
      </c>
      <c r="AT110" s="71">
        <f t="shared" si="50"/>
        <v>0.0173616466992545</v>
      </c>
      <c r="AU110" s="71"/>
      <c r="AV110" s="65"/>
      <c r="AW110" s="65">
        <f t="shared" si="64"/>
        <v>0.0206940751726785</v>
      </c>
      <c r="AX110" s="65">
        <f t="shared" si="75"/>
        <v>0.977771955179391</v>
      </c>
      <c r="AY110" s="65">
        <f t="shared" si="65"/>
        <v>11.963109500512</v>
      </c>
      <c r="AZ110" s="69">
        <f t="shared" si="76"/>
        <v>0.00169137349627646</v>
      </c>
      <c r="BA110" s="69">
        <f t="shared" si="77"/>
        <v>7.73667888342094e-6</v>
      </c>
      <c r="BB110" s="72">
        <f t="shared" si="51"/>
        <v>23.3956623331909</v>
      </c>
      <c r="BC110" s="72">
        <f t="shared" si="52"/>
        <v>1.44636339269276</v>
      </c>
      <c r="BD110" s="72">
        <f t="shared" si="53"/>
        <v>0.02442427581893</v>
      </c>
      <c r="BE110" s="72">
        <f t="shared" si="54"/>
        <v>59.6338039774329</v>
      </c>
      <c r="BF110" s="1"/>
    </row>
    <row r="111" ht="25" customHeight="1" spans="1:58">
      <c r="A111" s="54">
        <v>145</v>
      </c>
      <c r="B111" s="54" t="s">
        <v>198</v>
      </c>
      <c r="C111" s="55">
        <v>0.553938521007652</v>
      </c>
      <c r="D111" s="55">
        <v>-4.89294991988664</v>
      </c>
      <c r="E111" s="55"/>
      <c r="F111" s="55">
        <v>2.32679997098468</v>
      </c>
      <c r="G111" s="56">
        <v>0.7</v>
      </c>
      <c r="H111" s="57">
        <f t="shared" si="78"/>
        <v>0.000185725163902457</v>
      </c>
      <c r="I111" s="57">
        <f t="shared" si="79"/>
        <v>0.000125</v>
      </c>
      <c r="J111" s="58">
        <f t="shared" si="57"/>
        <v>0.044345157884813</v>
      </c>
      <c r="K111" s="58"/>
      <c r="L111" s="58">
        <f t="shared" si="58"/>
        <v>8.45903624687556</v>
      </c>
      <c r="M111" s="57">
        <f t="shared" si="59"/>
        <v>0.00244533330391866</v>
      </c>
      <c r="N111" s="57">
        <f t="shared" si="60"/>
        <v>0.004612547022807</v>
      </c>
      <c r="O111" s="57">
        <f t="shared" si="61"/>
        <v>0.256129540194041</v>
      </c>
      <c r="P111" s="59">
        <v>0.0302</v>
      </c>
      <c r="Q111" s="60">
        <f t="shared" si="40"/>
        <v>0.0287</v>
      </c>
      <c r="R111" s="61">
        <v>1000</v>
      </c>
      <c r="S111" s="59">
        <v>0.81304</v>
      </c>
      <c r="T111" s="59">
        <v>9.801</v>
      </c>
      <c r="U111" s="62">
        <v>4e-6</v>
      </c>
      <c r="V111" s="63"/>
      <c r="W111" s="63">
        <f t="shared" si="41"/>
        <v>3.4e-6</v>
      </c>
      <c r="X111" s="64">
        <v>0.001147</v>
      </c>
      <c r="Y111" s="64">
        <v>1.85e-5</v>
      </c>
      <c r="Z111" s="65"/>
      <c r="AA111" s="66">
        <f t="shared" si="73"/>
        <v>0.00232679997098468</v>
      </c>
      <c r="AB111" s="65">
        <f t="shared" si="42"/>
        <v>13.6008096358891</v>
      </c>
      <c r="AC111" s="65">
        <f t="shared" si="43"/>
        <v>47.2830231818111</v>
      </c>
      <c r="AD111" s="65">
        <f t="shared" si="44"/>
        <v>7.02815833468254</v>
      </c>
      <c r="AE111" s="96">
        <f t="shared" si="38"/>
        <v>6.72765480374552</v>
      </c>
      <c r="AF111" s="96">
        <f t="shared" si="39"/>
        <v>0.859994694222886</v>
      </c>
      <c r="AG111" s="96">
        <f t="shared" si="72"/>
        <v>2.87514553481283</v>
      </c>
      <c r="AH111" s="96"/>
      <c r="AI111" s="63">
        <f t="shared" si="46"/>
        <v>119.770491028682</v>
      </c>
      <c r="AJ111" s="68"/>
      <c r="AK111" s="69">
        <f t="shared" si="62"/>
        <v>456.252126275479</v>
      </c>
      <c r="AL111" s="69"/>
      <c r="AM111" s="69">
        <f t="shared" si="74"/>
        <v>0.0210386583972112</v>
      </c>
      <c r="AN111" s="69">
        <f t="shared" si="47"/>
        <v>6.97892822877738e-5</v>
      </c>
      <c r="AO111" s="65">
        <f t="shared" si="63"/>
        <v>0.0204237320028932</v>
      </c>
      <c r="AP111" s="68"/>
      <c r="AQ111" s="68"/>
      <c r="AR111" s="68">
        <f t="shared" si="48"/>
        <v>25.2641564875789</v>
      </c>
      <c r="AS111" s="68">
        <f t="shared" si="49"/>
        <v>35.7415310050631</v>
      </c>
      <c r="AT111" s="71">
        <f t="shared" si="50"/>
        <v>0.0173077420073679</v>
      </c>
      <c r="AU111" s="71"/>
      <c r="AV111" s="65"/>
      <c r="AW111" s="65">
        <f t="shared" si="64"/>
        <v>0.0204007771072991</v>
      </c>
      <c r="AX111" s="65">
        <f t="shared" si="75"/>
        <v>1.00112519711741</v>
      </c>
      <c r="AY111" s="65">
        <f t="shared" si="65"/>
        <v>11.8671318953321</v>
      </c>
      <c r="AZ111" s="69">
        <f t="shared" si="76"/>
        <v>0.00172103353894017</v>
      </c>
      <c r="BA111" s="69">
        <f t="shared" si="77"/>
        <v>8.09578371293021e-6</v>
      </c>
      <c r="BB111" s="72">
        <f t="shared" si="51"/>
        <v>23.6149401283453</v>
      </c>
      <c r="BC111" s="72">
        <f t="shared" si="52"/>
        <v>1.41262408182823</v>
      </c>
      <c r="BD111" s="72">
        <f t="shared" si="53"/>
        <v>0.0199581851398608</v>
      </c>
      <c r="BE111" s="72">
        <f t="shared" si="54"/>
        <v>61.3393398511762</v>
      </c>
      <c r="BF111" s="1"/>
    </row>
    <row r="112" ht="25" customHeight="1" spans="1:58">
      <c r="A112" s="54">
        <v>147</v>
      </c>
      <c r="B112" s="54" t="s">
        <v>198</v>
      </c>
      <c r="C112" s="55">
        <v>0.558495514734386</v>
      </c>
      <c r="D112" s="55">
        <v>-2.2338673807513</v>
      </c>
      <c r="E112" s="55"/>
      <c r="F112" s="55">
        <v>2.21933604712648</v>
      </c>
      <c r="G112" s="56">
        <v>0.7</v>
      </c>
      <c r="H112" s="57">
        <f t="shared" si="78"/>
        <v>0.000185725163902457</v>
      </c>
      <c r="I112" s="57">
        <f t="shared" si="79"/>
        <v>0.000125</v>
      </c>
      <c r="J112" s="58">
        <f t="shared" si="57"/>
        <v>0.0468815281294031</v>
      </c>
      <c r="K112" s="58"/>
      <c r="L112" s="58">
        <f t="shared" si="58"/>
        <v>8.59976034947615</v>
      </c>
      <c r="M112" s="57">
        <f t="shared" si="59"/>
        <v>0.00238819657648924</v>
      </c>
      <c r="N112" s="57">
        <f t="shared" si="60"/>
        <v>0.00432832034095493</v>
      </c>
      <c r="O112" s="57">
        <f t="shared" si="61"/>
        <v>0.279514251861273</v>
      </c>
      <c r="P112" s="59">
        <v>0.0302</v>
      </c>
      <c r="Q112" s="60">
        <f t="shared" si="40"/>
        <v>0.0287</v>
      </c>
      <c r="R112" s="61">
        <v>1000</v>
      </c>
      <c r="S112" s="59">
        <v>0.81304</v>
      </c>
      <c r="T112" s="59">
        <v>9.801</v>
      </c>
      <c r="U112" s="62">
        <v>4e-6</v>
      </c>
      <c r="V112" s="63"/>
      <c r="W112" s="63">
        <f t="shared" si="41"/>
        <v>3.4e-6</v>
      </c>
      <c r="X112" s="64">
        <v>0.001147</v>
      </c>
      <c r="Y112" s="64">
        <v>1.85e-5</v>
      </c>
      <c r="Z112" s="65"/>
      <c r="AA112" s="66">
        <f t="shared" si="73"/>
        <v>0.00221933604712648</v>
      </c>
      <c r="AB112" s="65">
        <f t="shared" si="42"/>
        <v>13.859186543243</v>
      </c>
      <c r="AC112" s="65">
        <f t="shared" si="43"/>
        <v>45.8443161857168</v>
      </c>
      <c r="AD112" s="65">
        <f t="shared" si="44"/>
        <v>6.39395494771192</v>
      </c>
      <c r="AE112" s="96">
        <f t="shared" si="38"/>
        <v>7.16994670131703</v>
      </c>
      <c r="AF112" s="96">
        <f t="shared" si="39"/>
        <v>0.85536177559898</v>
      </c>
      <c r="AG112" s="96">
        <f t="shared" si="72"/>
        <v>2.88998448273023</v>
      </c>
      <c r="AH112" s="96"/>
      <c r="AI112" s="63">
        <f t="shared" si="46"/>
        <v>120.755786969597</v>
      </c>
      <c r="AJ112" s="68"/>
      <c r="AK112" s="69">
        <f t="shared" si="62"/>
        <v>448.83700564189</v>
      </c>
      <c r="AL112" s="69"/>
      <c r="AM112" s="69">
        <f t="shared" si="74"/>
        <v>0.0212117336225278</v>
      </c>
      <c r="AN112" s="69">
        <f t="shared" si="47"/>
        <v>7.14589652773681e-5</v>
      </c>
      <c r="AO112" s="65">
        <f t="shared" si="63"/>
        <v>0.0190252831601943</v>
      </c>
      <c r="AP112" s="68"/>
      <c r="AQ112" s="68"/>
      <c r="AR112" s="68">
        <f t="shared" si="48"/>
        <v>23.5342752691604</v>
      </c>
      <c r="AS112" s="68">
        <f t="shared" si="49"/>
        <v>33.29424553034</v>
      </c>
      <c r="AT112" s="71">
        <f t="shared" si="50"/>
        <v>0.0177218233887873</v>
      </c>
      <c r="AU112" s="71"/>
      <c r="AV112" s="65"/>
      <c r="AW112" s="65">
        <f t="shared" si="64"/>
        <v>0.0182582227325527</v>
      </c>
      <c r="AX112" s="65">
        <f t="shared" si="75"/>
        <v>1.04201177950765</v>
      </c>
      <c r="AY112" s="65">
        <f t="shared" si="65"/>
        <v>10.1302829667046</v>
      </c>
      <c r="AZ112" s="69">
        <f t="shared" si="76"/>
        <v>0.00187806038811799</v>
      </c>
      <c r="BA112" s="69">
        <f t="shared" si="77"/>
        <v>7.14113419619735e-6</v>
      </c>
      <c r="BB112" s="72">
        <f t="shared" si="51"/>
        <v>21.9979836539747</v>
      </c>
      <c r="BC112" s="72">
        <f t="shared" si="52"/>
        <v>1.35719536975034</v>
      </c>
      <c r="BD112" s="72">
        <f t="shared" si="53"/>
        <v>0.0482522216192498</v>
      </c>
      <c r="BE112" s="72">
        <f t="shared" si="54"/>
        <v>58.6322260811406</v>
      </c>
      <c r="BF112" s="1"/>
    </row>
    <row r="113" ht="25" customHeight="1" spans="1:58">
      <c r="A113" s="54">
        <v>149</v>
      </c>
      <c r="B113" s="54" t="s">
        <v>198</v>
      </c>
      <c r="C113" s="55">
        <v>0.661877062658691</v>
      </c>
      <c r="D113" s="55">
        <v>1.05910901428212</v>
      </c>
      <c r="E113" s="55"/>
      <c r="F113" s="55">
        <v>2.24001614289212</v>
      </c>
      <c r="G113" s="56">
        <v>0.6</v>
      </c>
      <c r="H113" s="57">
        <f t="shared" si="78"/>
        <v>0.000185725163902457</v>
      </c>
      <c r="I113" s="57">
        <f t="shared" si="79"/>
        <v>0.000125</v>
      </c>
      <c r="J113" s="58">
        <f t="shared" si="57"/>
        <v>0.0550451472419843</v>
      </c>
      <c r="K113" s="58"/>
      <c r="L113" s="58">
        <f t="shared" si="58"/>
        <v>12.0779101337151</v>
      </c>
      <c r="M113" s="57">
        <f t="shared" si="59"/>
        <v>0.00239929755767059</v>
      </c>
      <c r="N113" s="57">
        <f t="shared" si="60"/>
        <v>0.00311047012517726</v>
      </c>
      <c r="O113" s="57">
        <f t="shared" si="61"/>
        <v>0.387143798419694</v>
      </c>
      <c r="P113" s="59">
        <v>0.0302</v>
      </c>
      <c r="Q113" s="60">
        <f t="shared" si="40"/>
        <v>0.0282</v>
      </c>
      <c r="R113" s="61">
        <v>1000</v>
      </c>
      <c r="S113" s="59">
        <v>0.69687</v>
      </c>
      <c r="T113" s="59">
        <v>9.801</v>
      </c>
      <c r="U113" s="62">
        <v>4e-6</v>
      </c>
      <c r="V113" s="63"/>
      <c r="W113" s="63">
        <f t="shared" si="41"/>
        <v>3.2e-6</v>
      </c>
      <c r="X113" s="64">
        <v>0.001147</v>
      </c>
      <c r="Y113" s="64">
        <v>1.85e-5</v>
      </c>
      <c r="Z113" s="65"/>
      <c r="AA113" s="66">
        <f t="shared" si="73"/>
        <v>0.00224001614289212</v>
      </c>
      <c r="AB113" s="65">
        <f t="shared" si="42"/>
        <v>20.2895640200661</v>
      </c>
      <c r="AC113" s="65">
        <f t="shared" si="43"/>
        <v>64.987355172409</v>
      </c>
      <c r="AD113" s="65">
        <f t="shared" si="44"/>
        <v>6.51366972349799</v>
      </c>
      <c r="AE113" s="96">
        <f t="shared" si="38"/>
        <v>9.97707251535456</v>
      </c>
      <c r="AF113" s="96">
        <f t="shared" si="39"/>
        <v>0.835597355030879</v>
      </c>
      <c r="AG113" s="96">
        <f t="shared" si="72"/>
        <v>2.95567976119114</v>
      </c>
      <c r="AH113" s="96"/>
      <c r="AI113" s="63">
        <f t="shared" si="46"/>
        <v>143.108554088366</v>
      </c>
      <c r="AJ113" s="68"/>
      <c r="AK113" s="69">
        <f t="shared" si="62"/>
        <v>273.921792077383</v>
      </c>
      <c r="AL113" s="69"/>
      <c r="AM113" s="69">
        <f t="shared" si="74"/>
        <v>0.0251381785056132</v>
      </c>
      <c r="AN113" s="69">
        <f t="shared" si="47"/>
        <v>7.1128341580342e-5</v>
      </c>
      <c r="AO113" s="65">
        <f t="shared" si="63"/>
        <v>0.0192918222024253</v>
      </c>
      <c r="AP113" s="68"/>
      <c r="AQ113" s="68"/>
      <c r="AR113" s="68">
        <f t="shared" si="48"/>
        <v>23.8639840644001</v>
      </c>
      <c r="AS113" s="68">
        <f t="shared" si="49"/>
        <v>33.7606888542443</v>
      </c>
      <c r="AT113" s="71">
        <f t="shared" si="50"/>
        <v>0.0176398287119248</v>
      </c>
      <c r="AU113" s="71"/>
      <c r="AV113" s="65"/>
      <c r="AW113" s="65">
        <f t="shared" si="64"/>
        <v>0.013243396453238</v>
      </c>
      <c r="AX113" s="65">
        <f t="shared" si="75"/>
        <v>1.45671257902337</v>
      </c>
      <c r="AY113" s="65">
        <f t="shared" si="65"/>
        <v>7.41635546049336</v>
      </c>
      <c r="AZ113" s="69">
        <f t="shared" si="76"/>
        <v>0.00260125371622114</v>
      </c>
      <c r="BA113" s="69">
        <f t="shared" si="77"/>
        <v>1.03125654955109e-5</v>
      </c>
      <c r="BB113" s="72">
        <f t="shared" si="51"/>
        <v>22.3061694215543</v>
      </c>
      <c r="BC113" s="72">
        <f t="shared" si="52"/>
        <v>0.970825393243486</v>
      </c>
      <c r="BD113" s="72">
        <f t="shared" si="53"/>
        <v>0.0303545289352154</v>
      </c>
      <c r="BE113" s="72">
        <f t="shared" si="54"/>
        <v>78.014694619405</v>
      </c>
      <c r="BF113" s="84" t="s">
        <v>118</v>
      </c>
    </row>
    <row r="114" ht="25" customHeight="1" spans="1:58">
      <c r="A114" s="54">
        <v>150</v>
      </c>
      <c r="B114" s="54" t="s">
        <v>198</v>
      </c>
      <c r="C114" s="55">
        <v>0.676330373331635</v>
      </c>
      <c r="D114" s="55">
        <v>-1.28694609607789</v>
      </c>
      <c r="E114" s="55"/>
      <c r="F114" s="55">
        <v>2.26002564660153</v>
      </c>
      <c r="G114" s="56">
        <v>0.6</v>
      </c>
      <c r="H114" s="57">
        <f t="shared" si="78"/>
        <v>0.000185725163902457</v>
      </c>
      <c r="I114" s="57">
        <f t="shared" si="79"/>
        <v>0.000125</v>
      </c>
      <c r="J114" s="58">
        <f t="shared" si="57"/>
        <v>0.0557476685015452</v>
      </c>
      <c r="K114" s="58"/>
      <c r="L114" s="58">
        <f t="shared" si="58"/>
        <v>12.6108850735961</v>
      </c>
      <c r="M114" s="57">
        <f t="shared" si="59"/>
        <v>0.00240998989513018</v>
      </c>
      <c r="N114" s="57">
        <f t="shared" si="60"/>
        <v>0.00300551762854694</v>
      </c>
      <c r="O114" s="57">
        <f t="shared" si="61"/>
        <v>0.398875652889394</v>
      </c>
      <c r="P114" s="59">
        <v>0.0302</v>
      </c>
      <c r="Q114" s="60">
        <f t="shared" si="40"/>
        <v>0.0282</v>
      </c>
      <c r="R114" s="61">
        <v>1000</v>
      </c>
      <c r="S114" s="59">
        <v>0.69687</v>
      </c>
      <c r="T114" s="59">
        <v>9.801</v>
      </c>
      <c r="U114" s="62">
        <v>4e-6</v>
      </c>
      <c r="V114" s="63"/>
      <c r="W114" s="63">
        <f t="shared" si="41"/>
        <v>3.2e-6</v>
      </c>
      <c r="X114" s="64">
        <v>0.001147</v>
      </c>
      <c r="Y114" s="64">
        <v>1.85e-5</v>
      </c>
      <c r="Z114" s="65"/>
      <c r="AA114" s="66">
        <f t="shared" si="73"/>
        <v>0.00226002564660153</v>
      </c>
      <c r="AB114" s="65">
        <f t="shared" si="42"/>
        <v>21.2753707385784</v>
      </c>
      <c r="AC114" s="65">
        <f t="shared" si="43"/>
        <v>68.4627284988786</v>
      </c>
      <c r="AD114" s="65">
        <f t="shared" si="44"/>
        <v>6.63055943897094</v>
      </c>
      <c r="AE114" s="96">
        <f t="shared" si="38"/>
        <v>10.325332142638</v>
      </c>
      <c r="AF114" s="96">
        <f t="shared" si="39"/>
        <v>0.833898778962986</v>
      </c>
      <c r="AG114" s="96">
        <f t="shared" si="72"/>
        <v>2.96151205714804</v>
      </c>
      <c r="AH114" s="96"/>
      <c r="AI114" s="63">
        <f t="shared" si="46"/>
        <v>146.233594233867</v>
      </c>
      <c r="AJ114" s="68"/>
      <c r="AK114" s="69">
        <f t="shared" si="62"/>
        <v>262.339364914566</v>
      </c>
      <c r="AL114" s="69"/>
      <c r="AM114" s="69">
        <f t="shared" si="74"/>
        <v>0.0256871171593174</v>
      </c>
      <c r="AN114" s="69">
        <f t="shared" si="47"/>
        <v>7.08127683770454e-5</v>
      </c>
      <c r="AO114" s="65">
        <f t="shared" si="63"/>
        <v>0.0195508921411975</v>
      </c>
      <c r="AP114" s="68"/>
      <c r="AQ114" s="68"/>
      <c r="AR114" s="68">
        <f t="shared" si="48"/>
        <v>24.1844535786613</v>
      </c>
      <c r="AS114" s="68">
        <f t="shared" si="49"/>
        <v>34.2140612470956</v>
      </c>
      <c r="AT114" s="71">
        <f t="shared" si="50"/>
        <v>0.0175615665575073</v>
      </c>
      <c r="AU114" s="71"/>
      <c r="AV114" s="65"/>
      <c r="AW114" s="65">
        <f t="shared" si="64"/>
        <v>0.0129110242720889</v>
      </c>
      <c r="AX114" s="65">
        <f t="shared" si="75"/>
        <v>1.51427893939156</v>
      </c>
      <c r="AY114" s="65">
        <f t="shared" si="65"/>
        <v>7.29481149470395</v>
      </c>
      <c r="AZ114" s="69">
        <f t="shared" si="76"/>
        <v>0.00268010930171279</v>
      </c>
      <c r="BA114" s="69">
        <f t="shared" si="77"/>
        <v>1.10590163310074e-5</v>
      </c>
      <c r="BB114" s="72">
        <f t="shared" si="51"/>
        <v>22.6057190382596</v>
      </c>
      <c r="BC114" s="72">
        <f t="shared" si="52"/>
        <v>0.933918795001752</v>
      </c>
      <c r="BD114" s="72">
        <f t="shared" si="53"/>
        <v>0.0253989456772323</v>
      </c>
      <c r="BE114" s="72">
        <f t="shared" si="54"/>
        <v>81.7238473768205</v>
      </c>
      <c r="BF114" s="84" t="s">
        <v>118</v>
      </c>
    </row>
    <row r="115" ht="25" customHeight="1" spans="1:58">
      <c r="A115" s="54">
        <v>151</v>
      </c>
      <c r="B115" s="54" t="s">
        <v>198</v>
      </c>
      <c r="C115" s="55">
        <v>0.689011936876248</v>
      </c>
      <c r="D115" s="55">
        <v>4.31851292358718</v>
      </c>
      <c r="E115" s="55"/>
      <c r="F115" s="55">
        <v>2.19871148865214</v>
      </c>
      <c r="G115" s="56">
        <v>0.5</v>
      </c>
      <c r="H115" s="57">
        <f t="shared" si="78"/>
        <v>0.000185725163902457</v>
      </c>
      <c r="I115" s="57">
        <f t="shared" si="79"/>
        <v>0.000125</v>
      </c>
      <c r="J115" s="58">
        <f t="shared" si="57"/>
        <v>0.058381616432985</v>
      </c>
      <c r="K115" s="58"/>
      <c r="L115" s="58">
        <f t="shared" si="58"/>
        <v>13.0891202125671</v>
      </c>
      <c r="M115" s="57">
        <f t="shared" si="59"/>
        <v>0.00237707377488173</v>
      </c>
      <c r="N115" s="57">
        <f t="shared" si="60"/>
        <v>0.00281745325883583</v>
      </c>
      <c r="O115" s="57">
        <f t="shared" si="61"/>
        <v>0.431424882291014</v>
      </c>
      <c r="P115" s="59">
        <v>0.0302</v>
      </c>
      <c r="Q115" s="60">
        <f t="shared" si="40"/>
        <v>0.0277</v>
      </c>
      <c r="R115" s="61">
        <v>1000</v>
      </c>
      <c r="S115" s="59">
        <v>0.58071</v>
      </c>
      <c r="T115" s="59">
        <v>9.801</v>
      </c>
      <c r="U115" s="62">
        <v>4e-6</v>
      </c>
      <c r="V115" s="63"/>
      <c r="W115" s="63">
        <f t="shared" si="41"/>
        <v>3e-6</v>
      </c>
      <c r="X115" s="64">
        <v>0.001147</v>
      </c>
      <c r="Y115" s="64">
        <v>1.85e-5</v>
      </c>
      <c r="Z115" s="65"/>
      <c r="AA115" s="66">
        <f t="shared" si="73"/>
        <v>0.00219871148865214</v>
      </c>
      <c r="AB115" s="65">
        <f t="shared" si="42"/>
        <v>22.1578720263995</v>
      </c>
      <c r="AC115" s="65">
        <f t="shared" si="43"/>
        <v>69.1265353349016</v>
      </c>
      <c r="AD115" s="65">
        <f t="shared" si="44"/>
        <v>6.27566754880175</v>
      </c>
      <c r="AE115" s="96">
        <f t="shared" si="38"/>
        <v>11.0150091280887</v>
      </c>
      <c r="AF115" s="96">
        <f t="shared" si="39"/>
        <v>0.830853358555074</v>
      </c>
      <c r="AG115" s="96">
        <f t="shared" si="72"/>
        <v>2.97204494523781</v>
      </c>
      <c r="AH115" s="96"/>
      <c r="AI115" s="63">
        <f t="shared" si="46"/>
        <v>148.975553919189</v>
      </c>
      <c r="AJ115" s="68"/>
      <c r="AK115" s="69">
        <f t="shared" si="62"/>
        <v>210.642746169214</v>
      </c>
      <c r="AL115" s="69"/>
      <c r="AM115" s="69">
        <f t="shared" si="74"/>
        <v>0.0261687646224191</v>
      </c>
      <c r="AN115" s="69">
        <f t="shared" si="47"/>
        <v>7.17933360075728e-5</v>
      </c>
      <c r="AO115" s="65">
        <f t="shared" si="63"/>
        <v>0.0187606938782983</v>
      </c>
      <c r="AP115" s="68"/>
      <c r="AQ115" s="68"/>
      <c r="AR115" s="68">
        <f t="shared" si="48"/>
        <v>23.206978327455</v>
      </c>
      <c r="AS115" s="68">
        <f t="shared" si="49"/>
        <v>32.8312142870221</v>
      </c>
      <c r="AT115" s="71">
        <f t="shared" si="50"/>
        <v>0.0178047473298781</v>
      </c>
      <c r="AU115" s="71"/>
      <c r="AV115" s="65"/>
      <c r="AW115" s="65">
        <f t="shared" si="64"/>
        <v>0.0117742904590939</v>
      </c>
      <c r="AX115" s="65">
        <f t="shared" si="75"/>
        <v>1.59336088603186</v>
      </c>
      <c r="AY115" s="65">
        <f t="shared" si="65"/>
        <v>6.47206692578424</v>
      </c>
      <c r="AZ115" s="69">
        <f t="shared" si="76"/>
        <v>0.00289871753389278</v>
      </c>
      <c r="BA115" s="69">
        <f t="shared" si="77"/>
        <v>1.05685849503558e-5</v>
      </c>
      <c r="BB115" s="72">
        <f t="shared" si="51"/>
        <v>21.6920522967825</v>
      </c>
      <c r="BC115" s="72">
        <f t="shared" si="52"/>
        <v>0.887566385475345</v>
      </c>
      <c r="BD115" s="72">
        <f t="shared" si="53"/>
        <v>0.0354229369450283</v>
      </c>
      <c r="BE115" s="72">
        <f t="shared" si="54"/>
        <v>81.6778704325052</v>
      </c>
      <c r="BF115" s="84" t="s">
        <v>118</v>
      </c>
    </row>
    <row r="116" ht="25" customHeight="1" spans="1:58">
      <c r="A116" s="54">
        <v>152</v>
      </c>
      <c r="B116" s="54" t="s">
        <v>198</v>
      </c>
      <c r="C116" s="55">
        <v>0.675403616338839</v>
      </c>
      <c r="D116" s="55">
        <v>-0.414813564549938</v>
      </c>
      <c r="E116" s="55"/>
      <c r="F116" s="55">
        <v>2.082789694128</v>
      </c>
      <c r="G116" s="56">
        <v>0.5</v>
      </c>
      <c r="H116" s="57">
        <f t="shared" si="78"/>
        <v>0.000185725163902457</v>
      </c>
      <c r="I116" s="57">
        <f t="shared" si="79"/>
        <v>0.000125</v>
      </c>
      <c r="J116" s="58">
        <f t="shared" si="57"/>
        <v>0.0604241144335804</v>
      </c>
      <c r="K116" s="58"/>
      <c r="L116" s="58">
        <f t="shared" si="58"/>
        <v>12.5789264529534</v>
      </c>
      <c r="M116" s="57">
        <f t="shared" si="59"/>
        <v>0.00231356256182942</v>
      </c>
      <c r="N116" s="57">
        <f t="shared" si="60"/>
        <v>0.0027777816250537</v>
      </c>
      <c r="O116" s="57">
        <f t="shared" si="61"/>
        <v>0.44966798746342</v>
      </c>
      <c r="P116" s="59">
        <v>0.0302</v>
      </c>
      <c r="Q116" s="60">
        <f t="shared" si="40"/>
        <v>0.0277</v>
      </c>
      <c r="R116" s="61">
        <v>1000</v>
      </c>
      <c r="S116" s="59">
        <v>0.58071</v>
      </c>
      <c r="T116" s="59">
        <v>9.801</v>
      </c>
      <c r="U116" s="62">
        <v>4e-6</v>
      </c>
      <c r="V116" s="63"/>
      <c r="W116" s="63">
        <f t="shared" si="41"/>
        <v>3e-6</v>
      </c>
      <c r="X116" s="64">
        <v>0.001147</v>
      </c>
      <c r="Y116" s="64">
        <v>1.85e-5</v>
      </c>
      <c r="Z116" s="65"/>
      <c r="AA116" s="66">
        <f t="shared" si="73"/>
        <v>0.002082789694128</v>
      </c>
      <c r="AB116" s="65">
        <f t="shared" si="42"/>
        <v>21.2115211500296</v>
      </c>
      <c r="AC116" s="65">
        <f t="shared" si="43"/>
        <v>62.9209449284804</v>
      </c>
      <c r="AD116" s="65">
        <f t="shared" si="44"/>
        <v>5.63137278550661</v>
      </c>
      <c r="AE116" s="96">
        <f t="shared" si="38"/>
        <v>11.1732871051299</v>
      </c>
      <c r="AF116" s="96">
        <f t="shared" si="39"/>
        <v>0.83020770972397</v>
      </c>
      <c r="AG116" s="96">
        <f t="shared" si="72"/>
        <v>2.97429060533534</v>
      </c>
      <c r="AH116" s="96"/>
      <c r="AI116" s="63">
        <f t="shared" si="46"/>
        <v>146.033214343533</v>
      </c>
      <c r="AJ116" s="68"/>
      <c r="AK116" s="69">
        <f t="shared" si="62"/>
        <v>219.216498549315</v>
      </c>
      <c r="AL116" s="69"/>
      <c r="AM116" s="69">
        <f t="shared" si="74"/>
        <v>0.0256519188059817</v>
      </c>
      <c r="AN116" s="69">
        <f t="shared" si="47"/>
        <v>7.37641847471496e-5</v>
      </c>
      <c r="AO116" s="65">
        <f t="shared" si="63"/>
        <v>0.017296755985202</v>
      </c>
      <c r="AP116" s="68"/>
      <c r="AQ116" s="68"/>
      <c r="AR116" s="68">
        <f t="shared" si="48"/>
        <v>21.3960871536949</v>
      </c>
      <c r="AS116" s="68">
        <f t="shared" si="49"/>
        <v>30.2693229741036</v>
      </c>
      <c r="AT116" s="71">
        <f t="shared" si="50"/>
        <v>0.0182935178172931</v>
      </c>
      <c r="AU116" s="71"/>
      <c r="AV116" s="65"/>
      <c r="AW116" s="65">
        <f t="shared" si="64"/>
        <v>0.01099552125907</v>
      </c>
      <c r="AX116" s="65">
        <f t="shared" si="75"/>
        <v>1.57307285190635</v>
      </c>
      <c r="AY116" s="65">
        <f t="shared" si="65"/>
        <v>5.72533958998907</v>
      </c>
      <c r="AZ116" s="69">
        <f t="shared" si="76"/>
        <v>0.00302108821901952</v>
      </c>
      <c r="BA116" s="69">
        <f t="shared" si="77"/>
        <v>8.63220284622442e-6</v>
      </c>
      <c r="BB116" s="72">
        <f t="shared" si="51"/>
        <v>19.9993741078899</v>
      </c>
      <c r="BC116" s="72">
        <f t="shared" si="52"/>
        <v>0.899013393219052</v>
      </c>
      <c r="BD116" s="72">
        <f t="shared" si="53"/>
        <v>0.0593960315318653</v>
      </c>
      <c r="BE116" s="72">
        <f t="shared" si="54"/>
        <v>74.1836904994936</v>
      </c>
      <c r="BF116" s="84" t="s">
        <v>118</v>
      </c>
    </row>
    <row r="117" ht="25" customHeight="1" spans="1:58">
      <c r="A117" s="54">
        <v>153</v>
      </c>
      <c r="B117" s="54" t="s">
        <v>198</v>
      </c>
      <c r="C117" s="55">
        <v>0.533236756991368</v>
      </c>
      <c r="D117" s="55">
        <v>-0.381019667974973</v>
      </c>
      <c r="E117" s="55"/>
      <c r="F117" s="55">
        <v>2.44363550600385</v>
      </c>
      <c r="G117" s="56">
        <v>0.5</v>
      </c>
      <c r="H117" s="57">
        <f t="shared" si="78"/>
        <v>0.000185725163902457</v>
      </c>
      <c r="I117" s="57">
        <f t="shared" si="79"/>
        <v>0.000125</v>
      </c>
      <c r="J117" s="58">
        <f t="shared" si="57"/>
        <v>0.0406412116640342</v>
      </c>
      <c r="K117" s="58"/>
      <c r="L117" s="58">
        <f t="shared" si="58"/>
        <v>7.83771196682404</v>
      </c>
      <c r="M117" s="57">
        <f t="shared" si="59"/>
        <v>0.00250597509909554</v>
      </c>
      <c r="N117" s="57">
        <f t="shared" si="60"/>
        <v>0.00522721938837545</v>
      </c>
      <c r="O117" s="57">
        <f t="shared" si="61"/>
        <v>0.220514351484894</v>
      </c>
      <c r="P117" s="59">
        <v>0.0302</v>
      </c>
      <c r="Q117" s="60">
        <f t="shared" si="40"/>
        <v>0.0277</v>
      </c>
      <c r="R117" s="61">
        <v>1000</v>
      </c>
      <c r="S117" s="59">
        <v>0.58071</v>
      </c>
      <c r="T117" s="59">
        <v>9.801</v>
      </c>
      <c r="U117" s="62">
        <v>4e-6</v>
      </c>
      <c r="V117" s="63"/>
      <c r="W117" s="63">
        <f t="shared" si="41"/>
        <v>3e-6</v>
      </c>
      <c r="X117" s="64">
        <v>0.001147</v>
      </c>
      <c r="Y117" s="64">
        <v>1.85e-5</v>
      </c>
      <c r="Z117" s="65"/>
      <c r="AA117" s="66">
        <f t="shared" si="73"/>
        <v>0.00244363550600385</v>
      </c>
      <c r="AB117" s="65">
        <f t="shared" si="42"/>
        <v>12.4536921002381</v>
      </c>
      <c r="AC117" s="65">
        <f t="shared" si="43"/>
        <v>46.0150222639026</v>
      </c>
      <c r="AD117" s="65">
        <f t="shared" si="44"/>
        <v>7.75168812175796</v>
      </c>
      <c r="AE117" s="96">
        <f t="shared" si="38"/>
        <v>5.93612920710066</v>
      </c>
      <c r="AF117" s="96">
        <f t="shared" si="39"/>
        <v>0.870031701439111</v>
      </c>
      <c r="AG117" s="96">
        <f t="shared" si="72"/>
        <v>2.8436992290362</v>
      </c>
      <c r="AH117" s="96"/>
      <c r="AI117" s="63">
        <f t="shared" si="46"/>
        <v>115.29443394408</v>
      </c>
      <c r="AJ117" s="68"/>
      <c r="AK117" s="69">
        <f t="shared" si="62"/>
        <v>351.689856917598</v>
      </c>
      <c r="AL117" s="69"/>
      <c r="AM117" s="69">
        <f t="shared" si="74"/>
        <v>0.0202524026579172</v>
      </c>
      <c r="AN117" s="69">
        <f t="shared" si="47"/>
        <v>6.81004596958956e-5</v>
      </c>
      <c r="AO117" s="65">
        <f t="shared" si="63"/>
        <v>0.0219811884063542</v>
      </c>
      <c r="AP117" s="68"/>
      <c r="AQ117" s="68"/>
      <c r="AR117" s="68">
        <f t="shared" si="48"/>
        <v>27.1907300586601</v>
      </c>
      <c r="AS117" s="68">
        <f t="shared" si="49"/>
        <v>38.4670797111198</v>
      </c>
      <c r="AT117" s="71">
        <f t="shared" si="50"/>
        <v>0.0168889140045821</v>
      </c>
      <c r="AU117" s="71"/>
      <c r="AV117" s="65"/>
      <c r="AW117" s="65">
        <f t="shared" si="64"/>
        <v>0.0242819993061577</v>
      </c>
      <c r="AX117" s="65">
        <f t="shared" si="75"/>
        <v>0.905246233195466</v>
      </c>
      <c r="AY117" s="65">
        <f t="shared" si="65"/>
        <v>14.8340889153219</v>
      </c>
      <c r="AZ117" s="69">
        <f t="shared" si="76"/>
        <v>0.0014818023898758</v>
      </c>
      <c r="BA117" s="69">
        <f t="shared" si="77"/>
        <v>8.68976538372684e-6</v>
      </c>
      <c r="BB117" s="72">
        <f t="shared" si="51"/>
        <v>25.415749094847</v>
      </c>
      <c r="BC117" s="72">
        <f t="shared" si="52"/>
        <v>1.56224186360986</v>
      </c>
      <c r="BD117" s="72">
        <f t="shared" si="53"/>
        <v>-0.0109393893287497</v>
      </c>
      <c r="BE117" s="72">
        <f t="shared" si="54"/>
        <v>61.5183985074186</v>
      </c>
      <c r="BF117" s="84" t="s">
        <v>118</v>
      </c>
    </row>
    <row r="118" ht="25" customHeight="1" spans="1:58">
      <c r="A118" s="54">
        <v>154</v>
      </c>
      <c r="B118" s="54" t="s">
        <v>198</v>
      </c>
      <c r="C118" s="55">
        <v>0.666578762840238</v>
      </c>
      <c r="D118" s="55">
        <v>-2.51090374559526</v>
      </c>
      <c r="E118" s="55"/>
      <c r="F118" s="55">
        <v>2.46916311314968</v>
      </c>
      <c r="G118" s="56">
        <v>0.4</v>
      </c>
      <c r="H118" s="57">
        <f t="shared" si="78"/>
        <v>0.000185725163902457</v>
      </c>
      <c r="I118" s="57">
        <f t="shared" si="79"/>
        <v>0.000125</v>
      </c>
      <c r="J118" s="58">
        <f t="shared" si="57"/>
        <v>0.0502773281109756</v>
      </c>
      <c r="K118" s="58"/>
      <c r="L118" s="58">
        <f t="shared" si="58"/>
        <v>12.2473485706475</v>
      </c>
      <c r="M118" s="57">
        <f t="shared" si="59"/>
        <v>0.00251903051261641</v>
      </c>
      <c r="N118" s="57">
        <f t="shared" si="60"/>
        <v>0.00337998697088277</v>
      </c>
      <c r="O118" s="57">
        <f t="shared" si="61"/>
        <v>0.339253802402527</v>
      </c>
      <c r="P118" s="59">
        <v>0.0302</v>
      </c>
      <c r="Q118" s="60">
        <f t="shared" si="40"/>
        <v>0.0272</v>
      </c>
      <c r="R118" s="61">
        <v>1000</v>
      </c>
      <c r="S118" s="59">
        <v>0.46455</v>
      </c>
      <c r="T118" s="59">
        <v>9.801</v>
      </c>
      <c r="U118" s="62">
        <v>4e-6</v>
      </c>
      <c r="V118" s="63"/>
      <c r="W118" s="63">
        <f t="shared" si="41"/>
        <v>2.8e-6</v>
      </c>
      <c r="X118" s="64">
        <v>0.001147</v>
      </c>
      <c r="Y118" s="64">
        <v>1.85e-5</v>
      </c>
      <c r="Z118" s="65"/>
      <c r="AA118" s="66">
        <f t="shared" si="73"/>
        <v>0.00246916311314968</v>
      </c>
      <c r="AB118" s="65">
        <f t="shared" si="42"/>
        <v>20.60791269468</v>
      </c>
      <c r="AC118" s="65">
        <f t="shared" si="43"/>
        <v>72.6567184524275</v>
      </c>
      <c r="AD118" s="65">
        <f t="shared" si="44"/>
        <v>7.91449116079493</v>
      </c>
      <c r="AE118" s="96">
        <f t="shared" si="38"/>
        <v>9.18021348135916</v>
      </c>
      <c r="AF118" s="96">
        <f t="shared" si="39"/>
        <v>0.839971418063616</v>
      </c>
      <c r="AG118" s="96">
        <f t="shared" si="72"/>
        <v>2.9407990636129</v>
      </c>
      <c r="AH118" s="96"/>
      <c r="AI118" s="63">
        <f t="shared" si="46"/>
        <v>144.125137911403</v>
      </c>
      <c r="AJ118" s="68"/>
      <c r="AK118" s="69">
        <f t="shared" si="62"/>
        <v>180.047477456328</v>
      </c>
      <c r="AL118" s="69"/>
      <c r="AM118" s="69">
        <f t="shared" si="74"/>
        <v>0.0253167497012501</v>
      </c>
      <c r="AN118" s="69">
        <f t="shared" si="47"/>
        <v>6.77475145220129e-5</v>
      </c>
      <c r="AO118" s="65">
        <f t="shared" si="63"/>
        <v>0.0223265284106131</v>
      </c>
      <c r="AP118" s="68"/>
      <c r="AQ118" s="68"/>
      <c r="AR118" s="68">
        <f t="shared" si="48"/>
        <v>27.6179156439284</v>
      </c>
      <c r="AS118" s="68">
        <f t="shared" si="49"/>
        <v>39.0714247185728</v>
      </c>
      <c r="AT118" s="71">
        <f t="shared" si="50"/>
        <v>0.0168013836014592</v>
      </c>
      <c r="AU118" s="71"/>
      <c r="AV118" s="65"/>
      <c r="AW118" s="65">
        <f t="shared" si="64"/>
        <v>0.0158653026304983</v>
      </c>
      <c r="AX118" s="65">
        <f t="shared" si="75"/>
        <v>1.40725512337182</v>
      </c>
      <c r="AY118" s="65">
        <f t="shared" si="65"/>
        <v>9.79350500854574</v>
      </c>
      <c r="AZ118" s="69">
        <f t="shared" si="76"/>
        <v>0.00227972808418754</v>
      </c>
      <c r="BA118" s="69">
        <f t="shared" si="77"/>
        <v>1.40091214636604e-5</v>
      </c>
      <c r="BB118" s="72">
        <f t="shared" si="51"/>
        <v>25.8150484747713</v>
      </c>
      <c r="BC118" s="72">
        <f t="shared" si="52"/>
        <v>1.00494468905155</v>
      </c>
      <c r="BD118" s="72">
        <f t="shared" si="53"/>
        <v>-0.01140957559393</v>
      </c>
      <c r="BE118" s="72">
        <f t="shared" si="54"/>
        <v>88.4857007740174</v>
      </c>
      <c r="BF118" s="84" t="s">
        <v>118</v>
      </c>
    </row>
    <row r="119" ht="25" customHeight="1" spans="1:58">
      <c r="A119" s="54">
        <v>155</v>
      </c>
      <c r="B119" s="54" t="s">
        <v>198</v>
      </c>
      <c r="C119" s="55">
        <v>0.658704109702161</v>
      </c>
      <c r="D119" s="55">
        <v>-2.33009749429651</v>
      </c>
      <c r="E119" s="55"/>
      <c r="F119" s="55">
        <v>2.39947665436238</v>
      </c>
      <c r="G119" s="56">
        <v>0.4</v>
      </c>
      <c r="H119" s="57">
        <f t="shared" si="78"/>
        <v>0.000185725163902457</v>
      </c>
      <c r="I119" s="57">
        <f t="shared" si="79"/>
        <v>0.000125</v>
      </c>
      <c r="J119" s="58">
        <f t="shared" si="57"/>
        <v>0.0511303877470118</v>
      </c>
      <c r="K119" s="58"/>
      <c r="L119" s="58">
        <f t="shared" si="58"/>
        <v>11.9604551107458</v>
      </c>
      <c r="M119" s="57">
        <f t="shared" si="59"/>
        <v>0.00248322917629294</v>
      </c>
      <c r="N119" s="57">
        <f t="shared" si="60"/>
        <v>0.00336373206672112</v>
      </c>
      <c r="O119" s="57">
        <f t="shared" si="61"/>
        <v>0.345832661355637</v>
      </c>
      <c r="P119" s="59">
        <v>0.0302</v>
      </c>
      <c r="Q119" s="60">
        <f t="shared" si="40"/>
        <v>0.0272</v>
      </c>
      <c r="R119" s="61">
        <v>1000</v>
      </c>
      <c r="S119" s="59">
        <v>0.46455</v>
      </c>
      <c r="T119" s="59">
        <v>9.801</v>
      </c>
      <c r="U119" s="62">
        <v>4e-6</v>
      </c>
      <c r="V119" s="63"/>
      <c r="W119" s="63">
        <f t="shared" si="41"/>
        <v>2.8e-6</v>
      </c>
      <c r="X119" s="64">
        <v>0.001147</v>
      </c>
      <c r="Y119" s="64">
        <v>1.85e-5</v>
      </c>
      <c r="Z119" s="65"/>
      <c r="AA119" s="66">
        <f t="shared" si="73"/>
        <v>0.00239947665436238</v>
      </c>
      <c r="AB119" s="65">
        <f t="shared" si="42"/>
        <v>20.0759991915656</v>
      </c>
      <c r="AC119" s="65">
        <f t="shared" si="43"/>
        <v>68.9477864182706</v>
      </c>
      <c r="AD119" s="65">
        <f t="shared" si="44"/>
        <v>7.474058542192</v>
      </c>
      <c r="AE119" s="96">
        <f t="shared" si="38"/>
        <v>9.22494599541223</v>
      </c>
      <c r="AF119" s="96">
        <f t="shared" si="39"/>
        <v>0.839705739757173</v>
      </c>
      <c r="AG119" s="96">
        <f t="shared" si="72"/>
        <v>2.9416972671627</v>
      </c>
      <c r="AH119" s="96"/>
      <c r="AI119" s="63">
        <f t="shared" si="46"/>
        <v>142.422510205873</v>
      </c>
      <c r="AJ119" s="68"/>
      <c r="AK119" s="69">
        <f t="shared" si="62"/>
        <v>184.378059925517</v>
      </c>
      <c r="AL119" s="69"/>
      <c r="AM119" s="69">
        <f t="shared" si="74"/>
        <v>0.0250176693320655</v>
      </c>
      <c r="AN119" s="69">
        <f t="shared" si="47"/>
        <v>6.87242473888932e-5</v>
      </c>
      <c r="AO119" s="65">
        <f t="shared" si="63"/>
        <v>0.0213880564548443</v>
      </c>
      <c r="AP119" s="68"/>
      <c r="AQ119" s="68"/>
      <c r="AR119" s="68">
        <f t="shared" si="48"/>
        <v>26.4570258346424</v>
      </c>
      <c r="AS119" s="68">
        <f t="shared" si="49"/>
        <v>37.4290987959775</v>
      </c>
      <c r="AT119" s="71">
        <f t="shared" si="50"/>
        <v>0.0170436133524455</v>
      </c>
      <c r="AU119" s="71"/>
      <c r="AV119" s="65"/>
      <c r="AW119" s="65">
        <f t="shared" si="64"/>
        <v>0.0153427799853487</v>
      </c>
      <c r="AX119" s="65">
        <f t="shared" si="75"/>
        <v>1.39401441428922</v>
      </c>
      <c r="AY119" s="65">
        <f t="shared" si="65"/>
        <v>9.20366059696564</v>
      </c>
      <c r="AZ119" s="69">
        <f t="shared" si="76"/>
        <v>0.00232386410054014</v>
      </c>
      <c r="BA119" s="69">
        <f t="shared" si="77"/>
        <v>1.25541972002306e-5</v>
      </c>
      <c r="BB119" s="72">
        <f t="shared" si="51"/>
        <v>24.7299402759137</v>
      </c>
      <c r="BC119" s="72">
        <f t="shared" si="52"/>
        <v>1.01448991335873</v>
      </c>
      <c r="BD119" s="72">
        <f t="shared" si="53"/>
        <v>0.000752495740780611</v>
      </c>
      <c r="BE119" s="72">
        <f t="shared" si="54"/>
        <v>83.8959035026546</v>
      </c>
      <c r="BF119" s="84" t="s">
        <v>118</v>
      </c>
    </row>
    <row r="120" ht="25" customHeight="1" spans="1:58">
      <c r="A120" s="54">
        <v>156</v>
      </c>
      <c r="B120" s="54" t="s">
        <v>198</v>
      </c>
      <c r="C120" s="55">
        <v>0.597740450121605</v>
      </c>
      <c r="D120" s="55">
        <v>1.63219813806271</v>
      </c>
      <c r="E120" s="55"/>
      <c r="F120" s="55">
        <v>2.03351252191321</v>
      </c>
      <c r="G120" s="56">
        <v>0.4</v>
      </c>
      <c r="H120" s="57">
        <f t="shared" si="78"/>
        <v>0.000185725163902457</v>
      </c>
      <c r="I120" s="57">
        <f t="shared" si="79"/>
        <v>0.000125</v>
      </c>
      <c r="J120" s="58">
        <f t="shared" si="57"/>
        <v>0.0547762707039268</v>
      </c>
      <c r="K120" s="58"/>
      <c r="L120" s="58">
        <f t="shared" si="58"/>
        <v>9.85302557550472</v>
      </c>
      <c r="M120" s="57">
        <f t="shared" si="59"/>
        <v>0.00228603019979575</v>
      </c>
      <c r="N120" s="57">
        <f t="shared" si="60"/>
        <v>0.00346272678236087</v>
      </c>
      <c r="O120" s="57">
        <f t="shared" si="61"/>
        <v>0.365091570633946</v>
      </c>
      <c r="P120" s="59">
        <v>0.0302</v>
      </c>
      <c r="Q120" s="60">
        <f t="shared" si="40"/>
        <v>0.0272</v>
      </c>
      <c r="R120" s="61">
        <v>1000</v>
      </c>
      <c r="S120" s="59">
        <v>0.46455</v>
      </c>
      <c r="T120" s="59">
        <v>9.801</v>
      </c>
      <c r="U120" s="62">
        <v>4e-6</v>
      </c>
      <c r="V120" s="63"/>
      <c r="W120" s="63">
        <f t="shared" si="41"/>
        <v>2.8e-6</v>
      </c>
      <c r="X120" s="64">
        <v>0.001147</v>
      </c>
      <c r="Y120" s="64">
        <v>1.85e-5</v>
      </c>
      <c r="Z120" s="65"/>
      <c r="AA120" s="66">
        <f t="shared" si="73"/>
        <v>0.00203351252191321</v>
      </c>
      <c r="AB120" s="65">
        <f t="shared" si="42"/>
        <v>16.1719493227105</v>
      </c>
      <c r="AC120" s="65">
        <f t="shared" si="43"/>
        <v>48.1166293082462</v>
      </c>
      <c r="AD120" s="65">
        <f t="shared" si="44"/>
        <v>5.36805725901979</v>
      </c>
      <c r="AE120" s="96">
        <f t="shared" si="38"/>
        <v>8.96350895426781</v>
      </c>
      <c r="AF120" s="96">
        <f t="shared" si="39"/>
        <v>0.841296255931879</v>
      </c>
      <c r="AG120" s="96">
        <f t="shared" si="72"/>
        <v>2.93633087944811</v>
      </c>
      <c r="AH120" s="96"/>
      <c r="AI120" s="63">
        <f t="shared" si="46"/>
        <v>129.241178404671</v>
      </c>
      <c r="AJ120" s="68"/>
      <c r="AK120" s="69">
        <f t="shared" si="62"/>
        <v>223.905465322994</v>
      </c>
      <c r="AL120" s="69"/>
      <c r="AM120" s="69">
        <f t="shared" si="74"/>
        <v>0.0227022614665391</v>
      </c>
      <c r="AN120" s="69">
        <f t="shared" si="47"/>
        <v>7.46525816894815e-5</v>
      </c>
      <c r="AO120" s="65">
        <f t="shared" si="63"/>
        <v>0.0166865596421383</v>
      </c>
      <c r="AP120" s="68"/>
      <c r="AQ120" s="68"/>
      <c r="AR120" s="68">
        <f t="shared" si="48"/>
        <v>20.6412742773251</v>
      </c>
      <c r="AS120" s="68">
        <f t="shared" si="49"/>
        <v>29.2014793737421</v>
      </c>
      <c r="AT120" s="71">
        <f t="shared" si="50"/>
        <v>0.0185138402589914</v>
      </c>
      <c r="AU120" s="71"/>
      <c r="AV120" s="65"/>
      <c r="AW120" s="65">
        <f t="shared" si="64"/>
        <v>0.0133819731837856</v>
      </c>
      <c r="AX120" s="65">
        <f t="shared" si="75"/>
        <v>1.24694313857666</v>
      </c>
      <c r="AY120" s="65">
        <f t="shared" si="65"/>
        <v>6.80310250928372</v>
      </c>
      <c r="AZ120" s="69">
        <f t="shared" si="76"/>
        <v>0.00245278674242632</v>
      </c>
      <c r="BA120" s="69">
        <f t="shared" si="77"/>
        <v>6.29251789525801e-6</v>
      </c>
      <c r="BB120" s="72">
        <f t="shared" si="51"/>
        <v>19.2938345862225</v>
      </c>
      <c r="BC120" s="72">
        <f t="shared" si="52"/>
        <v>1.13414438768024</v>
      </c>
      <c r="BD120" s="72">
        <f t="shared" si="53"/>
        <v>0.0886156312954712</v>
      </c>
      <c r="BE120" s="72">
        <f t="shared" si="54"/>
        <v>58.8527438262858</v>
      </c>
      <c r="BF120" s="84" t="s">
        <v>118</v>
      </c>
    </row>
    <row r="121" ht="25" customHeight="1" spans="1:58">
      <c r="A121" s="54">
        <v>157</v>
      </c>
      <c r="B121" s="54" t="s">
        <v>198</v>
      </c>
      <c r="C121" s="55">
        <v>0.639440225168526</v>
      </c>
      <c r="D121" s="55">
        <v>-0.746041786351949</v>
      </c>
      <c r="E121" s="55"/>
      <c r="F121" s="55">
        <v>2.29119754439041</v>
      </c>
      <c r="G121" s="56">
        <v>0.3</v>
      </c>
      <c r="H121" s="57">
        <f t="shared" si="78"/>
        <v>0.000185725163902457</v>
      </c>
      <c r="I121" s="57">
        <f t="shared" si="79"/>
        <v>0.000125</v>
      </c>
      <c r="J121" s="58">
        <f t="shared" si="57"/>
        <v>0.0519877266701818</v>
      </c>
      <c r="K121" s="58"/>
      <c r="L121" s="58">
        <f t="shared" si="58"/>
        <v>11.2723237343687</v>
      </c>
      <c r="M121" s="57">
        <f t="shared" si="59"/>
        <v>0.00242655313393159</v>
      </c>
      <c r="N121" s="57">
        <f t="shared" si="60"/>
        <v>0.00340861075730103</v>
      </c>
      <c r="O121" s="57">
        <f t="shared" si="61"/>
        <v>0.34929223974085</v>
      </c>
      <c r="P121" s="59">
        <v>0.0302</v>
      </c>
      <c r="Q121" s="60">
        <f t="shared" si="40"/>
        <v>0.0267</v>
      </c>
      <c r="R121" s="61">
        <v>1000</v>
      </c>
      <c r="S121" s="59">
        <v>0.3484</v>
      </c>
      <c r="T121" s="59">
        <v>9.801</v>
      </c>
      <c r="U121" s="62">
        <v>4e-6</v>
      </c>
      <c r="V121" s="63"/>
      <c r="W121" s="63">
        <f t="shared" si="41"/>
        <v>2.6e-6</v>
      </c>
      <c r="X121" s="64">
        <v>0.001147</v>
      </c>
      <c r="Y121" s="64">
        <v>1.85e-5</v>
      </c>
      <c r="Z121" s="65"/>
      <c r="AA121" s="66">
        <f t="shared" si="73"/>
        <v>0.00229119754439041</v>
      </c>
      <c r="AB121" s="65">
        <f t="shared" si="42"/>
        <v>18.8014170012016</v>
      </c>
      <c r="AC121" s="65">
        <f t="shared" si="43"/>
        <v>62.0419577538728</v>
      </c>
      <c r="AD121" s="65">
        <f t="shared" si="44"/>
        <v>6.81472771164367</v>
      </c>
      <c r="AE121" s="96">
        <f t="shared" si="38"/>
        <v>9.1040992948064</v>
      </c>
      <c r="AF121" s="96">
        <f t="shared" si="39"/>
        <v>0.840429517471096</v>
      </c>
      <c r="AG121" s="96">
        <f t="shared" si="72"/>
        <v>2.93925202817105</v>
      </c>
      <c r="AH121" s="96"/>
      <c r="AI121" s="63">
        <f t="shared" si="46"/>
        <v>138.257345982384</v>
      </c>
      <c r="AJ121" s="68"/>
      <c r="AK121" s="69">
        <f t="shared" si="62"/>
        <v>146.740956160551</v>
      </c>
      <c r="AL121" s="69"/>
      <c r="AM121" s="69">
        <f t="shared" si="74"/>
        <v>0.0242860244459702</v>
      </c>
      <c r="AN121" s="69">
        <f t="shared" si="47"/>
        <v>7.03294124692695e-5</v>
      </c>
      <c r="AO121" s="65">
        <f t="shared" si="63"/>
        <v>0.0199567736361128</v>
      </c>
      <c r="AP121" s="68"/>
      <c r="AQ121" s="68"/>
      <c r="AR121" s="68">
        <f t="shared" si="48"/>
        <v>24.6865289878715</v>
      </c>
      <c r="AS121" s="68">
        <f t="shared" si="49"/>
        <v>34.9243538631974</v>
      </c>
      <c r="AT121" s="71">
        <f t="shared" si="50"/>
        <v>0.0174416942923788</v>
      </c>
      <c r="AU121" s="71"/>
      <c r="AV121" s="65"/>
      <c r="AW121" s="65">
        <f t="shared" si="64"/>
        <v>0.0148448874863568</v>
      </c>
      <c r="AX121" s="65">
        <f t="shared" si="75"/>
        <v>1.34435331048848</v>
      </c>
      <c r="AY121" s="65">
        <f t="shared" si="65"/>
        <v>8.50314243887316</v>
      </c>
      <c r="AZ121" s="69">
        <f t="shared" si="76"/>
        <v>0.00234698804348824</v>
      </c>
      <c r="BA121" s="69">
        <f t="shared" si="77"/>
        <v>1.03002110854659e-5</v>
      </c>
      <c r="BB121" s="72">
        <f t="shared" si="51"/>
        <v>23.0750195167554</v>
      </c>
      <c r="BC121" s="72">
        <f t="shared" si="52"/>
        <v>1.0519656933483</v>
      </c>
      <c r="BD121" s="72">
        <f t="shared" si="53"/>
        <v>0.0220906081357031</v>
      </c>
      <c r="BE121" s="72">
        <f t="shared" si="54"/>
        <v>75.6714131771601</v>
      </c>
      <c r="BF121" s="1"/>
    </row>
    <row r="122" ht="25" customHeight="1" spans="1:58">
      <c r="A122" s="54">
        <v>158</v>
      </c>
      <c r="B122" s="54" t="s">
        <v>198</v>
      </c>
      <c r="C122" s="55">
        <v>0.629093557504955</v>
      </c>
      <c r="D122" s="55">
        <v>0.0151504457043353</v>
      </c>
      <c r="E122" s="55"/>
      <c r="F122" s="55">
        <v>2.28309903521111</v>
      </c>
      <c r="G122" s="56">
        <v>0.3</v>
      </c>
      <c r="H122" s="57">
        <f t="shared" si="78"/>
        <v>0.000185725163902457</v>
      </c>
      <c r="I122" s="57">
        <f t="shared" si="79"/>
        <v>0.000125</v>
      </c>
      <c r="J122" s="58">
        <f t="shared" si="57"/>
        <v>0.051328487600455</v>
      </c>
      <c r="K122" s="58"/>
      <c r="L122" s="58">
        <f t="shared" si="58"/>
        <v>10.9105761319046</v>
      </c>
      <c r="M122" s="57">
        <f t="shared" si="59"/>
        <v>0.00242226086791971</v>
      </c>
      <c r="N122" s="57">
        <f t="shared" si="60"/>
        <v>0.00350922608354639</v>
      </c>
      <c r="O122" s="57">
        <f t="shared" si="61"/>
        <v>0.339881850377727</v>
      </c>
      <c r="P122" s="59">
        <v>0.0302</v>
      </c>
      <c r="Q122" s="60">
        <f t="shared" si="40"/>
        <v>0.0267</v>
      </c>
      <c r="R122" s="61">
        <v>1000</v>
      </c>
      <c r="S122" s="59">
        <v>0.3484</v>
      </c>
      <c r="T122" s="59">
        <v>9.801</v>
      </c>
      <c r="U122" s="62">
        <v>4e-6</v>
      </c>
      <c r="V122" s="63"/>
      <c r="W122" s="63">
        <f t="shared" si="41"/>
        <v>2.6e-6</v>
      </c>
      <c r="X122" s="64">
        <v>0.001147</v>
      </c>
      <c r="Y122" s="64">
        <v>1.85e-5</v>
      </c>
      <c r="Z122" s="65"/>
      <c r="AA122" s="66">
        <f t="shared" si="73"/>
        <v>0.00228309903521111</v>
      </c>
      <c r="AB122" s="65">
        <f t="shared" si="42"/>
        <v>18.1324517886973</v>
      </c>
      <c r="AC122" s="65">
        <f t="shared" si="43"/>
        <v>59.8381665890039</v>
      </c>
      <c r="AD122" s="65">
        <f t="shared" si="44"/>
        <v>6.76663792663672</v>
      </c>
      <c r="AE122" s="96">
        <f t="shared" si="38"/>
        <v>8.84311636558125</v>
      </c>
      <c r="AF122" s="96">
        <f t="shared" si="39"/>
        <v>0.842060520025391</v>
      </c>
      <c r="AG122" s="96">
        <f t="shared" si="72"/>
        <v>2.93376147685157</v>
      </c>
      <c r="AH122" s="96"/>
      <c r="AI122" s="63">
        <f t="shared" si="46"/>
        <v>136.02022864972</v>
      </c>
      <c r="AJ122" s="68"/>
      <c r="AK122" s="69">
        <f t="shared" si="62"/>
        <v>151.607531001295</v>
      </c>
      <c r="AL122" s="69"/>
      <c r="AM122" s="69">
        <f t="shared" si="74"/>
        <v>0.0238930566376882</v>
      </c>
      <c r="AN122" s="69">
        <f t="shared" si="47"/>
        <v>7.04540367617128e-5</v>
      </c>
      <c r="AO122" s="65">
        <f t="shared" si="63"/>
        <v>0.0198510578188949</v>
      </c>
      <c r="AP122" s="68"/>
      <c r="AQ122" s="68"/>
      <c r="AR122" s="68">
        <f t="shared" si="48"/>
        <v>24.555758521973</v>
      </c>
      <c r="AS122" s="68">
        <f t="shared" si="49"/>
        <v>34.7393511830661</v>
      </c>
      <c r="AT122" s="71">
        <f t="shared" si="50"/>
        <v>0.0174726011169048</v>
      </c>
      <c r="AU122" s="71"/>
      <c r="AV122" s="65"/>
      <c r="AW122" s="65">
        <f t="shared" si="64"/>
        <v>0.0152289784291457</v>
      </c>
      <c r="AX122" s="65">
        <f t="shared" si="75"/>
        <v>1.30350554446275</v>
      </c>
      <c r="AY122" s="65">
        <f t="shared" si="65"/>
        <v>8.69231648970831</v>
      </c>
      <c r="AZ122" s="69">
        <f t="shared" si="76"/>
        <v>0.00228374770320415</v>
      </c>
      <c r="BA122" s="69">
        <f t="shared" si="77"/>
        <v>9.86423341865257e-6</v>
      </c>
      <c r="BB122" s="72">
        <f t="shared" si="51"/>
        <v>22.9527856030973</v>
      </c>
      <c r="BC122" s="72">
        <f t="shared" si="52"/>
        <v>1.08493099118806</v>
      </c>
      <c r="BD122" s="72">
        <f t="shared" si="53"/>
        <v>0.0245115154814268</v>
      </c>
      <c r="BE122" s="72">
        <f t="shared" si="54"/>
        <v>73.3714424422773</v>
      </c>
      <c r="BF122" s="1"/>
    </row>
    <row r="123" ht="25" customHeight="1" spans="1:58">
      <c r="A123" s="54">
        <v>174</v>
      </c>
      <c r="B123" s="54" t="s">
        <v>198</v>
      </c>
      <c r="C123" s="55">
        <v>0</v>
      </c>
      <c r="D123" s="55">
        <v>0</v>
      </c>
      <c r="E123" s="55"/>
      <c r="F123" s="55">
        <v>0</v>
      </c>
      <c r="G123" s="56">
        <v>0.1</v>
      </c>
      <c r="H123" s="57">
        <f t="shared" si="78"/>
        <v>0.000185725163902457</v>
      </c>
      <c r="I123" s="57">
        <f t="shared" si="79"/>
        <v>0.000125</v>
      </c>
      <c r="J123" s="58" t="e">
        <f t="shared" si="57"/>
        <v>#DIV/0!</v>
      </c>
      <c r="K123" s="58"/>
      <c r="L123" s="58" t="e">
        <f t="shared" si="58"/>
        <v>#DIV/0!</v>
      </c>
      <c r="M123" s="57" t="e">
        <f t="shared" si="59"/>
        <v>#DIV/0!</v>
      </c>
      <c r="N123" s="57" t="e">
        <f t="shared" si="60"/>
        <v>#DIV/0!</v>
      </c>
      <c r="O123" s="57" t="e">
        <f t="shared" si="61"/>
        <v>#DIV/0!</v>
      </c>
      <c r="P123" s="59">
        <v>0.0302</v>
      </c>
      <c r="Q123" s="60">
        <f t="shared" si="40"/>
        <v>0.0257</v>
      </c>
      <c r="R123" s="61">
        <v>1000</v>
      </c>
      <c r="S123" s="59">
        <v>0.11613</v>
      </c>
      <c r="T123" s="59">
        <v>9.801</v>
      </c>
      <c r="U123" s="62">
        <v>4e-6</v>
      </c>
      <c r="V123" s="63"/>
      <c r="W123" s="63">
        <f t="shared" si="41"/>
        <v>2.2e-6</v>
      </c>
      <c r="X123" s="64">
        <v>0.001147</v>
      </c>
      <c r="Y123" s="64">
        <v>1.85e-5</v>
      </c>
      <c r="Z123" s="65"/>
      <c r="AA123" s="66">
        <f t="shared" si="73"/>
        <v>0</v>
      </c>
      <c r="AB123" s="65">
        <f t="shared" si="42"/>
        <v>-2.03873598369011</v>
      </c>
      <c r="AC123" s="65">
        <f t="shared" si="43"/>
        <v>0</v>
      </c>
      <c r="AD123" s="65">
        <f t="shared" si="44"/>
        <v>0</v>
      </c>
      <c r="AE123" s="96" t="e">
        <f t="shared" si="38"/>
        <v>#DIV/0!</v>
      </c>
      <c r="AF123" s="96" t="e">
        <f t="shared" si="39"/>
        <v>#DIV/0!</v>
      </c>
      <c r="AG123" s="96" t="e">
        <f t="shared" si="72"/>
        <v>#DIV/0!</v>
      </c>
      <c r="AH123" s="96"/>
      <c r="AI123" s="63">
        <f t="shared" si="46"/>
        <v>0</v>
      </c>
      <c r="AJ123" s="68"/>
      <c r="AK123" s="69" t="e">
        <f t="shared" si="62"/>
        <v>#DIV/0!</v>
      </c>
      <c r="AL123" s="69"/>
      <c r="AM123" s="69">
        <f t="shared" si="74"/>
        <v>0</v>
      </c>
      <c r="AN123" s="69" t="e">
        <f t="shared" si="47"/>
        <v>#DIV/0!</v>
      </c>
      <c r="AO123" s="65">
        <f t="shared" si="63"/>
        <v>0</v>
      </c>
      <c r="AP123" s="68"/>
      <c r="AQ123" s="68"/>
      <c r="AR123" s="68">
        <f t="shared" si="48"/>
        <v>0</v>
      </c>
      <c r="AS123" s="68">
        <f t="shared" si="49"/>
        <v>0</v>
      </c>
      <c r="AT123" s="71" t="e">
        <f t="shared" si="50"/>
        <v>#DIV/0!</v>
      </c>
      <c r="AU123" s="71"/>
      <c r="AV123" s="65"/>
      <c r="AW123" s="65" t="e">
        <f t="shared" si="64"/>
        <v>#DIV/0!</v>
      </c>
      <c r="AX123" s="65" t="e">
        <f t="shared" si="75"/>
        <v>#DIV/0!</v>
      </c>
      <c r="AY123" s="65" t="e">
        <f t="shared" si="65"/>
        <v>#DIV/0!</v>
      </c>
      <c r="AZ123" s="69" t="e">
        <f t="shared" si="76"/>
        <v>#DIV/0!</v>
      </c>
      <c r="BA123" s="69">
        <f t="shared" si="77"/>
        <v>0</v>
      </c>
      <c r="BB123" s="72" t="e">
        <f t="shared" si="51"/>
        <v>#DIV/0!</v>
      </c>
      <c r="BC123" s="72" t="e">
        <f t="shared" si="52"/>
        <v>#DIV/0!</v>
      </c>
      <c r="BD123" s="72" t="e">
        <f t="shared" si="53"/>
        <v>#DIV/0!</v>
      </c>
      <c r="BE123" s="72">
        <f t="shared" si="54"/>
        <v>0</v>
      </c>
      <c r="BF123" s="1" t="s">
        <v>150</v>
      </c>
    </row>
    <row r="124" ht="25" customHeight="1" spans="1:58">
      <c r="A124" s="54">
        <v>178</v>
      </c>
      <c r="B124" s="54" t="s">
        <v>198</v>
      </c>
      <c r="C124" s="55">
        <v>0.439754745828357</v>
      </c>
      <c r="D124" s="55">
        <v>3.43611637655144</v>
      </c>
      <c r="E124" s="55"/>
      <c r="F124" s="55">
        <v>2.05566153666183</v>
      </c>
      <c r="G124" s="56">
        <v>1</v>
      </c>
      <c r="H124" s="57">
        <f t="shared" si="78"/>
        <v>0.000185725163902457</v>
      </c>
      <c r="I124" s="57">
        <f t="shared" si="79"/>
        <v>0.000125</v>
      </c>
      <c r="J124" s="58">
        <f t="shared" si="57"/>
        <v>0.0398629978309742</v>
      </c>
      <c r="K124" s="58"/>
      <c r="L124" s="58">
        <f t="shared" si="58"/>
        <v>5.33277012014751</v>
      </c>
      <c r="M124" s="57">
        <f t="shared" si="59"/>
        <v>0.00229844620101531</v>
      </c>
      <c r="N124" s="57">
        <f t="shared" si="60"/>
        <v>0.00646724574448609</v>
      </c>
      <c r="O124" s="57">
        <f t="shared" si="61"/>
        <v>0.194417036481908</v>
      </c>
      <c r="P124" s="59">
        <v>0.0302</v>
      </c>
      <c r="Q124" s="60">
        <f t="shared" si="40"/>
        <v>0.0302</v>
      </c>
      <c r="R124" s="61">
        <v>1000</v>
      </c>
      <c r="S124" s="59">
        <v>1.1616</v>
      </c>
      <c r="T124" s="59">
        <v>9.801</v>
      </c>
      <c r="U124" s="62">
        <v>4e-6</v>
      </c>
      <c r="V124" s="63"/>
      <c r="W124" s="63">
        <f t="shared" si="41"/>
        <v>4e-6</v>
      </c>
      <c r="X124" s="64">
        <v>0.001147</v>
      </c>
      <c r="Y124" s="64">
        <v>1.85e-5</v>
      </c>
      <c r="Z124" s="65"/>
      <c r="AA124" s="66">
        <f t="shared" si="73"/>
        <v>0.00205566153666183</v>
      </c>
      <c r="AB124" s="65">
        <f t="shared" si="42"/>
        <v>7.81774905599199</v>
      </c>
      <c r="AC124" s="65">
        <f t="shared" si="43"/>
        <v>26.3266580613044</v>
      </c>
      <c r="AD124" s="65">
        <f t="shared" si="44"/>
        <v>5.48563184196025</v>
      </c>
      <c r="AE124" s="96">
        <f t="shared" si="38"/>
        <v>4.79920250205796</v>
      </c>
      <c r="AF124" s="96">
        <f t="shared" si="39"/>
        <v>0.890351157616492</v>
      </c>
      <c r="AG124" s="96">
        <f t="shared" si="72"/>
        <v>2.78286310812309</v>
      </c>
      <c r="AH124" s="96"/>
      <c r="AI124" s="63">
        <f t="shared" si="46"/>
        <v>95.0821072061312</v>
      </c>
      <c r="AJ124" s="68"/>
      <c r="AK124" s="69">
        <f t="shared" si="62"/>
        <v>1034.21045914552</v>
      </c>
      <c r="AL124" s="69"/>
      <c r="AM124" s="69">
        <f t="shared" si="74"/>
        <v>0.0167019434922227</v>
      </c>
      <c r="AN124" s="69">
        <f t="shared" si="47"/>
        <v>7.42493151066524e-5</v>
      </c>
      <c r="AO124" s="65">
        <f t="shared" si="63"/>
        <v>0.0169599256242776</v>
      </c>
      <c r="AP124" s="68"/>
      <c r="AQ124" s="68"/>
      <c r="AR124" s="68">
        <f t="shared" si="48"/>
        <v>20.9794279972314</v>
      </c>
      <c r="AS124" s="68">
        <f t="shared" si="49"/>
        <v>29.6798698424859</v>
      </c>
      <c r="AT124" s="71">
        <f t="shared" si="50"/>
        <v>0.0184138301464498</v>
      </c>
      <c r="AU124" s="71"/>
      <c r="AV124" s="65"/>
      <c r="AW124" s="65">
        <f t="shared" si="64"/>
        <v>0.0252658489517439</v>
      </c>
      <c r="AX124" s="65">
        <f t="shared" si="75"/>
        <v>0.671258886122131</v>
      </c>
      <c r="AY124" s="65">
        <f t="shared" si="65"/>
        <v>12.9845084703019</v>
      </c>
      <c r="AZ124" s="69">
        <f t="shared" si="76"/>
        <v>0.0013061661643233</v>
      </c>
      <c r="BA124" s="69">
        <f t="shared" si="77"/>
        <v>3.51831332765248e-6</v>
      </c>
      <c r="BB124" s="72">
        <f t="shared" si="51"/>
        <v>19.609914003071</v>
      </c>
      <c r="BC124" s="72">
        <f t="shared" si="52"/>
        <v>2.10680795682724</v>
      </c>
      <c r="BD124" s="72">
        <f t="shared" si="53"/>
        <v>0.153028778157036</v>
      </c>
      <c r="BE124" s="72">
        <f t="shared" si="54"/>
        <v>37.297921745225</v>
      </c>
      <c r="BF124" s="1"/>
    </row>
    <row r="125" ht="25" customHeight="1" spans="1:58">
      <c r="A125" s="54">
        <v>180</v>
      </c>
      <c r="B125" s="54" t="s">
        <v>198</v>
      </c>
      <c r="C125" s="55">
        <v>0.31485634605453</v>
      </c>
      <c r="D125" s="55">
        <v>2.68127014276962</v>
      </c>
      <c r="E125" s="55"/>
      <c r="F125" s="55">
        <v>2.04439602773899</v>
      </c>
      <c r="G125" s="56">
        <v>0.6</v>
      </c>
      <c r="H125" s="57">
        <f t="shared" si="78"/>
        <v>0.000185725163902457</v>
      </c>
      <c r="I125" s="57">
        <f t="shared" si="79"/>
        <v>0.000125</v>
      </c>
      <c r="J125" s="58">
        <f t="shared" si="57"/>
        <v>0.0286989735276485</v>
      </c>
      <c r="K125" s="58"/>
      <c r="L125" s="58">
        <f t="shared" si="58"/>
        <v>2.73377666145797</v>
      </c>
      <c r="M125" s="57">
        <f t="shared" si="59"/>
        <v>0.00229213953563655</v>
      </c>
      <c r="N125" s="57">
        <f t="shared" si="60"/>
        <v>0.0125467983576324</v>
      </c>
      <c r="O125" s="57">
        <f t="shared" si="61"/>
        <v>0.100489601165126</v>
      </c>
      <c r="P125" s="59">
        <v>0.0302</v>
      </c>
      <c r="Q125" s="60">
        <f t="shared" si="40"/>
        <v>0.0282</v>
      </c>
      <c r="R125" s="61">
        <v>1000</v>
      </c>
      <c r="S125" s="59">
        <v>0.69687</v>
      </c>
      <c r="T125" s="59">
        <v>9.801</v>
      </c>
      <c r="U125" s="62">
        <v>4e-6</v>
      </c>
      <c r="V125" s="63"/>
      <c r="W125" s="63">
        <f t="shared" si="41"/>
        <v>3.2e-6</v>
      </c>
      <c r="X125" s="64">
        <v>0.001147</v>
      </c>
      <c r="Y125" s="64">
        <v>1.85e-5</v>
      </c>
      <c r="Z125" s="65"/>
      <c r="AA125" s="66">
        <f t="shared" si="73"/>
        <v>0.00204439602773899</v>
      </c>
      <c r="AB125" s="65">
        <f t="shared" si="42"/>
        <v>3.01399177629001</v>
      </c>
      <c r="AC125" s="65">
        <f t="shared" si="43"/>
        <v>13.4218686186445</v>
      </c>
      <c r="AD125" s="65">
        <f t="shared" si="44"/>
        <v>5.42567148527428</v>
      </c>
      <c r="AE125" s="96">
        <f t="shared" si="38"/>
        <v>2.47377097103512</v>
      </c>
      <c r="AF125" s="96">
        <f t="shared" si="39"/>
        <v>0.993472667977423</v>
      </c>
      <c r="AG125" s="96">
        <f t="shared" si="72"/>
        <v>2.52477828200412</v>
      </c>
      <c r="AH125" s="96"/>
      <c r="AI125" s="63">
        <f t="shared" si="46"/>
        <v>68.077047795574</v>
      </c>
      <c r="AJ125" s="68"/>
      <c r="AK125" s="69">
        <f t="shared" si="62"/>
        <v>1210.47644789285</v>
      </c>
      <c r="AL125" s="69"/>
      <c r="AM125" s="69">
        <f t="shared" si="74"/>
        <v>0.0119582857259783</v>
      </c>
      <c r="AN125" s="69">
        <f t="shared" si="47"/>
        <v>7.44536070259266e-5</v>
      </c>
      <c r="AO125" s="65">
        <f t="shared" si="63"/>
        <v>0.0168207002333117</v>
      </c>
      <c r="AP125" s="68"/>
      <c r="AQ125" s="68"/>
      <c r="AR125" s="68">
        <f t="shared" si="48"/>
        <v>20.8072061886065</v>
      </c>
      <c r="AS125" s="68">
        <f t="shared" si="49"/>
        <v>29.4362254082954</v>
      </c>
      <c r="AT125" s="71">
        <f t="shared" si="50"/>
        <v>0.0184644945424298</v>
      </c>
      <c r="AU125" s="71"/>
      <c r="AV125" s="65"/>
      <c r="AW125" s="65">
        <f t="shared" si="64"/>
        <v>0.0487480109978795</v>
      </c>
      <c r="AX125" s="65">
        <f t="shared" si="75"/>
        <v>0.345054083007476</v>
      </c>
      <c r="AY125" s="65">
        <f t="shared" si="65"/>
        <v>24.9150600110604</v>
      </c>
      <c r="AZ125" s="69">
        <f t="shared" si="76"/>
        <v>0.000675121802871218</v>
      </c>
      <c r="BA125" s="69">
        <f t="shared" si="77"/>
        <v>1.77410206417326e-6</v>
      </c>
      <c r="BB125" s="72">
        <f t="shared" si="51"/>
        <v>19.4489346447666</v>
      </c>
      <c r="BC125" s="72">
        <f t="shared" si="52"/>
        <v>4.09852725128441</v>
      </c>
      <c r="BD125" s="72">
        <f t="shared" si="53"/>
        <v>0.309096829012948</v>
      </c>
      <c r="BE125" s="72">
        <f t="shared" si="54"/>
        <v>24.2732115891931</v>
      </c>
      <c r="BF125" s="1"/>
    </row>
    <row r="126" ht="25" customHeight="1" spans="1:58">
      <c r="A126" s="54">
        <v>181</v>
      </c>
      <c r="B126" s="54" t="s">
        <v>198</v>
      </c>
      <c r="C126" s="55">
        <v>0.368636584017437</v>
      </c>
      <c r="D126" s="55">
        <v>3.24502087999337</v>
      </c>
      <c r="E126" s="55"/>
      <c r="F126" s="55">
        <v>2.09915619729952</v>
      </c>
      <c r="G126" s="56">
        <v>0.3</v>
      </c>
      <c r="H126" s="57">
        <f t="shared" si="78"/>
        <v>0.000185725163902457</v>
      </c>
      <c r="I126" s="57">
        <f t="shared" si="79"/>
        <v>0.000125</v>
      </c>
      <c r="J126" s="58">
        <f t="shared" si="57"/>
        <v>0.0327216324766112</v>
      </c>
      <c r="K126" s="58"/>
      <c r="L126" s="58">
        <f t="shared" si="58"/>
        <v>3.7471823768881</v>
      </c>
      <c r="M126" s="57">
        <f t="shared" si="59"/>
        <v>0.00232263472945046</v>
      </c>
      <c r="N126" s="57">
        <f t="shared" si="60"/>
        <v>0.00939770464082404</v>
      </c>
      <c r="O126" s="57">
        <f t="shared" si="61"/>
        <v>0.132391085113416</v>
      </c>
      <c r="P126" s="59">
        <v>0.0302</v>
      </c>
      <c r="Q126" s="60">
        <f t="shared" si="40"/>
        <v>0.0267</v>
      </c>
      <c r="R126" s="61">
        <v>1000</v>
      </c>
      <c r="S126" s="59">
        <v>0.3484</v>
      </c>
      <c r="T126" s="59">
        <v>9.801</v>
      </c>
      <c r="U126" s="62">
        <v>4e-6</v>
      </c>
      <c r="V126" s="63"/>
      <c r="W126" s="63">
        <f t="shared" si="41"/>
        <v>2.6e-6</v>
      </c>
      <c r="X126" s="64">
        <v>0.001147</v>
      </c>
      <c r="Y126" s="64">
        <v>1.85e-5</v>
      </c>
      <c r="Z126" s="65"/>
      <c r="AA126" s="66">
        <f t="shared" si="73"/>
        <v>0.00209915619729952</v>
      </c>
      <c r="AB126" s="65">
        <f t="shared" si="42"/>
        <v>4.88750922915621</v>
      </c>
      <c r="AC126" s="65">
        <f t="shared" si="43"/>
        <v>18.8914230753295</v>
      </c>
      <c r="AD126" s="65">
        <f t="shared" si="44"/>
        <v>5.72022284969779</v>
      </c>
      <c r="AE126" s="96">
        <f t="shared" si="38"/>
        <v>3.30256767467156</v>
      </c>
      <c r="AF126" s="96">
        <f t="shared" si="39"/>
        <v>0.939209990596819</v>
      </c>
      <c r="AG126" s="96">
        <f t="shared" si="72"/>
        <v>2.65078427879709</v>
      </c>
      <c r="AH126" s="96"/>
      <c r="AI126" s="63">
        <f t="shared" si="46"/>
        <v>79.7052073551215</v>
      </c>
      <c r="AJ126" s="68"/>
      <c r="AK126" s="69">
        <f t="shared" si="62"/>
        <v>441.52406990489</v>
      </c>
      <c r="AL126" s="69"/>
      <c r="AM126" s="69">
        <f t="shared" si="74"/>
        <v>0.0140008662870199</v>
      </c>
      <c r="AN126" s="69">
        <f t="shared" si="47"/>
        <v>7.34760632272349e-5</v>
      </c>
      <c r="AO126" s="65">
        <f t="shared" si="63"/>
        <v>0.0175010321126963</v>
      </c>
      <c r="AP126" s="68"/>
      <c r="AQ126" s="68"/>
      <c r="AR126" s="68">
        <f t="shared" si="48"/>
        <v>21.6487767234053</v>
      </c>
      <c r="AS126" s="68">
        <f t="shared" si="49"/>
        <v>30.6268061972185</v>
      </c>
      <c r="AT126" s="71">
        <f t="shared" si="50"/>
        <v>0.0182220636803543</v>
      </c>
      <c r="AU126" s="71"/>
      <c r="AV126" s="65"/>
      <c r="AW126" s="65">
        <f t="shared" si="64"/>
        <v>0.0374924991759737</v>
      </c>
      <c r="AX126" s="65">
        <f t="shared" si="75"/>
        <v>0.466787557440596</v>
      </c>
      <c r="AY126" s="65">
        <f t="shared" si="65"/>
        <v>19.6756529993731</v>
      </c>
      <c r="AZ126" s="69">
        <f t="shared" si="76"/>
        <v>0.000889476558325863</v>
      </c>
      <c r="BA126" s="69">
        <f t="shared" si="77"/>
        <v>2.63262951540622e-6</v>
      </c>
      <c r="BB126" s="72">
        <f t="shared" si="51"/>
        <v>20.2355683803051</v>
      </c>
      <c r="BC126" s="72">
        <f t="shared" si="52"/>
        <v>3.02967279189542</v>
      </c>
      <c r="BD126" s="72">
        <f t="shared" si="53"/>
        <v>0.188421713198138</v>
      </c>
      <c r="BE126" s="72">
        <f t="shared" si="54"/>
        <v>30.3318687747251</v>
      </c>
      <c r="BF126" s="1"/>
    </row>
    <row r="127" ht="25" customHeight="1" spans="1:58">
      <c r="A127" s="54" t="s">
        <v>113</v>
      </c>
      <c r="B127" s="54" t="s">
        <v>198</v>
      </c>
      <c r="C127" s="55">
        <v>0.474828069561012</v>
      </c>
      <c r="D127" s="55">
        <v>15.2736715941673</v>
      </c>
      <c r="E127" s="55"/>
      <c r="F127" s="55">
        <v>2.28214995933084</v>
      </c>
      <c r="G127" s="56">
        <v>1</v>
      </c>
      <c r="H127" s="57">
        <f t="shared" si="78"/>
        <v>0.000185725163902457</v>
      </c>
      <c r="I127" s="57">
        <f t="shared" si="79"/>
        <v>0.000125</v>
      </c>
      <c r="J127" s="58">
        <f t="shared" si="57"/>
        <v>0.0387579434527</v>
      </c>
      <c r="K127" s="58"/>
      <c r="L127" s="58">
        <f t="shared" si="58"/>
        <v>6.21570520083993</v>
      </c>
      <c r="M127" s="57">
        <f t="shared" si="59"/>
        <v>0.00242175735311555</v>
      </c>
      <c r="N127" s="57">
        <f t="shared" si="60"/>
        <v>0.00615727786305795</v>
      </c>
      <c r="O127" s="57">
        <f t="shared" si="61"/>
        <v>0.193749832844497</v>
      </c>
      <c r="P127" s="59">
        <v>0.0302</v>
      </c>
      <c r="Q127" s="60">
        <f t="shared" si="40"/>
        <v>0.0302</v>
      </c>
      <c r="R127" s="61">
        <v>1000</v>
      </c>
      <c r="S127" s="59">
        <v>1.1616</v>
      </c>
      <c r="T127" s="59">
        <v>9.801</v>
      </c>
      <c r="U127" s="62">
        <v>4e-6</v>
      </c>
      <c r="V127" s="63"/>
      <c r="W127" s="63">
        <f t="shared" si="41"/>
        <v>4e-6</v>
      </c>
      <c r="X127" s="64">
        <v>0.001147</v>
      </c>
      <c r="Y127" s="64">
        <v>1.85e-5</v>
      </c>
      <c r="Z127" s="65"/>
      <c r="AA127" s="66">
        <f t="shared" si="73"/>
        <v>0.00228214995933084</v>
      </c>
      <c r="AB127" s="65">
        <f t="shared" si="42"/>
        <v>9.45268581259109</v>
      </c>
      <c r="AC127" s="65">
        <f t="shared" si="43"/>
        <v>34.0753244730079</v>
      </c>
      <c r="AD127" s="65">
        <f t="shared" si="44"/>
        <v>6.76101336288738</v>
      </c>
      <c r="AE127" s="96">
        <f t="shared" si="38"/>
        <v>5.03997295140024</v>
      </c>
      <c r="AF127" s="96">
        <f t="shared" si="39"/>
        <v>0.885267784098413</v>
      </c>
      <c r="AG127" s="96">
        <f t="shared" si="72"/>
        <v>2.79773781693268</v>
      </c>
      <c r="AH127" s="96"/>
      <c r="AI127" s="63">
        <f t="shared" si="46"/>
        <v>102.665528553732</v>
      </c>
      <c r="AJ127" s="68"/>
      <c r="AK127" s="69">
        <f t="shared" si="62"/>
        <v>887.068641214561</v>
      </c>
      <c r="AL127" s="69"/>
      <c r="AM127" s="69">
        <f t="shared" si="74"/>
        <v>0.0180340329730623</v>
      </c>
      <c r="AN127" s="69">
        <f t="shared" si="47"/>
        <v>7.04686850709155e-5</v>
      </c>
      <c r="AO127" s="65">
        <f t="shared" si="63"/>
        <v>0.0198386810876617</v>
      </c>
      <c r="AP127" s="68"/>
      <c r="AQ127" s="68"/>
      <c r="AR127" s="68">
        <f t="shared" si="48"/>
        <v>24.5404485054375</v>
      </c>
      <c r="AS127" s="68">
        <f t="shared" si="49"/>
        <v>34.717691903408</v>
      </c>
      <c r="AT127" s="71">
        <f t="shared" si="50"/>
        <v>0.017476233897587</v>
      </c>
      <c r="AU127" s="71"/>
      <c r="AV127" s="65"/>
      <c r="AW127" s="65">
        <f t="shared" si="64"/>
        <v>0.0267095968916583</v>
      </c>
      <c r="AX127" s="65">
        <f t="shared" si="75"/>
        <v>0.742754792149541</v>
      </c>
      <c r="AY127" s="65">
        <f t="shared" si="65"/>
        <v>15.2388263650103</v>
      </c>
      <c r="AZ127" s="69">
        <f t="shared" si="76"/>
        <v>0.0013018509833023</v>
      </c>
      <c r="BA127" s="69">
        <f t="shared" si="77"/>
        <v>5.61259774766907e-6</v>
      </c>
      <c r="BB127" s="72">
        <f t="shared" si="51"/>
        <v>22.9384750076089</v>
      </c>
      <c r="BC127" s="72">
        <f t="shared" si="52"/>
        <v>1.90401136057345</v>
      </c>
      <c r="BD127" s="72">
        <f t="shared" si="53"/>
        <v>0.0433737109501627</v>
      </c>
      <c r="BE127" s="72">
        <f t="shared" si="54"/>
        <v>47.5973511987827</v>
      </c>
      <c r="BF127" s="98" t="s">
        <v>114</v>
      </c>
    </row>
    <row r="128" ht="25" customHeight="1" spans="1:58">
      <c r="A128" s="54" t="s">
        <v>115</v>
      </c>
      <c r="B128" s="54" t="s">
        <v>198</v>
      </c>
      <c r="C128" s="55">
        <v>0.59641199076378</v>
      </c>
      <c r="D128" s="55">
        <v>0.521715401226633</v>
      </c>
      <c r="E128" s="55"/>
      <c r="F128" s="55">
        <v>2.09688936442451</v>
      </c>
      <c r="G128" s="56">
        <v>1</v>
      </c>
      <c r="H128" s="57">
        <f t="shared" si="78"/>
        <v>0.000185725163902457</v>
      </c>
      <c r="I128" s="57">
        <f t="shared" si="79"/>
        <v>0.000125</v>
      </c>
      <c r="J128" s="58">
        <f t="shared" si="57"/>
        <v>0.0529972889568454</v>
      </c>
      <c r="K128" s="58"/>
      <c r="L128" s="58">
        <f t="shared" si="58"/>
        <v>9.80848460861385</v>
      </c>
      <c r="M128" s="57">
        <f t="shared" si="59"/>
        <v>0.00232138030947628</v>
      </c>
      <c r="N128" s="57">
        <f t="shared" si="60"/>
        <v>0.00358638945484216</v>
      </c>
      <c r="O128" s="57">
        <f t="shared" si="61"/>
        <v>0.347103554902475</v>
      </c>
      <c r="P128" s="59">
        <v>0.0302</v>
      </c>
      <c r="Q128" s="60">
        <f t="shared" si="40"/>
        <v>0.0302</v>
      </c>
      <c r="R128" s="61">
        <v>1000</v>
      </c>
      <c r="S128" s="59">
        <v>1.1616</v>
      </c>
      <c r="T128" s="59">
        <v>9.801</v>
      </c>
      <c r="U128" s="62">
        <v>4e-6</v>
      </c>
      <c r="V128" s="63"/>
      <c r="W128" s="63">
        <f t="shared" si="41"/>
        <v>4e-6</v>
      </c>
      <c r="X128" s="64">
        <v>0.001147</v>
      </c>
      <c r="Y128" s="64">
        <v>1.85e-5</v>
      </c>
      <c r="Z128" s="65"/>
      <c r="AA128" s="66">
        <f t="shared" si="73"/>
        <v>0.00209688936442451</v>
      </c>
      <c r="AB128" s="65">
        <f t="shared" si="42"/>
        <v>16.0910939208367</v>
      </c>
      <c r="AC128" s="65">
        <f t="shared" si="43"/>
        <v>49.3959454344645</v>
      </c>
      <c r="AD128" s="65">
        <f t="shared" si="44"/>
        <v>5.70787523311862</v>
      </c>
      <c r="AE128" s="96">
        <f t="shared" si="38"/>
        <v>8.65399880289184</v>
      </c>
      <c r="AF128" s="96">
        <f t="shared" si="39"/>
        <v>0.843304279280968</v>
      </c>
      <c r="AG128" s="96">
        <f t="shared" si="72"/>
        <v>2.9295927829014</v>
      </c>
      <c r="AH128" s="96"/>
      <c r="AI128" s="63">
        <f t="shared" si="46"/>
        <v>128.953943948925</v>
      </c>
      <c r="AJ128" s="68"/>
      <c r="AK128" s="69">
        <f t="shared" si="62"/>
        <v>562.260096875224</v>
      </c>
      <c r="AL128" s="69"/>
      <c r="AM128" s="69">
        <f t="shared" si="74"/>
        <v>0.022651806404174</v>
      </c>
      <c r="AN128" s="69">
        <f t="shared" si="47"/>
        <v>7.35157679843399e-5</v>
      </c>
      <c r="AO128" s="65">
        <f t="shared" si="63"/>
        <v>0.0174726912944757</v>
      </c>
      <c r="AP128" s="68"/>
      <c r="AQ128" s="68"/>
      <c r="AR128" s="68">
        <f t="shared" si="48"/>
        <v>21.6137191312664</v>
      </c>
      <c r="AS128" s="68">
        <f t="shared" si="49"/>
        <v>30.5772097653324</v>
      </c>
      <c r="AT128" s="71">
        <f t="shared" si="50"/>
        <v>0.0182319104601163</v>
      </c>
      <c r="AU128" s="71"/>
      <c r="AV128" s="65"/>
      <c r="AW128" s="65">
        <f t="shared" si="64"/>
        <v>0.014292560756141</v>
      </c>
      <c r="AX128" s="65">
        <f t="shared" si="75"/>
        <v>1.22250250270711</v>
      </c>
      <c r="AY128" s="65">
        <f t="shared" si="65"/>
        <v>7.49247965998578</v>
      </c>
      <c r="AZ128" s="69">
        <f t="shared" si="76"/>
        <v>0.00233203052759557</v>
      </c>
      <c r="BA128" s="69">
        <f t="shared" si="77"/>
        <v>6.8687529611976e-6</v>
      </c>
      <c r="BB128" s="72">
        <f t="shared" si="51"/>
        <v>20.2027993092375</v>
      </c>
      <c r="BC128" s="72">
        <f t="shared" si="52"/>
        <v>1.15681854167289</v>
      </c>
      <c r="BD128" s="72">
        <f t="shared" si="53"/>
        <v>0.072561614161594</v>
      </c>
      <c r="BE128" s="72">
        <f t="shared" si="54"/>
        <v>60.8116959007017</v>
      </c>
      <c r="BF128" s="98" t="s">
        <v>114</v>
      </c>
    </row>
    <row r="129" ht="25" customHeight="1" spans="1:61">
      <c r="A129" s="54" t="s">
        <v>119</v>
      </c>
      <c r="B129" s="54" t="s">
        <v>198</v>
      </c>
      <c r="C129" s="55">
        <v>0.697558720125983</v>
      </c>
      <c r="D129" s="55">
        <v>-2.36142691791094</v>
      </c>
      <c r="E129" s="55"/>
      <c r="F129" s="55">
        <v>2.21612432682678</v>
      </c>
      <c r="G129" s="56">
        <v>0.6</v>
      </c>
      <c r="H129" s="57">
        <f t="shared" si="78"/>
        <v>0.000185725163902457</v>
      </c>
      <c r="I129" s="57">
        <f t="shared" si="79"/>
        <v>0.000125</v>
      </c>
      <c r="J129" s="58">
        <f t="shared" si="57"/>
        <v>0.0586399668061026</v>
      </c>
      <c r="K129" s="58"/>
      <c r="L129" s="58">
        <f t="shared" si="58"/>
        <v>13.4155986802421</v>
      </c>
      <c r="M129" s="57">
        <f t="shared" si="59"/>
        <v>0.00238646790713324</v>
      </c>
      <c r="N129" s="57">
        <f t="shared" si="60"/>
        <v>0.00277057079198529</v>
      </c>
      <c r="O129" s="57">
        <f t="shared" si="61"/>
        <v>0.436988789625491</v>
      </c>
      <c r="P129" s="59">
        <v>0.0302</v>
      </c>
      <c r="Q129" s="60">
        <f t="shared" si="40"/>
        <v>0.0282</v>
      </c>
      <c r="R129" s="61">
        <v>1000</v>
      </c>
      <c r="S129" s="59">
        <v>0.69687</v>
      </c>
      <c r="T129" s="59">
        <v>9.801</v>
      </c>
      <c r="U129" s="62">
        <v>4e-6</v>
      </c>
      <c r="V129" s="63"/>
      <c r="W129" s="63">
        <f t="shared" si="41"/>
        <v>3.2e-6</v>
      </c>
      <c r="X129" s="64">
        <v>0.001147</v>
      </c>
      <c r="Y129" s="64">
        <v>1.85e-5</v>
      </c>
      <c r="Z129" s="65"/>
      <c r="AA129" s="66">
        <f t="shared" si="73"/>
        <v>0.00221612432682678</v>
      </c>
      <c r="AB129" s="65">
        <f t="shared" si="42"/>
        <v>22.7618842010091</v>
      </c>
      <c r="AC129" s="65">
        <f t="shared" si="43"/>
        <v>71.4132368412993</v>
      </c>
      <c r="AD129" s="65">
        <f t="shared" si="44"/>
        <v>6.37546226757295</v>
      </c>
      <c r="AE129" s="96">
        <f t="shared" si="38"/>
        <v>11.2012641349198</v>
      </c>
      <c r="AF129" s="96">
        <f t="shared" si="39"/>
        <v>0.830095490925986</v>
      </c>
      <c r="AG129" s="96">
        <f t="shared" si="72"/>
        <v>2.97468137096527</v>
      </c>
      <c r="AH129" s="96"/>
      <c r="AI129" s="63">
        <f t="shared" si="46"/>
        <v>150.823507054267</v>
      </c>
      <c r="AJ129" s="68"/>
      <c r="AK129" s="69">
        <f t="shared" si="62"/>
        <v>246.615121134903</v>
      </c>
      <c r="AL129" s="69"/>
      <c r="AM129" s="69">
        <f t="shared" si="74"/>
        <v>0.0264933725822683</v>
      </c>
      <c r="AN129" s="69">
        <f t="shared" si="47"/>
        <v>7.15107275169176e-5</v>
      </c>
      <c r="AO129" s="65">
        <f t="shared" si="63"/>
        <v>0.0189839993427672</v>
      </c>
      <c r="AP129" s="68"/>
      <c r="AQ129" s="68"/>
      <c r="AR129" s="68">
        <f t="shared" si="48"/>
        <v>23.483207187003</v>
      </c>
      <c r="AS129" s="68">
        <f t="shared" si="49"/>
        <v>33.2219988498426</v>
      </c>
      <c r="AT129" s="71">
        <f t="shared" si="50"/>
        <v>0.0177346604241956</v>
      </c>
      <c r="AU129" s="71"/>
      <c r="AV129" s="65"/>
      <c r="AW129" s="65">
        <f t="shared" si="64"/>
        <v>0.0116702038887605</v>
      </c>
      <c r="AX129" s="65">
        <f t="shared" si="75"/>
        <v>1.62670674169203</v>
      </c>
      <c r="AY129" s="65">
        <f t="shared" si="65"/>
        <v>6.46565568422764</v>
      </c>
      <c r="AZ129" s="69">
        <f t="shared" si="76"/>
        <v>0.00293612902850315</v>
      </c>
      <c r="BA129" s="69">
        <f t="shared" si="77"/>
        <v>1.10918125453808e-5</v>
      </c>
      <c r="BB129" s="72">
        <f t="shared" si="51"/>
        <v>21.9502492400746</v>
      </c>
      <c r="BC129" s="72">
        <f t="shared" si="52"/>
        <v>0.869372165324705</v>
      </c>
      <c r="BD129" s="72">
        <f t="shared" si="53"/>
        <v>0.0314938177337095</v>
      </c>
      <c r="BE129" s="72">
        <f t="shared" si="54"/>
        <v>84.1641613764452</v>
      </c>
      <c r="BF129" s="84" t="s">
        <v>118</v>
      </c>
      <c r="BH129" s="79"/>
      <c r="BI129" s="79"/>
    </row>
    <row r="130" ht="25" customHeight="1" spans="1:61">
      <c r="A130" s="54" t="s">
        <v>120</v>
      </c>
      <c r="B130" s="54" t="s">
        <v>198</v>
      </c>
      <c r="C130" s="55">
        <v>0.628154363828625</v>
      </c>
      <c r="D130" s="55">
        <v>-5.21407430510281</v>
      </c>
      <c r="E130" s="55"/>
      <c r="F130" s="55">
        <v>1.81254596135072</v>
      </c>
      <c r="G130" s="56">
        <v>0.3</v>
      </c>
      <c r="H130" s="57">
        <f t="shared" si="78"/>
        <v>0.000185725163902457</v>
      </c>
      <c r="I130" s="57">
        <f t="shared" si="79"/>
        <v>0.000125</v>
      </c>
      <c r="J130" s="58">
        <f t="shared" si="57"/>
        <v>0.0646071886576237</v>
      </c>
      <c r="K130" s="58"/>
      <c r="L130" s="58">
        <f t="shared" si="58"/>
        <v>10.884757053402</v>
      </c>
      <c r="M130" s="57">
        <f t="shared" si="59"/>
        <v>0.00215825647160292</v>
      </c>
      <c r="N130" s="57">
        <f t="shared" si="60"/>
        <v>0.0027953851877365</v>
      </c>
      <c r="O130" s="57">
        <f t="shared" si="61"/>
        <v>0.479198350487455</v>
      </c>
      <c r="P130" s="59">
        <v>0.0302</v>
      </c>
      <c r="Q130" s="60">
        <f t="shared" si="40"/>
        <v>0.0267</v>
      </c>
      <c r="R130" s="61">
        <v>1000</v>
      </c>
      <c r="S130" s="59">
        <v>0.3484</v>
      </c>
      <c r="T130" s="59">
        <v>9.801</v>
      </c>
      <c r="U130" s="62">
        <v>4e-6</v>
      </c>
      <c r="V130" s="63"/>
      <c r="W130" s="63">
        <f t="shared" si="41"/>
        <v>2.6e-6</v>
      </c>
      <c r="X130" s="64">
        <v>0.001147</v>
      </c>
      <c r="Y130" s="64">
        <v>1.85e-5</v>
      </c>
      <c r="Z130" s="65"/>
      <c r="AA130" s="66">
        <f t="shared" si="73"/>
        <v>0.00181254596135072</v>
      </c>
      <c r="AB130" s="65">
        <f t="shared" si="42"/>
        <v>18.0722683382744</v>
      </c>
      <c r="AC130" s="65">
        <f t="shared" si="43"/>
        <v>47.3636150846312</v>
      </c>
      <c r="AD130" s="65">
        <f t="shared" si="44"/>
        <v>4.26482773119845</v>
      </c>
      <c r="AE130" s="96">
        <f t="shared" si="38"/>
        <v>11.1056338191934</v>
      </c>
      <c r="AF130" s="96">
        <f t="shared" si="39"/>
        <v>0.830481420357912</v>
      </c>
      <c r="AG130" s="96">
        <f t="shared" si="72"/>
        <v>2.97333805883682</v>
      </c>
      <c r="AH130" s="96"/>
      <c r="AI130" s="63">
        <f t="shared" si="46"/>
        <v>135.81715974673</v>
      </c>
      <c r="AJ130" s="68"/>
      <c r="AK130" s="69">
        <f t="shared" si="62"/>
        <v>152.061226111677</v>
      </c>
      <c r="AL130" s="69"/>
      <c r="AM130" s="69">
        <f t="shared" si="74"/>
        <v>0.0238573859374647</v>
      </c>
      <c r="AN130" s="69">
        <f t="shared" si="47"/>
        <v>7.90721855721471e-5</v>
      </c>
      <c r="AO130" s="65">
        <f t="shared" si="63"/>
        <v>0.0140420356221177</v>
      </c>
      <c r="AP130" s="68"/>
      <c r="AQ130" s="68"/>
      <c r="AR130" s="68">
        <f t="shared" si="48"/>
        <v>17.3699980645596</v>
      </c>
      <c r="AS130" s="68">
        <f t="shared" si="49"/>
        <v>24.573562338706</v>
      </c>
      <c r="AT130" s="71">
        <f t="shared" si="50"/>
        <v>0.0196099020218925</v>
      </c>
      <c r="AU130" s="71"/>
      <c r="AV130" s="65"/>
      <c r="AW130" s="65">
        <f t="shared" si="64"/>
        <v>0.00962713449743853</v>
      </c>
      <c r="AX130" s="65">
        <f t="shared" si="75"/>
        <v>1.45858932643497</v>
      </c>
      <c r="AY130" s="65">
        <f t="shared" si="65"/>
        <v>4.3624059381781</v>
      </c>
      <c r="AZ130" s="69">
        <f t="shared" si="76"/>
        <v>0.00321887413072388</v>
      </c>
      <c r="BA130" s="69">
        <f t="shared" si="77"/>
        <v>4.92105772960229e-6</v>
      </c>
      <c r="BB130" s="72">
        <f t="shared" si="51"/>
        <v>16.2361036880736</v>
      </c>
      <c r="BC130" s="72">
        <f t="shared" si="52"/>
        <v>0.96957624517222</v>
      </c>
      <c r="BD130" s="72">
        <f t="shared" si="53"/>
        <v>0.136610022821139</v>
      </c>
      <c r="BE130" s="72">
        <f t="shared" si="54"/>
        <v>55.8932705470281</v>
      </c>
      <c r="BF130" s="1"/>
      <c r="BH130" s="79"/>
      <c r="BI130" s="79"/>
    </row>
    <row r="131" ht="25" customHeight="1" spans="1:61">
      <c r="A131" s="54" t="s">
        <v>122</v>
      </c>
      <c r="B131" s="54" t="s">
        <v>198</v>
      </c>
      <c r="C131" s="55">
        <v>0.577604190310569</v>
      </c>
      <c r="D131" s="55">
        <v>5.05760783005585</v>
      </c>
      <c r="E131" s="55"/>
      <c r="F131" s="55">
        <v>2.13587757658587</v>
      </c>
      <c r="G131" s="56">
        <v>0.2</v>
      </c>
      <c r="H131" s="57">
        <f t="shared" si="78"/>
        <v>0.000185725163902457</v>
      </c>
      <c r="I131" s="57">
        <f t="shared" si="79"/>
        <v>0.000125</v>
      </c>
      <c r="J131" s="58">
        <f t="shared" si="57"/>
        <v>0.0503861401293144</v>
      </c>
      <c r="K131" s="58"/>
      <c r="L131" s="58">
        <f t="shared" si="58"/>
        <v>9.1991832793677</v>
      </c>
      <c r="M131" s="57">
        <f t="shared" si="59"/>
        <v>0.00234286204119455</v>
      </c>
      <c r="N131" s="57">
        <f t="shared" si="60"/>
        <v>0.003894730954928</v>
      </c>
      <c r="O131" s="57">
        <f t="shared" si="61"/>
        <v>0.31667638174966</v>
      </c>
      <c r="P131" s="59">
        <v>0.0302</v>
      </c>
      <c r="Q131" s="60">
        <f t="shared" si="40"/>
        <v>0.0262</v>
      </c>
      <c r="R131" s="61">
        <v>1000</v>
      </c>
      <c r="S131" s="59">
        <v>0.23226</v>
      </c>
      <c r="T131" s="59">
        <v>9.801</v>
      </c>
      <c r="U131" s="62">
        <v>4e-6</v>
      </c>
      <c r="V131" s="63"/>
      <c r="W131" s="63">
        <f t="shared" si="41"/>
        <v>2.4e-6</v>
      </c>
      <c r="X131" s="64">
        <v>0.001147</v>
      </c>
      <c r="Y131" s="64">
        <v>1.85e-5</v>
      </c>
      <c r="Z131" s="65"/>
      <c r="AA131" s="66">
        <f t="shared" si="73"/>
        <v>0.00213587757658587</v>
      </c>
      <c r="AB131" s="65">
        <f t="shared" si="42"/>
        <v>14.9656779135743</v>
      </c>
      <c r="AC131" s="65">
        <f t="shared" si="43"/>
        <v>47.1910977027488</v>
      </c>
      <c r="AD131" s="65">
        <f t="shared" si="44"/>
        <v>5.92210564108781</v>
      </c>
      <c r="AE131" s="96">
        <f t="shared" ref="AE131:AE143" si="80">AC131/AD131</f>
        <v>7.96863490163617</v>
      </c>
      <c r="AF131" s="96">
        <f t="shared" ref="AF131:AF143" si="81">ATAN((1+1/AE131)/SQRT(1-1/(AE131^2)))</f>
        <v>0.848310035790901</v>
      </c>
      <c r="AG131" s="96">
        <f t="shared" si="72"/>
        <v>2.9129732944013</v>
      </c>
      <c r="AH131" s="96"/>
      <c r="AI131" s="63">
        <f t="shared" si="46"/>
        <v>124.887392499582</v>
      </c>
      <c r="AJ131" s="68"/>
      <c r="AK131" s="69">
        <f t="shared" si="62"/>
        <v>119.894516565378</v>
      </c>
      <c r="AL131" s="69"/>
      <c r="AM131" s="69">
        <f t="shared" si="74"/>
        <v>0.0219374836518617</v>
      </c>
      <c r="AN131" s="69">
        <f t="shared" si="47"/>
        <v>7.28417009769217e-5</v>
      </c>
      <c r="AO131" s="65">
        <f t="shared" si="63"/>
        <v>0.0179622634997369</v>
      </c>
      <c r="AP131" s="68"/>
      <c r="AQ131" s="68"/>
      <c r="AR131" s="68">
        <f t="shared" si="48"/>
        <v>22.2193199491745</v>
      </c>
      <c r="AS131" s="68">
        <f t="shared" si="49"/>
        <v>31.4339611245395</v>
      </c>
      <c r="AT131" s="71">
        <f t="shared" si="50"/>
        <v>0.0180647418422766</v>
      </c>
      <c r="AU131" s="71"/>
      <c r="AV131" s="65"/>
      <c r="AW131" s="65">
        <f t="shared" si="64"/>
        <v>0.0158104338693973</v>
      </c>
      <c r="AX131" s="65">
        <f t="shared" si="75"/>
        <v>1.13610187096159</v>
      </c>
      <c r="AY131" s="65">
        <f t="shared" si="65"/>
        <v>8.44228779443489</v>
      </c>
      <c r="AZ131" s="69">
        <f t="shared" si="76"/>
        <v>0.0021276535386033</v>
      </c>
      <c r="BA131" s="69">
        <f t="shared" si="77"/>
        <v>6.808451578485e-6</v>
      </c>
      <c r="BB131" s="72">
        <f t="shared" si="51"/>
        <v>20.7688671715708</v>
      </c>
      <c r="BC131" s="72">
        <f t="shared" si="52"/>
        <v>1.24479467776609</v>
      </c>
      <c r="BD131" s="72">
        <f t="shared" si="53"/>
        <v>0.0668725431585068</v>
      </c>
      <c r="BE131" s="72">
        <f t="shared" si="54"/>
        <v>59.0353089849244</v>
      </c>
      <c r="BF131" s="1"/>
    </row>
    <row r="132" ht="25" customHeight="1" spans="1:61">
      <c r="A132" s="54" t="s">
        <v>124</v>
      </c>
      <c r="B132" s="54" t="s">
        <v>198</v>
      </c>
      <c r="C132" s="55">
        <v>0.652443836310622</v>
      </c>
      <c r="D132" s="55">
        <v>2.37537051190267</v>
      </c>
      <c r="E132" s="55"/>
      <c r="F132" s="55">
        <v>2.34917507563188</v>
      </c>
      <c r="G132" s="56">
        <v>0.2</v>
      </c>
      <c r="H132" s="57">
        <f t="shared" si="78"/>
        <v>0.000185725163902457</v>
      </c>
      <c r="I132" s="57">
        <f t="shared" si="79"/>
        <v>0.000125</v>
      </c>
      <c r="J132" s="58">
        <f t="shared" si="57"/>
        <v>0.0517320093213377</v>
      </c>
      <c r="K132" s="58"/>
      <c r="L132" s="58">
        <f t="shared" si="58"/>
        <v>11.7347633119276</v>
      </c>
      <c r="M132" s="57">
        <f t="shared" si="59"/>
        <v>0.00245706264906017</v>
      </c>
      <c r="N132" s="57">
        <f t="shared" si="60"/>
        <v>0.00335681918039598</v>
      </c>
      <c r="O132" s="57">
        <f t="shared" si="61"/>
        <v>0.350254371484821</v>
      </c>
      <c r="P132" s="59">
        <v>0.0302</v>
      </c>
      <c r="Q132" s="60">
        <f t="shared" ref="Q132:Q195" si="82">0.0252+0.005*G132</f>
        <v>0.0262</v>
      </c>
      <c r="R132" s="61">
        <v>1000</v>
      </c>
      <c r="S132" s="59">
        <v>0.23226</v>
      </c>
      <c r="T132" s="59">
        <v>9.801</v>
      </c>
      <c r="U132" s="62">
        <v>4e-6</v>
      </c>
      <c r="V132" s="63"/>
      <c r="W132" s="63">
        <f t="shared" ref="W132:W195" si="83">0.000002+0.000002*G132</f>
        <v>2.4e-6</v>
      </c>
      <c r="X132" s="64">
        <v>0.001147</v>
      </c>
      <c r="Y132" s="64">
        <v>1.85e-5</v>
      </c>
      <c r="Z132" s="65"/>
      <c r="AA132" s="66">
        <f t="shared" si="73"/>
        <v>0.00234917507563188</v>
      </c>
      <c r="AB132" s="65">
        <f t="shared" ref="AB132:AB195" si="84">(C132^2-0.2^2)/(2*9.81)*1000</f>
        <v>19.6576431977432</v>
      </c>
      <c r="AC132" s="65">
        <f t="shared" ref="AC132:AC195" si="85">R132*2*AA132*C132^2/P132</f>
        <v>66.2254171305913</v>
      </c>
      <c r="AD132" s="65">
        <f t="shared" ref="AD132:AD195" si="86">R132*T132*(AA132*2)^2/P132</f>
        <v>7.16397738755529</v>
      </c>
      <c r="AE132" s="96">
        <f t="shared" si="80"/>
        <v>9.24422475783256</v>
      </c>
      <c r="AF132" s="96">
        <f t="shared" si="81"/>
        <v>0.839592035627134</v>
      </c>
      <c r="AG132" s="96">
        <f t="shared" si="72"/>
        <v>2.94208189930711</v>
      </c>
      <c r="AH132" s="96"/>
      <c r="AI132" s="63">
        <f t="shared" ref="AI132:AI195" si="87">R132*C132*U132/Y132</f>
        <v>141.068937580675</v>
      </c>
      <c r="AJ132" s="68"/>
      <c r="AK132" s="69">
        <f t="shared" si="62"/>
        <v>93.9666460768146</v>
      </c>
      <c r="AL132" s="69"/>
      <c r="AM132" s="69">
        <f t="shared" si="74"/>
        <v>0.0247799033194796</v>
      </c>
      <c r="AN132" s="69">
        <f t="shared" ref="AN132:AN195" si="88">Y132/SQRT(R132*P132*AA132)</f>
        <v>6.94561273397528e-5</v>
      </c>
      <c r="AO132" s="65">
        <f t="shared" si="63"/>
        <v>0.0207190388678104</v>
      </c>
      <c r="AP132" s="68"/>
      <c r="AQ132" s="68"/>
      <c r="AR132" s="68">
        <f t="shared" ref="AR132:AR195" si="89">1.237*AO132*1000</f>
        <v>25.6294510794815</v>
      </c>
      <c r="AS132" s="68">
        <f t="shared" ref="AS132:AS195" si="90">1.75*1000*AO132</f>
        <v>36.2583180186682</v>
      </c>
      <c r="AT132" s="71">
        <f t="shared" ref="AT132:AT195" si="91">X132/Y132*4*AN132</f>
        <v>0.0172251195802587</v>
      </c>
      <c r="AU132" s="71"/>
      <c r="AV132" s="65"/>
      <c r="AW132" s="65">
        <f t="shared" si="64"/>
        <v>0.014989814180875</v>
      </c>
      <c r="AX132" s="65">
        <f t="shared" si="75"/>
        <v>1.38220785246592</v>
      </c>
      <c r="AY132" s="65">
        <f t="shared" si="65"/>
        <v>8.80342446551623</v>
      </c>
      <c r="AZ132" s="69">
        <f t="shared" si="76"/>
        <v>0.00235352037709515</v>
      </c>
      <c r="BA132" s="69">
        <f t="shared" si="77"/>
        <v>1.15582220114142e-5</v>
      </c>
      <c r="BB132" s="72">
        <f t="shared" ref="BB132:BB195" si="92">AN132*(AA132)^2/(U132)^2</f>
        <v>23.9563886909058</v>
      </c>
      <c r="BC132" s="72">
        <f t="shared" ref="BC132:BC195" si="93">((AA132*2)^2)*(AN132)/(SQRT(2)*AC132*((U132)^2))</f>
        <v>1.02315549709118</v>
      </c>
      <c r="BD132" s="72">
        <f t="shared" ref="BD132:BD195" si="94">(15-2*AD132)/(AC132)</f>
        <v>0.0101478443474987</v>
      </c>
      <c r="BE132" s="72">
        <f t="shared" ref="BE132:BE195" si="95">AC132+2*AD132</f>
        <v>80.5533719057019</v>
      </c>
      <c r="BF132" s="1"/>
    </row>
    <row r="133" ht="25" customHeight="1" spans="1:61">
      <c r="A133" s="54" t="s">
        <v>127</v>
      </c>
      <c r="B133" s="54" t="s">
        <v>198</v>
      </c>
      <c r="C133" s="55">
        <v>0.645829755740645</v>
      </c>
      <c r="D133" s="55">
        <v>3.50346158796699</v>
      </c>
      <c r="E133" s="55"/>
      <c r="F133" s="55">
        <v>2.36169908315737</v>
      </c>
      <c r="G133" s="56">
        <v>0.2</v>
      </c>
      <c r="H133" s="57">
        <f t="shared" si="78"/>
        <v>0.000185725163902457</v>
      </c>
      <c r="I133" s="57">
        <f t="shared" si="79"/>
        <v>0.000125</v>
      </c>
      <c r="J133" s="58">
        <f t="shared" ref="J133:J196" si="96">C133*SQRT((H133/AA133)^2+(I133/AO133)^2)</f>
        <v>0.0509352475962923</v>
      </c>
      <c r="K133" s="58"/>
      <c r="L133" s="58">
        <f t="shared" ref="L133:L196" si="97">AC133*SQRT((H133/AA133)^2+(2*J133/C133)^2)</f>
        <v>11.4979080351051</v>
      </c>
      <c r="M133" s="57">
        <f t="shared" ref="M133:M196" si="98">AO133*1.5*H133/AA133</f>
        <v>0.00246360353373652</v>
      </c>
      <c r="N133" s="57">
        <f t="shared" ref="N133:N196" si="99">AW133*SQRT((2*H133/AA133)^2+(2*J133/C133)^2)</f>
        <v>0.00344416497133472</v>
      </c>
      <c r="O133" s="57">
        <f t="shared" ref="O133:O196" si="100">AX133*SQRT((M133/AO133)^2+(N133/AW133)^2)</f>
        <v>0.340460728869397</v>
      </c>
      <c r="P133" s="59">
        <v>0.0302</v>
      </c>
      <c r="Q133" s="60">
        <f t="shared" si="82"/>
        <v>0.0262</v>
      </c>
      <c r="R133" s="61">
        <v>1000</v>
      </c>
      <c r="S133" s="59">
        <v>0.23226</v>
      </c>
      <c r="T133" s="59">
        <v>9.801</v>
      </c>
      <c r="U133" s="62">
        <v>4e-6</v>
      </c>
      <c r="V133" s="63"/>
      <c r="W133" s="63">
        <f t="shared" si="83"/>
        <v>2.4e-6</v>
      </c>
      <c r="X133" s="64">
        <v>0.001147</v>
      </c>
      <c r="Y133" s="64">
        <v>1.85e-5</v>
      </c>
      <c r="Z133" s="65"/>
      <c r="AA133" s="66">
        <f t="shared" si="73"/>
        <v>0.00236169908315737</v>
      </c>
      <c r="AB133" s="65">
        <f t="shared" si="84"/>
        <v>19.2199833537218</v>
      </c>
      <c r="AC133" s="65">
        <f t="shared" si="85"/>
        <v>65.235457889892</v>
      </c>
      <c r="AD133" s="65">
        <f t="shared" si="86"/>
        <v>7.24056671583387</v>
      </c>
      <c r="AE133" s="96">
        <f t="shared" si="80"/>
        <v>9.0097171188594</v>
      </c>
      <c r="AF133" s="96">
        <f t="shared" si="81"/>
        <v>0.84100838012923</v>
      </c>
      <c r="AG133" s="96">
        <f t="shared" si="72"/>
        <v>2.9373002468035</v>
      </c>
      <c r="AH133" s="96"/>
      <c r="AI133" s="63">
        <f t="shared" si="87"/>
        <v>139.638866106085</v>
      </c>
      <c r="AJ133" s="68"/>
      <c r="AK133" s="69">
        <f t="shared" ref="AK133:AK196" si="101">G133*1*10^5/(0.5*R133*C133^2)</f>
        <v>95.9011665440386</v>
      </c>
      <c r="AL133" s="69"/>
      <c r="AM133" s="69">
        <f t="shared" si="74"/>
        <v>0.0245286996633947</v>
      </c>
      <c r="AN133" s="69">
        <f t="shared" si="88"/>
        <v>6.92717208340898e-5</v>
      </c>
      <c r="AO133" s="65">
        <f t="shared" ref="AO133:AO196" si="102">SQRT(R133*(AA133^3)/P133)</f>
        <v>0.0208849466406343</v>
      </c>
      <c r="AP133" s="68"/>
      <c r="AQ133" s="68"/>
      <c r="AR133" s="68">
        <f t="shared" si="89"/>
        <v>25.8346789944646</v>
      </c>
      <c r="AS133" s="68">
        <f t="shared" si="90"/>
        <v>36.54865662111</v>
      </c>
      <c r="AT133" s="71">
        <f t="shared" si="91"/>
        <v>0.0171793867668543</v>
      </c>
      <c r="AU133" s="71"/>
      <c r="AV133" s="65"/>
      <c r="AW133" s="65">
        <f t="shared" ref="AW133:AW196" si="103">Y133*(AA133)^2/(R133*(C133*U133)^2)</f>
        <v>0.0154619678668261</v>
      </c>
      <c r="AX133" s="65">
        <f t="shared" si="75"/>
        <v>1.35073018004669</v>
      </c>
      <c r="AY133" s="65">
        <f t="shared" ref="AY133:AY196" si="104">Y133*(AA133)^3/(R133*(C133)^2*(U133)^3)</f>
        <v>9.129128833723</v>
      </c>
      <c r="AZ133" s="69">
        <f t="shared" si="76"/>
        <v>0.00228772613696559</v>
      </c>
      <c r="BA133" s="69">
        <f t="shared" si="77"/>
        <v>1.15071665246487e-5</v>
      </c>
      <c r="BB133" s="72">
        <f t="shared" si="92"/>
        <v>24.1482195532334</v>
      </c>
      <c r="BC133" s="72">
        <f t="shared" si="93"/>
        <v>1.04699930694094</v>
      </c>
      <c r="BD133" s="72">
        <f t="shared" si="94"/>
        <v>0.00795375069196308</v>
      </c>
      <c r="BE133" s="72">
        <f t="shared" si="95"/>
        <v>79.7165913215597</v>
      </c>
      <c r="BF133" s="1"/>
    </row>
    <row r="134" ht="25" customHeight="1" spans="1:61">
      <c r="A134" s="54" t="s">
        <v>128</v>
      </c>
      <c r="B134" s="54" t="s">
        <v>198</v>
      </c>
      <c r="C134" s="55">
        <v>0.613308291772038</v>
      </c>
      <c r="D134" s="55">
        <v>-1.16678551478741</v>
      </c>
      <c r="E134" s="55"/>
      <c r="F134" s="55">
        <v>1.78090250886445</v>
      </c>
      <c r="G134" s="56">
        <v>0.2</v>
      </c>
      <c r="H134" s="57">
        <f t="shared" si="78"/>
        <v>0.000185725163902457</v>
      </c>
      <c r="I134" s="57">
        <f t="shared" si="79"/>
        <v>0.000125</v>
      </c>
      <c r="J134" s="58">
        <f t="shared" si="96"/>
        <v>0.0642053297563674</v>
      </c>
      <c r="K134" s="58"/>
      <c r="L134" s="58">
        <f t="shared" si="97"/>
        <v>10.3768802595109</v>
      </c>
      <c r="M134" s="57">
        <f t="shared" si="98"/>
        <v>0.00213933408547142</v>
      </c>
      <c r="N134" s="57">
        <f t="shared" si="99"/>
        <v>0.00288125948279545</v>
      </c>
      <c r="O134" s="57">
        <f t="shared" si="100"/>
        <v>0.469056197178591</v>
      </c>
      <c r="P134" s="59">
        <v>0.0302</v>
      </c>
      <c r="Q134" s="60">
        <f t="shared" si="82"/>
        <v>0.0262</v>
      </c>
      <c r="R134" s="61">
        <v>1000</v>
      </c>
      <c r="S134" s="59">
        <v>0.23226</v>
      </c>
      <c r="T134" s="59">
        <v>9.801</v>
      </c>
      <c r="U134" s="62">
        <v>4e-6</v>
      </c>
      <c r="V134" s="63"/>
      <c r="W134" s="63">
        <f t="shared" si="83"/>
        <v>2.4e-6</v>
      </c>
      <c r="X134" s="64">
        <v>0.001147</v>
      </c>
      <c r="Y134" s="64">
        <v>1.85e-5</v>
      </c>
      <c r="Z134" s="65"/>
      <c r="AA134" s="66">
        <f t="shared" si="73"/>
        <v>0.00178090250886445</v>
      </c>
      <c r="AB134" s="65">
        <f t="shared" si="84"/>
        <v>17.1328777143902</v>
      </c>
      <c r="AC134" s="65">
        <f t="shared" si="85"/>
        <v>44.3629963048309</v>
      </c>
      <c r="AD134" s="65">
        <f t="shared" si="86"/>
        <v>4.1172167318314</v>
      </c>
      <c r="AE134" s="96">
        <f t="shared" si="80"/>
        <v>10.7749966043438</v>
      </c>
      <c r="AF134" s="96">
        <f t="shared" si="81"/>
        <v>0.831868764121843</v>
      </c>
      <c r="AG134" s="96">
        <f t="shared" si="72"/>
        <v>2.96852217078138</v>
      </c>
      <c r="AH134" s="96"/>
      <c r="AI134" s="63">
        <f t="shared" si="87"/>
        <v>132.607198220981</v>
      </c>
      <c r="AJ134" s="68"/>
      <c r="AK134" s="69">
        <f t="shared" si="101"/>
        <v>106.341386583137</v>
      </c>
      <c r="AL134" s="69"/>
      <c r="AM134" s="69">
        <f t="shared" si="74"/>
        <v>0.0232935301543883</v>
      </c>
      <c r="AN134" s="69">
        <f t="shared" si="88"/>
        <v>7.97715781718438e-5</v>
      </c>
      <c r="AO134" s="65">
        <f t="shared" si="102"/>
        <v>0.0136759261554752</v>
      </c>
      <c r="AP134" s="68"/>
      <c r="AQ134" s="68"/>
      <c r="AR134" s="68">
        <f t="shared" si="89"/>
        <v>16.9171206543228</v>
      </c>
      <c r="AS134" s="68">
        <f t="shared" si="90"/>
        <v>23.9328707720816</v>
      </c>
      <c r="AT134" s="71">
        <f t="shared" si="91"/>
        <v>0.0197833513866173</v>
      </c>
      <c r="AU134" s="71"/>
      <c r="AV134" s="65"/>
      <c r="AW134" s="65">
        <f t="shared" si="103"/>
        <v>0.00974932088138849</v>
      </c>
      <c r="AX134" s="65">
        <f t="shared" si="75"/>
        <v>1.40275679935641</v>
      </c>
      <c r="AY134" s="65">
        <f t="shared" si="104"/>
        <v>4.34064750434733</v>
      </c>
      <c r="AZ134" s="69">
        <f t="shared" si="76"/>
        <v>0.00315066499681861</v>
      </c>
      <c r="BA134" s="69">
        <f t="shared" si="77"/>
        <v>4.44976138991862e-6</v>
      </c>
      <c r="BB134" s="72">
        <f t="shared" si="92"/>
        <v>15.8127896172682</v>
      </c>
      <c r="BC134" s="72">
        <f t="shared" si="93"/>
        <v>1.00816731953959</v>
      </c>
      <c r="BD134" s="72">
        <f t="shared" si="94"/>
        <v>0.152504724654959</v>
      </c>
      <c r="BE134" s="72">
        <f t="shared" si="95"/>
        <v>52.5974297684937</v>
      </c>
      <c r="BF134" s="1"/>
    </row>
    <row r="135" ht="25" customHeight="1" spans="1:61">
      <c r="A135" s="54" t="s">
        <v>131</v>
      </c>
      <c r="B135" s="54" t="s">
        <v>198</v>
      </c>
      <c r="C135" s="55">
        <v>0.59775955401699</v>
      </c>
      <c r="D135" s="55">
        <v>0.0405098108476767</v>
      </c>
      <c r="E135" s="55"/>
      <c r="F135" s="55">
        <v>2.0412599198168</v>
      </c>
      <c r="G135" s="56">
        <v>0.1</v>
      </c>
      <c r="H135" s="57">
        <f t="shared" si="78"/>
        <v>0.000185725163902457</v>
      </c>
      <c r="I135" s="57">
        <f t="shared" si="79"/>
        <v>0.000125</v>
      </c>
      <c r="J135" s="58">
        <f t="shared" si="96"/>
        <v>0.0545694248519045</v>
      </c>
      <c r="K135" s="58"/>
      <c r="L135" s="58">
        <f t="shared" si="97"/>
        <v>9.85355529676843</v>
      </c>
      <c r="M135" s="57">
        <f t="shared" si="98"/>
        <v>0.00229038078739759</v>
      </c>
      <c r="N135" s="57">
        <f t="shared" si="99"/>
        <v>0.00347567500338236</v>
      </c>
      <c r="O135" s="57">
        <f t="shared" si="100"/>
        <v>0.36303644175609</v>
      </c>
      <c r="P135" s="59">
        <v>0.0302</v>
      </c>
      <c r="Q135" s="60">
        <f t="shared" si="82"/>
        <v>0.0257</v>
      </c>
      <c r="R135" s="61">
        <v>1000</v>
      </c>
      <c r="S135" s="59">
        <v>0.11613</v>
      </c>
      <c r="T135" s="59">
        <v>9.801</v>
      </c>
      <c r="U135" s="62">
        <v>4e-6</v>
      </c>
      <c r="V135" s="63"/>
      <c r="W135" s="63">
        <f t="shared" si="83"/>
        <v>2.2e-6</v>
      </c>
      <c r="X135" s="64">
        <v>0.001147</v>
      </c>
      <c r="Y135" s="64">
        <v>1.85e-5</v>
      </c>
      <c r="Z135" s="65"/>
      <c r="AA135" s="66">
        <f t="shared" si="73"/>
        <v>0.0020412599198168</v>
      </c>
      <c r="AB135" s="65">
        <f t="shared" si="84"/>
        <v>16.1731133750556</v>
      </c>
      <c r="AC135" s="65">
        <f t="shared" si="85"/>
        <v>48.3030343267227</v>
      </c>
      <c r="AD135" s="65">
        <f t="shared" si="86"/>
        <v>5.40903826920729</v>
      </c>
      <c r="AE135" s="96">
        <f t="shared" si="80"/>
        <v>8.9300596377185</v>
      </c>
      <c r="AF135" s="96">
        <f t="shared" si="81"/>
        <v>0.841506515013799</v>
      </c>
      <c r="AG135" s="96">
        <f t="shared" si="72"/>
        <v>2.93562340771322</v>
      </c>
      <c r="AH135" s="96"/>
      <c r="AI135" s="63">
        <f t="shared" si="87"/>
        <v>129.245308976646</v>
      </c>
      <c r="AJ135" s="68"/>
      <c r="AK135" s="69">
        <f t="shared" si="101"/>
        <v>55.9727884722226</v>
      </c>
      <c r="AL135" s="69"/>
      <c r="AM135" s="69">
        <f t="shared" si="74"/>
        <v>0.0227029870350161</v>
      </c>
      <c r="AN135" s="69">
        <f t="shared" si="88"/>
        <v>7.45107788075629e-5</v>
      </c>
      <c r="AO135" s="65">
        <f t="shared" si="102"/>
        <v>0.0167820105945672</v>
      </c>
      <c r="AP135" s="68"/>
      <c r="AQ135" s="68"/>
      <c r="AR135" s="68">
        <f t="shared" si="89"/>
        <v>20.7593471054796</v>
      </c>
      <c r="AS135" s="68">
        <f t="shared" si="90"/>
        <v>29.3685185404926</v>
      </c>
      <c r="AT135" s="71">
        <f t="shared" si="91"/>
        <v>0.0184786731442756</v>
      </c>
      <c r="AU135" s="71"/>
      <c r="AV135" s="65"/>
      <c r="AW135" s="65">
        <f t="shared" si="103"/>
        <v>0.0134832724412475</v>
      </c>
      <c r="AX135" s="65">
        <f t="shared" si="75"/>
        <v>1.24465411996188</v>
      </c>
      <c r="AY135" s="65">
        <f t="shared" si="104"/>
        <v>6.88071590557224</v>
      </c>
      <c r="AZ135" s="69">
        <f t="shared" si="76"/>
        <v>0.00243899193410624</v>
      </c>
      <c r="BA135" s="69">
        <f t="shared" si="77"/>
        <v>6.36511992849864e-6</v>
      </c>
      <c r="BB135" s="72">
        <f t="shared" si="92"/>
        <v>19.4041997499683</v>
      </c>
      <c r="BC135" s="72">
        <f t="shared" si="93"/>
        <v>1.13623017004628</v>
      </c>
      <c r="BD135" s="72">
        <f t="shared" si="94"/>
        <v>0.0865768273127274</v>
      </c>
      <c r="BE135" s="72">
        <f t="shared" si="95"/>
        <v>59.1211108651373</v>
      </c>
      <c r="BF135" s="1"/>
    </row>
    <row r="136" ht="25" customHeight="1" spans="1:61">
      <c r="A136" s="54" t="s">
        <v>132</v>
      </c>
      <c r="B136" s="54" t="s">
        <v>198</v>
      </c>
      <c r="C136" s="55">
        <v>0.699158169969465</v>
      </c>
      <c r="D136" s="55">
        <v>2.50676445777079</v>
      </c>
      <c r="E136" s="55"/>
      <c r="F136" s="55">
        <v>2.36142156567417</v>
      </c>
      <c r="G136" s="56">
        <v>0.1</v>
      </c>
      <c r="H136" s="57">
        <f t="shared" si="78"/>
        <v>0.000185725163902457</v>
      </c>
      <c r="I136" s="57">
        <f t="shared" si="79"/>
        <v>0.000125</v>
      </c>
      <c r="J136" s="58">
        <f t="shared" si="96"/>
        <v>0.0551476474707754</v>
      </c>
      <c r="K136" s="58"/>
      <c r="L136" s="58">
        <f t="shared" si="97"/>
        <v>13.4751534941723</v>
      </c>
      <c r="M136" s="57">
        <f t="shared" si="98"/>
        <v>0.00246345878347111</v>
      </c>
      <c r="N136" s="57">
        <f t="shared" si="99"/>
        <v>0.00293844936059135</v>
      </c>
      <c r="O136" s="57">
        <f t="shared" si="100"/>
        <v>0.399078571011114</v>
      </c>
      <c r="P136" s="59">
        <v>0.0302</v>
      </c>
      <c r="Q136" s="60">
        <f t="shared" si="82"/>
        <v>0.0257</v>
      </c>
      <c r="R136" s="61">
        <v>1000</v>
      </c>
      <c r="S136" s="59">
        <v>0.11613</v>
      </c>
      <c r="T136" s="59">
        <v>9.801</v>
      </c>
      <c r="U136" s="62">
        <v>4e-6</v>
      </c>
      <c r="V136" s="63"/>
      <c r="W136" s="63">
        <f t="shared" si="83"/>
        <v>2.2e-6</v>
      </c>
      <c r="X136" s="64">
        <v>0.001147</v>
      </c>
      <c r="Y136" s="64">
        <v>1.85e-5</v>
      </c>
      <c r="Z136" s="65"/>
      <c r="AA136" s="66">
        <f t="shared" si="73"/>
        <v>0.00236142156567417</v>
      </c>
      <c r="AB136" s="65">
        <f t="shared" si="84"/>
        <v>22.875746515548</v>
      </c>
      <c r="AC136" s="65">
        <f t="shared" si="85"/>
        <v>76.444712506169</v>
      </c>
      <c r="AD136" s="65">
        <f t="shared" si="86"/>
        <v>7.23886517323909</v>
      </c>
      <c r="AE136" s="96">
        <f t="shared" si="80"/>
        <v>10.5603172150205</v>
      </c>
      <c r="AF136" s="96">
        <f t="shared" si="81"/>
        <v>0.832816273039325</v>
      </c>
      <c r="AG136" s="96">
        <f t="shared" si="72"/>
        <v>2.9652447940204</v>
      </c>
      <c r="AH136" s="96"/>
      <c r="AI136" s="63">
        <f t="shared" si="87"/>
        <v>151.169334047452</v>
      </c>
      <c r="AJ136" s="68"/>
      <c r="AK136" s="69">
        <f t="shared" si="101"/>
        <v>40.9146765089835</v>
      </c>
      <c r="AL136" s="69"/>
      <c r="AM136" s="69">
        <f t="shared" si="74"/>
        <v>0.0265541198991714</v>
      </c>
      <c r="AN136" s="69">
        <f t="shared" si="88"/>
        <v>6.92757911680625e-5</v>
      </c>
      <c r="AO136" s="65">
        <f t="shared" si="102"/>
        <v>0.0208812655402774</v>
      </c>
      <c r="AP136" s="68"/>
      <c r="AQ136" s="68"/>
      <c r="AR136" s="68">
        <f t="shared" si="89"/>
        <v>25.8301254733232</v>
      </c>
      <c r="AS136" s="68">
        <f t="shared" si="90"/>
        <v>36.5422146954855</v>
      </c>
      <c r="AT136" s="71">
        <f t="shared" si="91"/>
        <v>0.0171803962096795</v>
      </c>
      <c r="AU136" s="71"/>
      <c r="AV136" s="65"/>
      <c r="AW136" s="65">
        <f t="shared" si="103"/>
        <v>0.0131900949571483</v>
      </c>
      <c r="AX136" s="65">
        <f t="shared" si="75"/>
        <v>1.58310198737128</v>
      </c>
      <c r="AY136" s="65">
        <f t="shared" si="104"/>
        <v>7.78684367127503</v>
      </c>
      <c r="AZ136" s="69">
        <f t="shared" si="76"/>
        <v>0.00268160841822297</v>
      </c>
      <c r="BA136" s="69">
        <f t="shared" si="77"/>
        <v>1.34812469086844e-5</v>
      </c>
      <c r="BB136" s="72">
        <f t="shared" si="92"/>
        <v>24.1439632809458</v>
      </c>
      <c r="BC136" s="72">
        <f t="shared" si="93"/>
        <v>0.893318038670001</v>
      </c>
      <c r="BD136" s="72">
        <f t="shared" si="94"/>
        <v>0.00683199185921038</v>
      </c>
      <c r="BE136" s="72">
        <f t="shared" si="95"/>
        <v>90.9224428526472</v>
      </c>
      <c r="BF136" s="1"/>
    </row>
    <row r="137" ht="25" customHeight="1" spans="1:61">
      <c r="A137" s="54" t="s">
        <v>135</v>
      </c>
      <c r="B137" s="54" t="s">
        <v>198</v>
      </c>
      <c r="C137" s="55">
        <v>0.664030541739012</v>
      </c>
      <c r="D137" s="55">
        <v>2.04541139892606</v>
      </c>
      <c r="E137" s="55"/>
      <c r="F137" s="55">
        <v>2.29001090305687</v>
      </c>
      <c r="G137" s="56">
        <v>0.1</v>
      </c>
      <c r="H137" s="57">
        <f t="shared" si="78"/>
        <v>0.000185725163902457</v>
      </c>
      <c r="I137" s="57">
        <f t="shared" si="79"/>
        <v>0.000125</v>
      </c>
      <c r="J137" s="58">
        <f t="shared" si="96"/>
        <v>0.054015025063789</v>
      </c>
      <c r="K137" s="58"/>
      <c r="L137" s="58">
        <f t="shared" si="97"/>
        <v>12.1559860224172</v>
      </c>
      <c r="M137" s="57">
        <f t="shared" si="98"/>
        <v>0.00242592468066348</v>
      </c>
      <c r="N137" s="57">
        <f t="shared" si="99"/>
        <v>0.00315919589139181</v>
      </c>
      <c r="O137" s="57">
        <f t="shared" si="100"/>
        <v>0.376966606777203</v>
      </c>
      <c r="P137" s="59">
        <v>0.0302</v>
      </c>
      <c r="Q137" s="60">
        <f t="shared" si="82"/>
        <v>0.0257</v>
      </c>
      <c r="R137" s="61">
        <v>1000</v>
      </c>
      <c r="S137" s="59">
        <v>0.11613</v>
      </c>
      <c r="T137" s="59">
        <v>9.801</v>
      </c>
      <c r="U137" s="62">
        <v>4e-6</v>
      </c>
      <c r="V137" s="63"/>
      <c r="W137" s="63">
        <f t="shared" si="83"/>
        <v>2.2e-6</v>
      </c>
      <c r="X137" s="64">
        <v>0.001147</v>
      </c>
      <c r="Y137" s="64">
        <v>1.85e-5</v>
      </c>
      <c r="Z137" s="65"/>
      <c r="AA137" s="66">
        <f t="shared" si="73"/>
        <v>0.00229001090305687</v>
      </c>
      <c r="AB137" s="65">
        <f t="shared" si="84"/>
        <v>20.4350948196843</v>
      </c>
      <c r="AC137" s="65">
        <f t="shared" si="85"/>
        <v>66.8708298533672</v>
      </c>
      <c r="AD137" s="65">
        <f t="shared" si="86"/>
        <v>6.80767066541797</v>
      </c>
      <c r="AE137" s="96">
        <f t="shared" si="80"/>
        <v>9.82286499155458</v>
      </c>
      <c r="AF137" s="96">
        <f t="shared" si="81"/>
        <v>0.836388145704531</v>
      </c>
      <c r="AG137" s="96">
        <f t="shared" si="72"/>
        <v>2.95297476169941</v>
      </c>
      <c r="AH137" s="96"/>
      <c r="AI137" s="63">
        <f t="shared" si="87"/>
        <v>143.574171186813</v>
      </c>
      <c r="AJ137" s="68"/>
      <c r="AK137" s="69">
        <f t="shared" si="101"/>
        <v>45.3579988549171</v>
      </c>
      <c r="AL137" s="69"/>
      <c r="AM137" s="69">
        <f t="shared" si="74"/>
        <v>0.0252199679263128</v>
      </c>
      <c r="AN137" s="69">
        <f t="shared" si="88"/>
        <v>7.03476318103165e-5</v>
      </c>
      <c r="AO137" s="65">
        <f t="shared" si="102"/>
        <v>0.0199412718304983</v>
      </c>
      <c r="AP137" s="68"/>
      <c r="AQ137" s="68"/>
      <c r="AR137" s="68">
        <f t="shared" si="89"/>
        <v>24.6673532543264</v>
      </c>
      <c r="AS137" s="68">
        <f t="shared" si="90"/>
        <v>34.897225703372</v>
      </c>
      <c r="AT137" s="71">
        <f t="shared" si="91"/>
        <v>0.0174462126889585</v>
      </c>
      <c r="AU137" s="71"/>
      <c r="AV137" s="65"/>
      <c r="AW137" s="65">
        <f t="shared" si="103"/>
        <v>0.0137515209867313</v>
      </c>
      <c r="AX137" s="65">
        <f t="shared" si="75"/>
        <v>1.45011390738082</v>
      </c>
      <c r="AY137" s="65">
        <f t="shared" si="104"/>
        <v>7.87278324830752</v>
      </c>
      <c r="AZ137" s="69">
        <f t="shared" si="76"/>
        <v>0.00253293799683679</v>
      </c>
      <c r="BA137" s="69">
        <f t="shared" si="77"/>
        <v>1.10904041778324e-5</v>
      </c>
      <c r="BB137" s="72">
        <f t="shared" si="92"/>
        <v>23.0570955540136</v>
      </c>
      <c r="BC137" s="72">
        <f t="shared" si="93"/>
        <v>0.975243086198265</v>
      </c>
      <c r="BD137" s="72">
        <f t="shared" si="94"/>
        <v>0.0207064675614212</v>
      </c>
      <c r="BE137" s="72">
        <f t="shared" si="95"/>
        <v>80.4861711842031</v>
      </c>
      <c r="BF137" s="1"/>
    </row>
    <row r="138" ht="25" customHeight="1" spans="1:61">
      <c r="A138" s="54" t="s">
        <v>139</v>
      </c>
      <c r="B138" s="54" t="s">
        <v>198</v>
      </c>
      <c r="C138" s="55">
        <v>0.677598474374786</v>
      </c>
      <c r="D138" s="55">
        <v>3.27748028900354</v>
      </c>
      <c r="E138" s="55"/>
      <c r="F138" s="55">
        <v>2.08286539808746</v>
      </c>
      <c r="G138" s="56">
        <v>0.1</v>
      </c>
      <c r="H138" s="57">
        <f t="shared" si="78"/>
        <v>0.000185725163902457</v>
      </c>
      <c r="I138" s="57">
        <f t="shared" si="79"/>
        <v>0.000125</v>
      </c>
      <c r="J138" s="58">
        <f t="shared" si="96"/>
        <v>0.060618264076209</v>
      </c>
      <c r="K138" s="58"/>
      <c r="L138" s="58">
        <f t="shared" si="97"/>
        <v>12.6608135243043</v>
      </c>
      <c r="M138" s="57">
        <f t="shared" si="98"/>
        <v>0.00231360460742226</v>
      </c>
      <c r="N138" s="57">
        <f t="shared" si="99"/>
        <v>0.00275991549291442</v>
      </c>
      <c r="O138" s="57">
        <f t="shared" si="100"/>
        <v>0.452570610968283</v>
      </c>
      <c r="P138" s="59">
        <v>0.0302</v>
      </c>
      <c r="Q138" s="60">
        <f t="shared" si="82"/>
        <v>0.0257</v>
      </c>
      <c r="R138" s="61">
        <v>1000</v>
      </c>
      <c r="S138" s="59">
        <v>0.11613</v>
      </c>
      <c r="T138" s="59">
        <v>9.801</v>
      </c>
      <c r="U138" s="62">
        <v>4e-6</v>
      </c>
      <c r="V138" s="63"/>
      <c r="W138" s="63">
        <f t="shared" si="83"/>
        <v>2.2e-6</v>
      </c>
      <c r="X138" s="64">
        <v>0.001147</v>
      </c>
      <c r="Y138" s="64">
        <v>1.85e-5</v>
      </c>
      <c r="Z138" s="65"/>
      <c r="AA138" s="66">
        <f t="shared" si="73"/>
        <v>0.00208286539808746</v>
      </c>
      <c r="AB138" s="65">
        <f t="shared" si="84"/>
        <v>21.3628793310417</v>
      </c>
      <c r="AC138" s="65">
        <f t="shared" si="85"/>
        <v>63.3328594930313</v>
      </c>
      <c r="AD138" s="65">
        <f t="shared" si="86"/>
        <v>5.63178216429892</v>
      </c>
      <c r="AE138" s="96">
        <f t="shared" si="80"/>
        <v>11.2456159782798</v>
      </c>
      <c r="AF138" s="96">
        <f t="shared" si="81"/>
        <v>0.829918739816699</v>
      </c>
      <c r="AG138" s="96">
        <f t="shared" si="72"/>
        <v>2.97529712147533</v>
      </c>
      <c r="AH138" s="96"/>
      <c r="AI138" s="63">
        <f t="shared" si="87"/>
        <v>146.507778243197</v>
      </c>
      <c r="AJ138" s="68"/>
      <c r="AK138" s="69">
        <f t="shared" si="101"/>
        <v>43.5597277425265</v>
      </c>
      <c r="AL138" s="69"/>
      <c r="AM138" s="69">
        <f t="shared" si="74"/>
        <v>0.0257352798048967</v>
      </c>
      <c r="AN138" s="69">
        <f t="shared" si="88"/>
        <v>7.37628442160718e-5</v>
      </c>
      <c r="AO138" s="65">
        <f t="shared" si="102"/>
        <v>0.0172976990315519</v>
      </c>
      <c r="AP138" s="68"/>
      <c r="AQ138" s="68"/>
      <c r="AR138" s="68">
        <f t="shared" si="89"/>
        <v>21.3972537020297</v>
      </c>
      <c r="AS138" s="68">
        <f t="shared" si="90"/>
        <v>30.2709733052159</v>
      </c>
      <c r="AT138" s="71">
        <f t="shared" si="91"/>
        <v>0.0182931853655858</v>
      </c>
      <c r="AU138" s="71"/>
      <c r="AV138" s="65"/>
      <c r="AW138" s="65">
        <f t="shared" si="103"/>
        <v>0.0109251980179675</v>
      </c>
      <c r="AX138" s="65">
        <f t="shared" si="75"/>
        <v>1.58328471512409</v>
      </c>
      <c r="AY138" s="65">
        <f t="shared" si="104"/>
        <v>5.68892922971954</v>
      </c>
      <c r="AZ138" s="69">
        <f t="shared" si="76"/>
        <v>0.00304058959657769</v>
      </c>
      <c r="BA138" s="69">
        <f t="shared" si="77"/>
        <v>8.68934555420283e-6</v>
      </c>
      <c r="BB138" s="72">
        <f t="shared" si="92"/>
        <v>20.0004645052319</v>
      </c>
      <c r="BC138" s="72">
        <f t="shared" si="93"/>
        <v>0.893214940347765</v>
      </c>
      <c r="BD138" s="72">
        <f t="shared" si="94"/>
        <v>0.058996794102014</v>
      </c>
      <c r="BE138" s="72">
        <f t="shared" si="95"/>
        <v>74.5964238216292</v>
      </c>
      <c r="BF138" s="1"/>
    </row>
    <row r="139" ht="25" customHeight="1" spans="1:61">
      <c r="A139" s="54" t="s">
        <v>140</v>
      </c>
      <c r="B139" s="54" t="s">
        <v>198</v>
      </c>
      <c r="C139" s="55">
        <v>0.193003782231753</v>
      </c>
      <c r="D139" s="55">
        <v>-1.94057525873416</v>
      </c>
      <c r="E139" s="55"/>
      <c r="F139" s="55">
        <v>1.89439707139519</v>
      </c>
      <c r="G139" s="56">
        <v>1</v>
      </c>
      <c r="H139" s="57">
        <f t="shared" si="78"/>
        <v>0.000185725163902457</v>
      </c>
      <c r="I139" s="57">
        <f t="shared" si="79"/>
        <v>0.000125</v>
      </c>
      <c r="J139" s="58">
        <f t="shared" si="96"/>
        <v>0.0189901328858749</v>
      </c>
      <c r="K139" s="58"/>
      <c r="L139" s="58">
        <f t="shared" si="97"/>
        <v>1.02745142957684</v>
      </c>
      <c r="M139" s="57">
        <f t="shared" si="98"/>
        <v>0.00220644976767295</v>
      </c>
      <c r="N139" s="57">
        <f t="shared" si="99"/>
        <v>0.0309449291365622</v>
      </c>
      <c r="O139" s="57">
        <f t="shared" si="100"/>
        <v>0.0423363739653465</v>
      </c>
      <c r="P139" s="59">
        <v>0.0302</v>
      </c>
      <c r="Q139" s="60">
        <f t="shared" si="82"/>
        <v>0.0302</v>
      </c>
      <c r="R139" s="61">
        <v>1000</v>
      </c>
      <c r="S139" s="59">
        <v>1.1616</v>
      </c>
      <c r="T139" s="59">
        <v>9.801</v>
      </c>
      <c r="U139" s="62">
        <v>4e-6</v>
      </c>
      <c r="V139" s="63"/>
      <c r="W139" s="63">
        <f t="shared" si="83"/>
        <v>4e-6</v>
      </c>
      <c r="X139" s="64">
        <v>0.001147</v>
      </c>
      <c r="Y139" s="64">
        <v>1.85e-5</v>
      </c>
      <c r="Z139" s="65"/>
      <c r="AA139" s="66">
        <f t="shared" si="73"/>
        <v>0.00189439707139519</v>
      </c>
      <c r="AB139" s="65">
        <f t="shared" si="84"/>
        <v>-0.140139655669627</v>
      </c>
      <c r="AC139" s="65">
        <f t="shared" si="85"/>
        <v>4.67332200319995</v>
      </c>
      <c r="AD139" s="65">
        <f t="shared" si="86"/>
        <v>4.65870772563559</v>
      </c>
      <c r="AE139" s="96">
        <f t="shared" si="80"/>
        <v>1.00313698098808</v>
      </c>
      <c r="AF139" s="96">
        <f t="shared" si="81"/>
        <v>1.53124381525125</v>
      </c>
      <c r="AG139" s="96">
        <f t="shared" si="72"/>
        <v>2.00208739202748</v>
      </c>
      <c r="AH139" s="96"/>
      <c r="AI139" s="63">
        <f t="shared" si="87"/>
        <v>41.7305475095682</v>
      </c>
      <c r="AJ139" s="68"/>
      <c r="AK139" s="69">
        <f t="shared" si="101"/>
        <v>5369.06122065384</v>
      </c>
      <c r="AL139" s="69"/>
      <c r="AM139" s="69">
        <f t="shared" si="74"/>
        <v>0.00733030921257684</v>
      </c>
      <c r="AN139" s="69">
        <f t="shared" si="88"/>
        <v>7.73450901693807e-5</v>
      </c>
      <c r="AO139" s="65">
        <f t="shared" si="102"/>
        <v>0.0150038615849798</v>
      </c>
      <c r="AP139" s="68"/>
      <c r="AQ139" s="68"/>
      <c r="AR139" s="68">
        <f t="shared" si="89"/>
        <v>18.5597767806201</v>
      </c>
      <c r="AS139" s="68">
        <f t="shared" si="90"/>
        <v>26.2567577737147</v>
      </c>
      <c r="AT139" s="71">
        <f t="shared" si="91"/>
        <v>0.0191815823620064</v>
      </c>
      <c r="AU139" s="71"/>
      <c r="AV139" s="65"/>
      <c r="AW139" s="65">
        <f t="shared" si="103"/>
        <v>0.111394085745675</v>
      </c>
      <c r="AX139" s="65">
        <f t="shared" si="75"/>
        <v>0.134691725189391</v>
      </c>
      <c r="AY139" s="65">
        <f t="shared" si="104"/>
        <v>52.7561574518377</v>
      </c>
      <c r="AZ139" s="69">
        <f t="shared" si="76"/>
        <v>0.000284400197240999</v>
      </c>
      <c r="BA139" s="69">
        <f t="shared" si="77"/>
        <v>5.30399729900001e-7</v>
      </c>
      <c r="BB139" s="72">
        <f t="shared" si="92"/>
        <v>17.3482149576329</v>
      </c>
      <c r="BC139" s="72">
        <f t="shared" si="93"/>
        <v>10.499632107203</v>
      </c>
      <c r="BD139" s="72">
        <f t="shared" si="94"/>
        <v>1.21596255187162</v>
      </c>
      <c r="BE139" s="72">
        <f t="shared" si="95"/>
        <v>13.9907374544711</v>
      </c>
      <c r="BF139" s="1" t="s">
        <v>141</v>
      </c>
    </row>
    <row r="140" ht="25" customHeight="1" spans="1:61">
      <c r="A140" s="54" t="s">
        <v>144</v>
      </c>
      <c r="B140" s="54" t="s">
        <v>198</v>
      </c>
      <c r="C140" s="55">
        <v>0.199872149600061</v>
      </c>
      <c r="D140" s="55">
        <v>-3.84379333264818</v>
      </c>
      <c r="E140" s="55"/>
      <c r="F140" s="55">
        <v>1.81701149542571</v>
      </c>
      <c r="G140" s="56">
        <v>1</v>
      </c>
      <c r="H140" s="57">
        <f t="shared" si="78"/>
        <v>0.000185725163902457</v>
      </c>
      <c r="I140" s="57">
        <f t="shared" si="79"/>
        <v>0.000125</v>
      </c>
      <c r="J140" s="58">
        <f t="shared" si="96"/>
        <v>0.0205066208073712</v>
      </c>
      <c r="K140" s="58"/>
      <c r="L140" s="58">
        <f t="shared" si="97"/>
        <v>1.10201458234705</v>
      </c>
      <c r="M140" s="57">
        <f t="shared" si="98"/>
        <v>0.00216091346326766</v>
      </c>
      <c r="N140" s="57">
        <f t="shared" si="99"/>
        <v>0.0276781141465009</v>
      </c>
      <c r="O140" s="57">
        <f t="shared" si="100"/>
        <v>0.0483373214581498</v>
      </c>
      <c r="P140" s="59">
        <v>0.0302</v>
      </c>
      <c r="Q140" s="60">
        <f t="shared" si="82"/>
        <v>0.0302</v>
      </c>
      <c r="R140" s="61">
        <v>1000</v>
      </c>
      <c r="S140" s="59">
        <v>1.1616</v>
      </c>
      <c r="T140" s="59">
        <v>9.801</v>
      </c>
      <c r="U140" s="62">
        <v>4e-6</v>
      </c>
      <c r="V140" s="63"/>
      <c r="W140" s="63">
        <f t="shared" si="83"/>
        <v>4e-6</v>
      </c>
      <c r="X140" s="64">
        <v>0.001147</v>
      </c>
      <c r="Y140" s="64">
        <v>1.85e-5</v>
      </c>
      <c r="Z140" s="65"/>
      <c r="AA140" s="66">
        <f t="shared" si="73"/>
        <v>0.00181701149542571</v>
      </c>
      <c r="AB140" s="65">
        <f t="shared" si="84"/>
        <v>-0.00260569899341695</v>
      </c>
      <c r="AC140" s="65">
        <f t="shared" si="85"/>
        <v>4.80712365952613</v>
      </c>
      <c r="AD140" s="65">
        <f t="shared" si="86"/>
        <v>4.28586796304164</v>
      </c>
      <c r="AE140" s="96">
        <f t="shared" si="80"/>
        <v>1.12162196805395</v>
      </c>
      <c r="AF140" s="96">
        <f t="shared" si="81"/>
        <v>1.335793789183</v>
      </c>
      <c r="AG140" s="96">
        <f t="shared" si="72"/>
        <v>2.07557788567765</v>
      </c>
      <c r="AH140" s="96"/>
      <c r="AI140" s="63">
        <f t="shared" si="87"/>
        <v>43.2155999135267</v>
      </c>
      <c r="AJ140" s="68"/>
      <c r="AK140" s="69">
        <f t="shared" si="101"/>
        <v>5006.39865487243</v>
      </c>
      <c r="AL140" s="69"/>
      <c r="AM140" s="69">
        <f t="shared" si="74"/>
        <v>0.00759117071494271</v>
      </c>
      <c r="AN140" s="69">
        <f t="shared" si="88"/>
        <v>7.89749608838155e-5</v>
      </c>
      <c r="AO140" s="65">
        <f t="shared" si="102"/>
        <v>0.014093960203977</v>
      </c>
      <c r="AP140" s="68"/>
      <c r="AQ140" s="68"/>
      <c r="AR140" s="68">
        <f t="shared" si="89"/>
        <v>17.4342287723196</v>
      </c>
      <c r="AS140" s="68">
        <f t="shared" si="90"/>
        <v>24.6644303569598</v>
      </c>
      <c r="AT140" s="71">
        <f t="shared" si="91"/>
        <v>0.0195857902991863</v>
      </c>
      <c r="AU140" s="71"/>
      <c r="AV140" s="65"/>
      <c r="AW140" s="65">
        <f t="shared" si="103"/>
        <v>0.0955570049148967</v>
      </c>
      <c r="AX140" s="65">
        <f t="shared" si="75"/>
        <v>0.147492695240178</v>
      </c>
      <c r="AY140" s="65">
        <f t="shared" si="104"/>
        <v>43.4070440997046</v>
      </c>
      <c r="AZ140" s="69">
        <f t="shared" si="76"/>
        <v>0.000324692927065102</v>
      </c>
      <c r="BA140" s="69">
        <f t="shared" si="77"/>
        <v>5.01921968818895e-7</v>
      </c>
      <c r="BB140" s="72">
        <f t="shared" si="92"/>
        <v>16.2961414858485</v>
      </c>
      <c r="BC140" s="72">
        <f t="shared" si="93"/>
        <v>9.58836341060946</v>
      </c>
      <c r="BD140" s="72">
        <f t="shared" si="94"/>
        <v>1.33723709419832</v>
      </c>
      <c r="BE140" s="72">
        <f t="shared" si="95"/>
        <v>13.3788595856094</v>
      </c>
      <c r="BF140" s="1" t="s">
        <v>141</v>
      </c>
    </row>
    <row r="141" ht="25" customHeight="1" spans="1:61">
      <c r="A141" s="54" t="s">
        <v>149</v>
      </c>
      <c r="B141" s="54" t="s">
        <v>198</v>
      </c>
      <c r="C141" s="55">
        <v>0.286838292230243</v>
      </c>
      <c r="D141" s="55">
        <v>-3.53338207585706</v>
      </c>
      <c r="E141" s="55"/>
      <c r="F141" s="55">
        <v>1.9199726975837</v>
      </c>
      <c r="G141" s="56">
        <v>0.3</v>
      </c>
      <c r="H141" s="57">
        <f t="shared" si="78"/>
        <v>0.000185725163902457</v>
      </c>
      <c r="I141" s="57">
        <f t="shared" si="79"/>
        <v>0.000125</v>
      </c>
      <c r="J141" s="58">
        <f t="shared" si="96"/>
        <v>0.0278454687628327</v>
      </c>
      <c r="K141" s="58"/>
      <c r="L141" s="58">
        <f t="shared" si="97"/>
        <v>2.26927590702639</v>
      </c>
      <c r="M141" s="57">
        <f t="shared" si="98"/>
        <v>0.0022212941065625</v>
      </c>
      <c r="N141" s="57">
        <f t="shared" si="99"/>
        <v>0.0141990898849997</v>
      </c>
      <c r="O141" s="57">
        <f t="shared" si="100"/>
        <v>0.0916456989268664</v>
      </c>
      <c r="P141" s="59">
        <v>0.0302</v>
      </c>
      <c r="Q141" s="60">
        <f t="shared" si="82"/>
        <v>0.0267</v>
      </c>
      <c r="R141" s="61">
        <v>1000</v>
      </c>
      <c r="S141" s="59">
        <v>0.3484</v>
      </c>
      <c r="T141" s="59">
        <v>9.801</v>
      </c>
      <c r="U141" s="62">
        <v>4e-6</v>
      </c>
      <c r="V141" s="63"/>
      <c r="W141" s="63">
        <f t="shared" si="83"/>
        <v>2.6e-6</v>
      </c>
      <c r="X141" s="64">
        <v>0.001147</v>
      </c>
      <c r="Y141" s="64">
        <v>1.85e-5</v>
      </c>
      <c r="Z141" s="65"/>
      <c r="AA141" s="66">
        <f t="shared" si="73"/>
        <v>0.0019199726975837</v>
      </c>
      <c r="AB141" s="65">
        <f t="shared" si="84"/>
        <v>2.15475055502356</v>
      </c>
      <c r="AC141" s="65">
        <f t="shared" si="85"/>
        <v>10.4614615211083</v>
      </c>
      <c r="AD141" s="65">
        <f t="shared" si="86"/>
        <v>4.78534819310389</v>
      </c>
      <c r="AE141" s="96">
        <f t="shared" si="80"/>
        <v>2.18614426765938</v>
      </c>
      <c r="AF141" s="96">
        <f t="shared" si="81"/>
        <v>1.02294758935589</v>
      </c>
      <c r="AG141" s="96">
        <f t="shared" si="72"/>
        <v>2.46432509376616</v>
      </c>
      <c r="AH141" s="96"/>
      <c r="AI141" s="63">
        <f t="shared" si="87"/>
        <v>62.0190902119444</v>
      </c>
      <c r="AJ141" s="68"/>
      <c r="AK141" s="69">
        <f t="shared" si="101"/>
        <v>729.250934110122</v>
      </c>
      <c r="AL141" s="69"/>
      <c r="AM141" s="69">
        <f t="shared" si="74"/>
        <v>0.0108941563307314</v>
      </c>
      <c r="AN141" s="69">
        <f t="shared" si="88"/>
        <v>7.68282127660125e-5</v>
      </c>
      <c r="AO141" s="65">
        <f t="shared" si="102"/>
        <v>0.0153087280448562</v>
      </c>
      <c r="AP141" s="68"/>
      <c r="AQ141" s="68"/>
      <c r="AR141" s="68">
        <f t="shared" si="89"/>
        <v>18.9368965914871</v>
      </c>
      <c r="AS141" s="68">
        <f t="shared" si="90"/>
        <v>26.7902740784983</v>
      </c>
      <c r="AT141" s="71">
        <f t="shared" si="91"/>
        <v>0.0190533967659711</v>
      </c>
      <c r="AU141" s="71"/>
      <c r="AV141" s="65"/>
      <c r="AW141" s="65">
        <f t="shared" si="103"/>
        <v>0.051804513006527</v>
      </c>
      <c r="AX141" s="65">
        <f t="shared" si="75"/>
        <v>0.295509544562795</v>
      </c>
      <c r="AY141" s="65">
        <f t="shared" si="104"/>
        <v>24.8658126460379</v>
      </c>
      <c r="AZ141" s="69">
        <f t="shared" si="76"/>
        <v>0.000615653639105798</v>
      </c>
      <c r="BA141" s="69">
        <f t="shared" si="77"/>
        <v>1.21960172202242e-6</v>
      </c>
      <c r="BB141" s="72">
        <f t="shared" si="92"/>
        <v>17.700716801865</v>
      </c>
      <c r="BC141" s="72">
        <f t="shared" si="93"/>
        <v>4.78567812239505</v>
      </c>
      <c r="BD141" s="72">
        <f t="shared" si="94"/>
        <v>0.518981368218716</v>
      </c>
      <c r="BE141" s="72">
        <f t="shared" si="95"/>
        <v>20.032157907316</v>
      </c>
      <c r="BF141" s="1"/>
    </row>
    <row r="142" ht="25" customHeight="1" spans="1:61">
      <c r="A142" s="54" t="s">
        <v>153</v>
      </c>
      <c r="B142" s="54" t="s">
        <v>198</v>
      </c>
      <c r="C142" s="55">
        <v>0.20794129439421</v>
      </c>
      <c r="D142" s="55">
        <v>1.4666097619452</v>
      </c>
      <c r="E142" s="55"/>
      <c r="F142" s="55">
        <v>2.02938437746</v>
      </c>
      <c r="G142" s="56">
        <v>0.6</v>
      </c>
      <c r="H142" s="57">
        <f t="shared" si="78"/>
        <v>0.000185725163902457</v>
      </c>
      <c r="I142" s="57">
        <f t="shared" si="79"/>
        <v>0.000125</v>
      </c>
      <c r="J142" s="58">
        <f t="shared" si="96"/>
        <v>0.0190944013926984</v>
      </c>
      <c r="K142" s="58"/>
      <c r="L142" s="58">
        <f t="shared" si="97"/>
        <v>1.19241702493969</v>
      </c>
      <c r="M142" s="57">
        <f t="shared" si="98"/>
        <v>0.00228370863622121</v>
      </c>
      <c r="N142" s="57">
        <f t="shared" si="99"/>
        <v>0.0285549217906911</v>
      </c>
      <c r="O142" s="57">
        <f t="shared" si="100"/>
        <v>0.0443182867773767</v>
      </c>
      <c r="P142" s="59">
        <v>0.0302</v>
      </c>
      <c r="Q142" s="60">
        <f t="shared" si="82"/>
        <v>0.0282</v>
      </c>
      <c r="R142" s="61">
        <v>1000</v>
      </c>
      <c r="S142" s="59">
        <v>0.69687</v>
      </c>
      <c r="T142" s="59">
        <v>9.801</v>
      </c>
      <c r="U142" s="62">
        <v>4e-6</v>
      </c>
      <c r="V142" s="63"/>
      <c r="W142" s="63">
        <f t="shared" si="83"/>
        <v>3.2e-6</v>
      </c>
      <c r="X142" s="64">
        <v>0.001147</v>
      </c>
      <c r="Y142" s="64">
        <v>1.85e-5</v>
      </c>
      <c r="Z142" s="65"/>
      <c r="AA142" s="66">
        <f t="shared" si="73"/>
        <v>0.00202938437746</v>
      </c>
      <c r="AB142" s="65">
        <f t="shared" si="84"/>
        <v>0.165116305521891</v>
      </c>
      <c r="AC142" s="65">
        <f t="shared" si="85"/>
        <v>5.81124053144785</v>
      </c>
      <c r="AD142" s="65">
        <f t="shared" si="86"/>
        <v>5.34628446694607</v>
      </c>
      <c r="AE142" s="96">
        <f t="shared" si="80"/>
        <v>1.08696807425352</v>
      </c>
      <c r="AF142" s="96">
        <f t="shared" si="81"/>
        <v>1.36942593190413</v>
      </c>
      <c r="AG142" s="96">
        <f t="shared" si="72"/>
        <v>2.0551076317215</v>
      </c>
      <c r="AH142" s="96"/>
      <c r="AI142" s="63">
        <f t="shared" si="87"/>
        <v>44.9602798690184</v>
      </c>
      <c r="AJ142" s="68"/>
      <c r="AK142" s="69">
        <f t="shared" si="101"/>
        <v>2775.2349742356</v>
      </c>
      <c r="AL142" s="69"/>
      <c r="AM142" s="69">
        <f t="shared" si="74"/>
        <v>0.00789763790298539</v>
      </c>
      <c r="AN142" s="69">
        <f t="shared" si="88"/>
        <v>7.47284717183786e-5</v>
      </c>
      <c r="AO142" s="65">
        <f t="shared" si="102"/>
        <v>0.016635773460947</v>
      </c>
      <c r="AP142" s="68"/>
      <c r="AQ142" s="68"/>
      <c r="AR142" s="68">
        <f t="shared" si="89"/>
        <v>20.5784517711915</v>
      </c>
      <c r="AS142" s="68">
        <f t="shared" si="90"/>
        <v>29.1126035566573</v>
      </c>
      <c r="AT142" s="71">
        <f t="shared" si="91"/>
        <v>0.0185326609861579</v>
      </c>
      <c r="AU142" s="71"/>
      <c r="AV142" s="65"/>
      <c r="AW142" s="65">
        <f t="shared" si="103"/>
        <v>0.110128287308164</v>
      </c>
      <c r="AX142" s="65">
        <f t="shared" si="75"/>
        <v>0.151058132906366</v>
      </c>
      <c r="AY142" s="65">
        <f t="shared" si="104"/>
        <v>55.8731564449034</v>
      </c>
      <c r="AZ142" s="69">
        <f t="shared" si="76"/>
        <v>0.000297741787281189</v>
      </c>
      <c r="BA142" s="69">
        <f t="shared" si="77"/>
        <v>7.5689047172631e-7</v>
      </c>
      <c r="BB142" s="72">
        <f t="shared" si="92"/>
        <v>19.23511306422</v>
      </c>
      <c r="BC142" s="72">
        <f t="shared" si="93"/>
        <v>9.36204847209187</v>
      </c>
      <c r="BD142" s="72">
        <f t="shared" si="94"/>
        <v>0.741224019690452</v>
      </c>
      <c r="BE142" s="72">
        <f t="shared" si="95"/>
        <v>16.50380946534</v>
      </c>
      <c r="BF142" s="1"/>
    </row>
    <row r="143" ht="25" customHeight="1" spans="1:61">
      <c r="A143" s="54" t="s">
        <v>155</v>
      </c>
      <c r="B143" s="54" t="s">
        <v>198</v>
      </c>
      <c r="C143" s="55">
        <v>0.395299741308555</v>
      </c>
      <c r="D143" s="55">
        <v>2.35604302257706</v>
      </c>
      <c r="E143" s="55"/>
      <c r="F143" s="55">
        <v>2.03078051720123</v>
      </c>
      <c r="G143" s="56">
        <v>1</v>
      </c>
      <c r="H143" s="57">
        <f t="shared" si="78"/>
        <v>0.000185725163902457</v>
      </c>
      <c r="I143" s="57">
        <f t="shared" si="79"/>
        <v>0.000125</v>
      </c>
      <c r="J143" s="58">
        <f t="shared" si="96"/>
        <v>0.0362737253081591</v>
      </c>
      <c r="K143" s="58"/>
      <c r="L143" s="58">
        <f t="shared" si="97"/>
        <v>4.30922272584994</v>
      </c>
      <c r="M143" s="57">
        <f t="shared" si="98"/>
        <v>0.00228449405376896</v>
      </c>
      <c r="N143" s="57">
        <f t="shared" si="99"/>
        <v>0.00790692418864443</v>
      </c>
      <c r="O143" s="57">
        <f t="shared" si="100"/>
        <v>0.159994897577275</v>
      </c>
      <c r="P143" s="59">
        <v>0.0302</v>
      </c>
      <c r="Q143" s="60">
        <f t="shared" si="82"/>
        <v>0.0302</v>
      </c>
      <c r="R143" s="61">
        <v>1000</v>
      </c>
      <c r="S143" s="59">
        <v>1.1616</v>
      </c>
      <c r="T143" s="59">
        <v>9.801</v>
      </c>
      <c r="U143" s="62">
        <v>4e-6</v>
      </c>
      <c r="V143" s="63"/>
      <c r="W143" s="63">
        <f t="shared" si="83"/>
        <v>4e-6</v>
      </c>
      <c r="X143" s="64">
        <v>0.001147</v>
      </c>
      <c r="Y143" s="64">
        <v>1.85e-5</v>
      </c>
      <c r="Z143" s="65"/>
      <c r="AA143" s="66">
        <f t="shared" si="73"/>
        <v>0.00203078051720123</v>
      </c>
      <c r="AB143" s="65">
        <f t="shared" si="84"/>
        <v>5.92568223642255</v>
      </c>
      <c r="AC143" s="65">
        <f t="shared" si="85"/>
        <v>21.0154697093438</v>
      </c>
      <c r="AD143" s="65">
        <f t="shared" si="86"/>
        <v>5.3536430805485</v>
      </c>
      <c r="AE143" s="96">
        <f t="shared" si="80"/>
        <v>3.92545214411095</v>
      </c>
      <c r="AF143" s="96">
        <f t="shared" si="81"/>
        <v>0.914191569010147</v>
      </c>
      <c r="AG143" s="96">
        <f t="shared" si="72"/>
        <v>2.7160274371879</v>
      </c>
      <c r="AH143" s="96"/>
      <c r="AI143" s="63">
        <f t="shared" si="87"/>
        <v>85.4702143369849</v>
      </c>
      <c r="AJ143" s="68"/>
      <c r="AK143" s="69">
        <f t="shared" si="101"/>
        <v>1279.90264156499</v>
      </c>
      <c r="AL143" s="69"/>
      <c r="AM143" s="69">
        <f t="shared" si="74"/>
        <v>0.0150135365324805</v>
      </c>
      <c r="AN143" s="69">
        <f t="shared" si="88"/>
        <v>7.47027797920166e-5</v>
      </c>
      <c r="AO143" s="65">
        <f t="shared" si="102"/>
        <v>0.0166529435881671</v>
      </c>
      <c r="AP143" s="68"/>
      <c r="AQ143" s="68"/>
      <c r="AR143" s="68">
        <f t="shared" si="89"/>
        <v>20.5996912185627</v>
      </c>
      <c r="AS143" s="68">
        <f t="shared" si="90"/>
        <v>29.1426512792924</v>
      </c>
      <c r="AT143" s="71">
        <f t="shared" si="91"/>
        <v>0.0185262893884201</v>
      </c>
      <c r="AU143" s="71"/>
      <c r="AV143" s="65"/>
      <c r="AW143" s="65">
        <f t="shared" si="103"/>
        <v>0.0305157931201653</v>
      </c>
      <c r="AX143" s="65">
        <f t="shared" si="75"/>
        <v>0.545715574967723</v>
      </c>
      <c r="AY143" s="65">
        <f t="shared" si="104"/>
        <v>15.4927195338437</v>
      </c>
      <c r="AZ143" s="69">
        <f t="shared" si="76"/>
        <v>0.00107488834040975</v>
      </c>
      <c r="BA143" s="69">
        <f t="shared" si="77"/>
        <v>2.74094700434403e-6</v>
      </c>
      <c r="BB143" s="72">
        <f t="shared" si="92"/>
        <v>19.2549660238182</v>
      </c>
      <c r="BC143" s="72">
        <f t="shared" si="93"/>
        <v>2.5914846987036</v>
      </c>
      <c r="BD143" s="72">
        <f t="shared" si="94"/>
        <v>0.204264472708615</v>
      </c>
      <c r="BE143" s="72">
        <f t="shared" si="95"/>
        <v>31.7227558704408</v>
      </c>
      <c r="BF143" s="1"/>
    </row>
    <row r="144" ht="25" customHeight="1" spans="1:61">
      <c r="A144" s="54" t="s">
        <v>156</v>
      </c>
      <c r="B144" s="54" t="s">
        <v>198</v>
      </c>
      <c r="C144" s="55">
        <v>0.295147245700814</v>
      </c>
      <c r="D144" s="55">
        <v>3.37938425664175</v>
      </c>
      <c r="E144" s="55"/>
      <c r="F144" s="55">
        <v>2.13137101053508</v>
      </c>
      <c r="G144" s="56">
        <v>0.6</v>
      </c>
      <c r="H144" s="57">
        <f t="shared" si="78"/>
        <v>0.000185725163902457</v>
      </c>
      <c r="I144" s="57">
        <f t="shared" si="79"/>
        <v>0.000125</v>
      </c>
      <c r="J144" s="58">
        <f t="shared" si="96"/>
        <v>0.0258011886087547</v>
      </c>
      <c r="K144" s="58"/>
      <c r="L144" s="58">
        <f t="shared" si="97"/>
        <v>2.40197460346318</v>
      </c>
      <c r="M144" s="57">
        <f t="shared" si="98"/>
        <v>0.00234038909100035</v>
      </c>
      <c r="N144" s="57">
        <f t="shared" si="99"/>
        <v>0.0148848624953704</v>
      </c>
      <c r="O144" s="57">
        <f t="shared" si="100"/>
        <v>0.082948697466969</v>
      </c>
      <c r="P144" s="59">
        <v>0.0302</v>
      </c>
      <c r="Q144" s="60">
        <f t="shared" si="82"/>
        <v>0.0282</v>
      </c>
      <c r="R144" s="61">
        <v>1000</v>
      </c>
      <c r="S144" s="59">
        <v>0.69687</v>
      </c>
      <c r="T144" s="59">
        <v>9.801</v>
      </c>
      <c r="U144" s="62">
        <v>4e-6</v>
      </c>
      <c r="V144" s="63"/>
      <c r="W144" s="63">
        <f t="shared" si="83"/>
        <v>3.2e-6</v>
      </c>
      <c r="X144" s="64">
        <v>0.001147</v>
      </c>
      <c r="Y144" s="64">
        <v>1.85e-5</v>
      </c>
      <c r="Z144" s="65"/>
      <c r="AA144" s="66">
        <f t="shared" si="73"/>
        <v>0.00213137101053508</v>
      </c>
      <c r="AB144" s="65">
        <f t="shared" si="84"/>
        <v>2.40121797373989</v>
      </c>
      <c r="AC144" s="65">
        <f t="shared" si="85"/>
        <v>12.2958788861858</v>
      </c>
      <c r="AD144" s="65">
        <f t="shared" si="86"/>
        <v>5.89714147165139</v>
      </c>
      <c r="AI144" s="63">
        <f t="shared" si="87"/>
        <v>63.8156206920679</v>
      </c>
      <c r="AJ144" s="68"/>
      <c r="AK144" s="69">
        <f t="shared" si="101"/>
        <v>1377.53859830803</v>
      </c>
      <c r="AL144" s="69"/>
      <c r="AM144" s="69">
        <f t="shared" si="74"/>
        <v>0.0112097314840673</v>
      </c>
      <c r="AN144" s="69">
        <f t="shared" si="88"/>
        <v>7.29186684774409e-5</v>
      </c>
      <c r="AO144" s="65">
        <f t="shared" si="102"/>
        <v>0.0179054446441823</v>
      </c>
      <c r="AP144" s="68"/>
      <c r="AQ144" s="68"/>
      <c r="AR144" s="68">
        <f t="shared" si="89"/>
        <v>22.1490350248535</v>
      </c>
      <c r="AS144" s="68">
        <f t="shared" si="90"/>
        <v>31.334528127319</v>
      </c>
      <c r="AT144" s="71">
        <f t="shared" si="91"/>
        <v>0.0180838297824054</v>
      </c>
      <c r="AU144" s="71"/>
      <c r="AV144" s="65"/>
      <c r="AW144" s="65">
        <f t="shared" si="103"/>
        <v>0.0602965391002092</v>
      </c>
      <c r="AX144" s="65">
        <f t="shared" si="75"/>
        <v>0.296956424222367</v>
      </c>
      <c r="AY144" s="65">
        <f t="shared" si="104"/>
        <v>32.1285738684452</v>
      </c>
      <c r="AZ144" s="69">
        <f t="shared" si="76"/>
        <v>0.000557305927038608</v>
      </c>
      <c r="BA144" s="69">
        <f t="shared" si="77"/>
        <v>1.76649839291844e-6</v>
      </c>
      <c r="BB144" s="72">
        <f t="shared" si="92"/>
        <v>20.7031703698357</v>
      </c>
      <c r="BC144" s="72">
        <f t="shared" si="93"/>
        <v>4.76236055871316</v>
      </c>
      <c r="BD144" s="72">
        <f t="shared" si="94"/>
        <v>0.26071475543719</v>
      </c>
      <c r="BE144" s="72">
        <f t="shared" si="95"/>
        <v>24.0901618294885</v>
      </c>
      <c r="BF144" s="1"/>
    </row>
    <row r="145" ht="25" customHeight="1" spans="1:60">
      <c r="A145" s="54" t="s">
        <v>159</v>
      </c>
      <c r="B145" s="54" t="s">
        <v>198</v>
      </c>
      <c r="C145" s="55">
        <v>0.318898518422777</v>
      </c>
      <c r="D145" s="55">
        <v>-2.20538457262442</v>
      </c>
      <c r="E145" s="55"/>
      <c r="F145" s="55">
        <v>1.74565881107812</v>
      </c>
      <c r="G145" s="56">
        <v>0.3</v>
      </c>
      <c r="H145" s="57">
        <f t="shared" si="78"/>
        <v>0.000185725163902457</v>
      </c>
      <c r="I145" s="57">
        <f t="shared" si="79"/>
        <v>0.000125</v>
      </c>
      <c r="J145" s="58">
        <f t="shared" si="96"/>
        <v>0.0340611215262433</v>
      </c>
      <c r="K145" s="58"/>
      <c r="L145" s="58">
        <f t="shared" si="97"/>
        <v>2.80569792259195</v>
      </c>
      <c r="M145" s="57">
        <f t="shared" si="98"/>
        <v>0.00211805981331266</v>
      </c>
      <c r="N145" s="57">
        <f t="shared" si="99"/>
        <v>0.0104465054126055</v>
      </c>
      <c r="O145" s="57">
        <f t="shared" si="100"/>
        <v>0.130679204583418</v>
      </c>
      <c r="P145" s="59">
        <v>0.0302</v>
      </c>
      <c r="Q145" s="60">
        <f t="shared" si="82"/>
        <v>0.0267</v>
      </c>
      <c r="R145" s="61">
        <v>1000</v>
      </c>
      <c r="S145" s="59">
        <v>0.3484</v>
      </c>
      <c r="T145" s="59">
        <v>9.801</v>
      </c>
      <c r="U145" s="62">
        <v>4e-6</v>
      </c>
      <c r="V145" s="63"/>
      <c r="W145" s="63">
        <f t="shared" si="83"/>
        <v>2.6e-6</v>
      </c>
      <c r="X145" s="64">
        <v>0.001147</v>
      </c>
      <c r="Y145" s="64">
        <v>1.85e-5</v>
      </c>
      <c r="Z145" s="65"/>
      <c r="AA145" s="66">
        <f t="shared" si="73"/>
        <v>0.00174565881107812</v>
      </c>
      <c r="AB145" s="65">
        <f t="shared" si="84"/>
        <v>3.14455989053222</v>
      </c>
      <c r="AC145" s="65">
        <f t="shared" si="85"/>
        <v>11.7567537180253</v>
      </c>
      <c r="AD145" s="65">
        <f t="shared" si="86"/>
        <v>3.95587142181358</v>
      </c>
      <c r="AI145" s="63">
        <f t="shared" si="87"/>
        <v>68.9510310103302</v>
      </c>
      <c r="AJ145" s="68"/>
      <c r="AK145" s="69">
        <f t="shared" si="101"/>
        <v>589.992169025849</v>
      </c>
      <c r="AL145" s="69"/>
      <c r="AM145" s="69">
        <f t="shared" si="74"/>
        <v>0.0121118079679114</v>
      </c>
      <c r="AN145" s="69">
        <f t="shared" si="88"/>
        <v>8.05728219582067e-5</v>
      </c>
      <c r="AO145" s="65">
        <f t="shared" si="102"/>
        <v>0.0132719756361488</v>
      </c>
      <c r="AP145" s="68"/>
      <c r="AQ145" s="68"/>
      <c r="AR145" s="68">
        <f t="shared" si="89"/>
        <v>16.417433861916</v>
      </c>
      <c r="AS145" s="68">
        <f t="shared" si="90"/>
        <v>23.2259573632604</v>
      </c>
      <c r="AT145" s="71">
        <f t="shared" si="91"/>
        <v>0.0199820598456353</v>
      </c>
      <c r="AU145" s="71"/>
      <c r="AV145" s="65"/>
      <c r="AW145" s="65">
        <f t="shared" si="103"/>
        <v>0.0346469869357364</v>
      </c>
      <c r="AX145" s="65">
        <f t="shared" si="75"/>
        <v>0.383062909936896</v>
      </c>
      <c r="AY145" s="65">
        <f t="shared" si="104"/>
        <v>15.1204545054192</v>
      </c>
      <c r="AZ145" s="69">
        <f t="shared" si="76"/>
        <v>0.00087774978135691</v>
      </c>
      <c r="BA145" s="69">
        <f t="shared" si="77"/>
        <v>1.13303078816207e-6</v>
      </c>
      <c r="BB145" s="72">
        <f t="shared" si="92"/>
        <v>15.345721829297</v>
      </c>
      <c r="BC145" s="72">
        <f t="shared" si="93"/>
        <v>3.69185720070384</v>
      </c>
      <c r="BD145" s="72">
        <f t="shared" si="94"/>
        <v>0.602909385224699</v>
      </c>
      <c r="BE145" s="72">
        <f t="shared" si="95"/>
        <v>19.6684965616525</v>
      </c>
      <c r="BF145" s="1"/>
      <c r="BG145" s="99" t="s">
        <v>116</v>
      </c>
      <c r="BH145" s="81"/>
    </row>
    <row r="146" ht="25" customHeight="1" spans="1:60">
      <c r="A146" s="54" t="s">
        <v>166</v>
      </c>
      <c r="B146" s="54" t="s">
        <v>198</v>
      </c>
      <c r="C146" s="55">
        <v>0.178317692856581</v>
      </c>
      <c r="D146" s="55">
        <v>7.46552173416134</v>
      </c>
      <c r="E146" s="55"/>
      <c r="F146" s="55">
        <v>2.2322346025075</v>
      </c>
      <c r="G146" s="56">
        <v>1</v>
      </c>
      <c r="H146" s="57">
        <f t="shared" si="78"/>
        <v>0.000185725163902457</v>
      </c>
      <c r="I146" s="57">
        <f t="shared" si="79"/>
        <v>0.000125</v>
      </c>
      <c r="J146" s="58">
        <f t="shared" si="96"/>
        <v>0.0148816830354377</v>
      </c>
      <c r="K146" s="58"/>
      <c r="L146" s="58">
        <f t="shared" si="97"/>
        <v>0.876656960384538</v>
      </c>
      <c r="M146" s="57">
        <f t="shared" si="98"/>
        <v>0.00239512649987599</v>
      </c>
      <c r="N146" s="57">
        <f t="shared" si="99"/>
        <v>0.042705402120013</v>
      </c>
      <c r="O146" s="57">
        <f t="shared" si="100"/>
        <v>0.0282471922591994</v>
      </c>
      <c r="P146" s="59">
        <v>0.0302</v>
      </c>
      <c r="Q146" s="60">
        <f t="shared" si="82"/>
        <v>0.0302</v>
      </c>
      <c r="R146" s="61">
        <v>1000</v>
      </c>
      <c r="S146" s="59">
        <v>1.1616</v>
      </c>
      <c r="T146" s="59">
        <v>9.801</v>
      </c>
      <c r="U146" s="62">
        <v>4e-6</v>
      </c>
      <c r="V146" s="63"/>
      <c r="W146" s="63">
        <f t="shared" si="83"/>
        <v>4e-6</v>
      </c>
      <c r="X146" s="64">
        <v>0.001147</v>
      </c>
      <c r="Y146" s="64">
        <v>1.85e-5</v>
      </c>
      <c r="Z146" s="65"/>
      <c r="AA146" s="66">
        <f t="shared" si="73"/>
        <v>0.0022322346025075</v>
      </c>
      <c r="AB146" s="65">
        <f t="shared" si="84"/>
        <v>-0.418083609291848</v>
      </c>
      <c r="AC146" s="65">
        <f t="shared" si="85"/>
        <v>4.70058338927306</v>
      </c>
      <c r="AD146" s="65">
        <f t="shared" si="86"/>
        <v>6.46849295543211</v>
      </c>
      <c r="AI146" s="63">
        <f t="shared" si="87"/>
        <v>38.5551768338553</v>
      </c>
      <c r="AJ146" s="68"/>
      <c r="AK146" s="69">
        <f t="shared" si="101"/>
        <v>6289.86208238234</v>
      </c>
      <c r="AL146" s="69"/>
      <c r="AM146" s="69">
        <f t="shared" si="74"/>
        <v>0.00677252959293041</v>
      </c>
      <c r="AN146" s="69">
        <f t="shared" si="88"/>
        <v>7.12522099537163e-5</v>
      </c>
      <c r="AO146" s="65">
        <f t="shared" si="102"/>
        <v>0.0191913834329735</v>
      </c>
      <c r="AP146" s="68"/>
      <c r="AQ146" s="68"/>
      <c r="AR146" s="68">
        <f t="shared" si="89"/>
        <v>23.7397413065882</v>
      </c>
      <c r="AS146" s="68">
        <f t="shared" si="90"/>
        <v>33.5849210077036</v>
      </c>
      <c r="AT146" s="71">
        <f t="shared" si="91"/>
        <v>0.0176705480685216</v>
      </c>
      <c r="AU146" s="71"/>
      <c r="AV146" s="65"/>
      <c r="AW146" s="65">
        <f t="shared" si="103"/>
        <v>0.181193471109094</v>
      </c>
      <c r="AX146" s="65">
        <f t="shared" si="75"/>
        <v>0.105916528424022</v>
      </c>
      <c r="AY146" s="65">
        <f t="shared" si="104"/>
        <v>101.116583989541</v>
      </c>
      <c r="AZ146" s="69">
        <f t="shared" si="76"/>
        <v>0.000189794618012003</v>
      </c>
      <c r="BA146" s="69">
        <f t="shared" si="77"/>
        <v>7.40742042010298e-7</v>
      </c>
      <c r="BB146" s="72">
        <f t="shared" si="92"/>
        <v>22.1900370943756</v>
      </c>
      <c r="BC146" s="72">
        <f t="shared" si="93"/>
        <v>13.352151769094</v>
      </c>
      <c r="BD146" s="72">
        <f t="shared" si="94"/>
        <v>0.43888469117337</v>
      </c>
      <c r="BE146" s="72">
        <f t="shared" si="95"/>
        <v>17.6375693001373</v>
      </c>
      <c r="BF146" s="1"/>
      <c r="BG146" s="81"/>
      <c r="BH146" s="81"/>
    </row>
    <row r="147" ht="25" customHeight="1" spans="1:60">
      <c r="A147" s="80">
        <v>24</v>
      </c>
      <c r="B147" s="80" t="s">
        <v>201</v>
      </c>
      <c r="C147" s="55">
        <v>0.434421302012416</v>
      </c>
      <c r="D147" s="55">
        <v>-29.0669323349156</v>
      </c>
      <c r="E147" s="55"/>
      <c r="F147" s="55">
        <v>1.15848988842918</v>
      </c>
      <c r="G147" s="56">
        <v>1</v>
      </c>
      <c r="H147" s="57">
        <f t="shared" ref="H147:H155" si="105">0.001/11.95261</f>
        <v>8.36637353682585e-5</v>
      </c>
      <c r="I147" s="57">
        <f t="shared" ref="I147:I155" si="106">1/3000</f>
        <v>0.000333333333333333</v>
      </c>
      <c r="J147" s="58">
        <f t="shared" si="96"/>
        <v>0.0373036354423826</v>
      </c>
      <c r="K147" s="58">
        <v>0</v>
      </c>
      <c r="L147" s="58">
        <f t="shared" si="97"/>
        <v>2.69751569395075</v>
      </c>
      <c r="M147" s="57">
        <f t="shared" si="98"/>
        <v>0.000777268669169119</v>
      </c>
      <c r="N147" s="57">
        <f t="shared" si="99"/>
        <v>0.00184518651655679</v>
      </c>
      <c r="O147" s="57">
        <f t="shared" si="100"/>
        <v>0.217437645303659</v>
      </c>
      <c r="P147" s="59">
        <v>0.0302</v>
      </c>
      <c r="Q147" s="60">
        <f t="shared" si="82"/>
        <v>0.0302</v>
      </c>
      <c r="R147" s="61">
        <v>1000</v>
      </c>
      <c r="S147" s="59">
        <v>1.1616</v>
      </c>
      <c r="T147" s="59">
        <v>9.801</v>
      </c>
      <c r="U147" s="62">
        <v>4e-6</v>
      </c>
      <c r="V147" s="63"/>
      <c r="W147" s="63">
        <f t="shared" si="83"/>
        <v>4e-6</v>
      </c>
      <c r="X147" s="64">
        <v>0.001147</v>
      </c>
      <c r="Y147" s="64">
        <v>1.85e-5</v>
      </c>
      <c r="Z147" s="65">
        <f t="shared" ref="Z147:Z155" si="107">AD147*(1+D147/9.801)-7.5*AA147+18*AM147</f>
        <v>-3.13643960571778</v>
      </c>
      <c r="AA147" s="66">
        <f t="shared" si="73"/>
        <v>0.00115848988842918</v>
      </c>
      <c r="AB147" s="65">
        <f t="shared" si="84"/>
        <v>7.58011557809188</v>
      </c>
      <c r="AC147" s="65">
        <f t="shared" si="85"/>
        <v>14.4789652575441</v>
      </c>
      <c r="AD147" s="65">
        <f t="shared" si="86"/>
        <v>1.74223980800392</v>
      </c>
      <c r="AI147" s="63">
        <f t="shared" si="87"/>
        <v>93.9289301648467</v>
      </c>
      <c r="AJ147" s="68"/>
      <c r="AK147" s="69">
        <f t="shared" si="101"/>
        <v>1059.76060166605</v>
      </c>
      <c r="AL147" s="69"/>
      <c r="AM147" s="69">
        <f t="shared" si="74"/>
        <v>0.0164993785896769</v>
      </c>
      <c r="AN147" s="69">
        <f t="shared" si="88"/>
        <v>9.89058849633402e-5</v>
      </c>
      <c r="AO147" s="65">
        <f t="shared" si="102"/>
        <v>0.00717521468420959</v>
      </c>
      <c r="AP147" s="68"/>
      <c r="AQ147" s="68"/>
      <c r="AR147" s="68">
        <f t="shared" si="89"/>
        <v>8.87574056436726</v>
      </c>
      <c r="AS147" s="68">
        <f t="shared" si="90"/>
        <v>12.5566256973668</v>
      </c>
      <c r="AT147" s="71">
        <f t="shared" si="91"/>
        <v>0.0245286594709084</v>
      </c>
      <c r="AU147" s="71"/>
      <c r="AV147" s="65"/>
      <c r="AW147" s="65">
        <f t="shared" si="103"/>
        <v>0.00822269184728975</v>
      </c>
      <c r="AX147" s="65">
        <f t="shared" si="75"/>
        <v>0.872611404813205</v>
      </c>
      <c r="AY147" s="65">
        <f t="shared" si="104"/>
        <v>2.38147634018856</v>
      </c>
      <c r="AZ147" s="69">
        <f t="shared" si="76"/>
        <v>0.00301292713394813</v>
      </c>
      <c r="BA147" s="69">
        <f t="shared" si="77"/>
        <v>6.14550507974784e-7</v>
      </c>
      <c r="BB147" s="72">
        <f t="shared" si="92"/>
        <v>8.29634197861734</v>
      </c>
      <c r="BC147" s="72">
        <f t="shared" si="93"/>
        <v>1.62066820874961</v>
      </c>
      <c r="BD147" s="72">
        <f t="shared" si="94"/>
        <v>0.795327578950584</v>
      </c>
      <c r="BE147" s="72">
        <f t="shared" si="95"/>
        <v>17.9634448735519</v>
      </c>
      <c r="BF147" s="1"/>
      <c r="BG147" s="81"/>
      <c r="BH147" s="81"/>
    </row>
    <row r="148" ht="25" customHeight="1" spans="1:60">
      <c r="A148" s="80">
        <v>25</v>
      </c>
      <c r="B148" s="80" t="s">
        <v>201</v>
      </c>
      <c r="C148" s="55">
        <v>0.428729248751949</v>
      </c>
      <c r="D148" s="55">
        <v>-28.956501806821</v>
      </c>
      <c r="E148" s="55"/>
      <c r="F148" s="55">
        <v>1.18207714490075</v>
      </c>
      <c r="G148" s="56">
        <v>1</v>
      </c>
      <c r="H148" s="57">
        <f t="shared" si="105"/>
        <v>8.36637353682585e-5</v>
      </c>
      <c r="I148" s="57">
        <f t="shared" si="106"/>
        <v>0.000333333333333333</v>
      </c>
      <c r="J148" s="58">
        <f t="shared" si="96"/>
        <v>0.0359747389001234</v>
      </c>
      <c r="K148" s="58">
        <v>0</v>
      </c>
      <c r="L148" s="58">
        <f t="shared" si="97"/>
        <v>2.62076234267948</v>
      </c>
      <c r="M148" s="57">
        <f t="shared" si="98"/>
        <v>0.000785141527588209</v>
      </c>
      <c r="N148" s="57">
        <f t="shared" si="99"/>
        <v>0.00192977091305879</v>
      </c>
      <c r="O148" s="57">
        <f t="shared" si="100"/>
        <v>0.205184764778911</v>
      </c>
      <c r="P148" s="59">
        <v>0.0302</v>
      </c>
      <c r="Q148" s="60">
        <f t="shared" si="82"/>
        <v>0.0302</v>
      </c>
      <c r="R148" s="61">
        <v>1000</v>
      </c>
      <c r="S148" s="59">
        <v>1.1616</v>
      </c>
      <c r="T148" s="59">
        <v>9.801</v>
      </c>
      <c r="U148" s="62">
        <v>4e-6</v>
      </c>
      <c r="V148" s="63"/>
      <c r="W148" s="63">
        <f t="shared" si="83"/>
        <v>4e-6</v>
      </c>
      <c r="X148" s="64">
        <v>0.001147</v>
      </c>
      <c r="Y148" s="64">
        <v>1.85e-5</v>
      </c>
      <c r="Z148" s="65">
        <f t="shared" si="107"/>
        <v>-3.26094753914729</v>
      </c>
      <c r="AA148" s="66">
        <f t="shared" si="73"/>
        <v>0.00118207714490075</v>
      </c>
      <c r="AB148" s="65">
        <f t="shared" si="84"/>
        <v>7.32970278977628</v>
      </c>
      <c r="AC148" s="65">
        <f t="shared" si="85"/>
        <v>14.3891486459918</v>
      </c>
      <c r="AD148" s="65">
        <f t="shared" si="86"/>
        <v>1.8139072577542</v>
      </c>
      <c r="AI148" s="63">
        <f t="shared" si="87"/>
        <v>92.6982159463674</v>
      </c>
      <c r="AJ148" s="68"/>
      <c r="AK148" s="69">
        <f t="shared" si="101"/>
        <v>1088.0873713261</v>
      </c>
      <c r="AL148" s="69"/>
      <c r="AM148" s="69">
        <f t="shared" si="74"/>
        <v>0.01628319365293</v>
      </c>
      <c r="AN148" s="69">
        <f t="shared" si="88"/>
        <v>9.79141248770752e-5</v>
      </c>
      <c r="AO148" s="65">
        <f t="shared" si="102"/>
        <v>0.00739546113728823</v>
      </c>
      <c r="AP148" s="68"/>
      <c r="AQ148" s="68"/>
      <c r="AR148" s="68">
        <f t="shared" si="89"/>
        <v>9.14818542682554</v>
      </c>
      <c r="AS148" s="68">
        <f t="shared" si="90"/>
        <v>12.9420569902544</v>
      </c>
      <c r="AT148" s="71">
        <f t="shared" si="91"/>
        <v>0.0242827029695146</v>
      </c>
      <c r="AU148" s="71"/>
      <c r="AV148" s="65"/>
      <c r="AW148" s="65">
        <f t="shared" si="103"/>
        <v>0.008789762909244</v>
      </c>
      <c r="AX148" s="65">
        <f t="shared" si="75"/>
        <v>0.841372084053665</v>
      </c>
      <c r="AY148" s="65">
        <f t="shared" si="104"/>
        <v>2.59754446102841</v>
      </c>
      <c r="AZ148" s="69">
        <f t="shared" si="76"/>
        <v>0.00284709703654513</v>
      </c>
      <c r="BA148" s="69">
        <f t="shared" si="77"/>
        <v>6.3586116428126e-7</v>
      </c>
      <c r="BB148" s="72">
        <f t="shared" si="92"/>
        <v>8.55100193998951</v>
      </c>
      <c r="BC148" s="72">
        <f t="shared" si="93"/>
        <v>1.68084203074521</v>
      </c>
      <c r="BD148" s="72">
        <f t="shared" si="94"/>
        <v>0.7903306696091</v>
      </c>
      <c r="BE148" s="72">
        <f t="shared" si="95"/>
        <v>18.0169631615002</v>
      </c>
      <c r="BF148" s="1"/>
      <c r="BG148" s="81"/>
      <c r="BH148" s="81"/>
    </row>
    <row r="149" ht="25" customHeight="1" spans="1:60">
      <c r="A149" s="80">
        <v>27</v>
      </c>
      <c r="B149" s="80" t="s">
        <v>201</v>
      </c>
      <c r="C149" s="55">
        <v>0.444544126461706</v>
      </c>
      <c r="D149" s="55">
        <v>-28.0286398967497</v>
      </c>
      <c r="E149" s="55">
        <v>10.2668883765643</v>
      </c>
      <c r="F149" s="55">
        <v>1.16865343065144</v>
      </c>
      <c r="G149" s="56">
        <v>1</v>
      </c>
      <c r="H149" s="57">
        <f t="shared" si="105"/>
        <v>8.36637353682585e-5</v>
      </c>
      <c r="I149" s="57">
        <f t="shared" si="106"/>
        <v>0.000333333333333333</v>
      </c>
      <c r="J149" s="58">
        <f t="shared" si="96"/>
        <v>0.0377927057290259</v>
      </c>
      <c r="K149" s="58">
        <v>0</v>
      </c>
      <c r="L149" s="58">
        <f t="shared" si="97"/>
        <v>2.82163810511108</v>
      </c>
      <c r="M149" s="57">
        <f t="shared" si="98"/>
        <v>0.000780670749831988</v>
      </c>
      <c r="N149" s="57">
        <f t="shared" si="99"/>
        <v>0.00177624245055468</v>
      </c>
      <c r="O149" s="57">
        <f t="shared" si="100"/>
        <v>0.224589426114383</v>
      </c>
      <c r="P149" s="59">
        <v>0.0302</v>
      </c>
      <c r="Q149" s="60">
        <f t="shared" si="82"/>
        <v>0.0302</v>
      </c>
      <c r="R149" s="61">
        <v>1000</v>
      </c>
      <c r="S149" s="59">
        <v>1.1616</v>
      </c>
      <c r="T149" s="59">
        <v>9.801</v>
      </c>
      <c r="U149" s="62">
        <v>4e-6</v>
      </c>
      <c r="V149" s="63"/>
      <c r="W149" s="63">
        <f t="shared" si="83"/>
        <v>4e-6</v>
      </c>
      <c r="X149" s="64">
        <v>0.001147</v>
      </c>
      <c r="Y149" s="64">
        <v>1.85e-5</v>
      </c>
      <c r="Z149" s="65">
        <f t="shared" si="107"/>
        <v>-3.00212914036084</v>
      </c>
      <c r="AA149" s="66">
        <f t="shared" si="73"/>
        <v>0.00116865343065144</v>
      </c>
      <c r="AB149" s="65">
        <f t="shared" si="84"/>
        <v>8.03361265910302</v>
      </c>
      <c r="AC149" s="65">
        <f t="shared" si="85"/>
        <v>15.2946148145581</v>
      </c>
      <c r="AD149" s="65">
        <f t="shared" si="86"/>
        <v>1.77294357514968</v>
      </c>
      <c r="AI149" s="63">
        <f t="shared" si="87"/>
        <v>96.1176489646932</v>
      </c>
      <c r="AJ149" s="68">
        <f>((E149/9.801)-1)*AD149*(AI149^2)/64</f>
        <v>12.165576814253</v>
      </c>
      <c r="AK149" s="69">
        <f t="shared" si="101"/>
        <v>1012.04597656022</v>
      </c>
      <c r="AL149" s="69"/>
      <c r="AM149" s="69">
        <f t="shared" si="74"/>
        <v>0.0168838448030323</v>
      </c>
      <c r="AN149" s="69">
        <f t="shared" si="88"/>
        <v>9.8474863564434e-5</v>
      </c>
      <c r="AO149" s="65">
        <f t="shared" si="102"/>
        <v>0.00726984474204674</v>
      </c>
      <c r="AP149" s="68">
        <v>10.17</v>
      </c>
      <c r="AQ149" s="68">
        <f>AP149/(1000*AO149)</f>
        <v>1.39892946285078</v>
      </c>
      <c r="AR149" s="68">
        <f t="shared" si="89"/>
        <v>8.99279794591181</v>
      </c>
      <c r="AS149" s="68">
        <f t="shared" si="90"/>
        <v>12.7222282985818</v>
      </c>
      <c r="AT149" s="71">
        <f t="shared" si="91"/>
        <v>0.0244217661639796</v>
      </c>
      <c r="AU149" s="71"/>
      <c r="AV149" s="65"/>
      <c r="AW149" s="65">
        <f t="shared" si="103"/>
        <v>0.00799085903325956</v>
      </c>
      <c r="AX149" s="65">
        <f t="shared" si="75"/>
        <v>0.909770115051233</v>
      </c>
      <c r="AY149" s="65">
        <f t="shared" si="104"/>
        <v>2.33463620576771</v>
      </c>
      <c r="AZ149" s="69">
        <f t="shared" si="76"/>
        <v>0.00311390902106573</v>
      </c>
      <c r="BA149" s="69">
        <f t="shared" si="77"/>
        <v>6.60610666262525e-7</v>
      </c>
      <c r="BB149" s="72">
        <f t="shared" si="92"/>
        <v>8.40575798299154</v>
      </c>
      <c r="BC149" s="72">
        <f t="shared" si="93"/>
        <v>1.55447353015487</v>
      </c>
      <c r="BD149" s="72">
        <f t="shared" si="94"/>
        <v>0.748898418729586</v>
      </c>
      <c r="BE149" s="72">
        <f t="shared" si="95"/>
        <v>18.8405019648574</v>
      </c>
      <c r="BF149" s="1"/>
      <c r="BG149" s="81"/>
      <c r="BH149" s="81"/>
    </row>
    <row r="150" ht="25" customHeight="1" spans="1:60">
      <c r="A150" s="80">
        <v>28</v>
      </c>
      <c r="B150" s="80" t="s">
        <v>201</v>
      </c>
      <c r="C150" s="55">
        <v>0.445252299123823</v>
      </c>
      <c r="D150" s="55">
        <v>-28.9981318410377</v>
      </c>
      <c r="E150" s="55">
        <v>10.1710669934562</v>
      </c>
      <c r="F150" s="55">
        <v>1.16632159265942</v>
      </c>
      <c r="G150" s="56">
        <v>1</v>
      </c>
      <c r="H150" s="57">
        <f t="shared" si="105"/>
        <v>8.36637353682585e-5</v>
      </c>
      <c r="I150" s="57">
        <f t="shared" si="106"/>
        <v>0.000333333333333333</v>
      </c>
      <c r="J150" s="58">
        <f t="shared" si="96"/>
        <v>0.0379396178154227</v>
      </c>
      <c r="K150" s="58">
        <v>0</v>
      </c>
      <c r="L150" s="58">
        <f t="shared" si="97"/>
        <v>2.83133425294573</v>
      </c>
      <c r="M150" s="57">
        <f t="shared" si="98"/>
        <v>0.000779891516809527</v>
      </c>
      <c r="N150" s="57">
        <f t="shared" si="99"/>
        <v>0.0017673644358969</v>
      </c>
      <c r="O150" s="57">
        <f t="shared" si="100"/>
        <v>0.226012743536468</v>
      </c>
      <c r="P150" s="59">
        <v>0.0302</v>
      </c>
      <c r="Q150" s="60">
        <f t="shared" si="82"/>
        <v>0.0302</v>
      </c>
      <c r="R150" s="61">
        <v>1000</v>
      </c>
      <c r="S150" s="59">
        <v>1.1616</v>
      </c>
      <c r="T150" s="59">
        <v>9.801</v>
      </c>
      <c r="U150" s="62">
        <v>4e-6</v>
      </c>
      <c r="V150" s="63"/>
      <c r="W150" s="63">
        <f t="shared" si="83"/>
        <v>4e-6</v>
      </c>
      <c r="X150" s="64">
        <v>0.001147</v>
      </c>
      <c r="Y150" s="64">
        <v>1.85e-5</v>
      </c>
      <c r="Z150" s="65">
        <f t="shared" si="107"/>
        <v>-3.16315866865108</v>
      </c>
      <c r="AA150" s="66">
        <f t="shared" si="73"/>
        <v>0.00116632159265942</v>
      </c>
      <c r="AB150" s="65">
        <f t="shared" si="84"/>
        <v>8.06572935142968</v>
      </c>
      <c r="AC150" s="65">
        <f t="shared" si="85"/>
        <v>15.3127682605018</v>
      </c>
      <c r="AD150" s="65">
        <f t="shared" si="86"/>
        <v>1.7658754529262</v>
      </c>
      <c r="AI150" s="63">
        <f t="shared" si="87"/>
        <v>96.2707673781239</v>
      </c>
      <c r="AJ150" s="68">
        <f>((E150/9.801)-1)*AD150*(AI150^2)/64</f>
        <v>9.65559242575446</v>
      </c>
      <c r="AK150" s="69">
        <f t="shared" si="101"/>
        <v>1008.82922355334</v>
      </c>
      <c r="AL150" s="69"/>
      <c r="AM150" s="69">
        <f t="shared" si="74"/>
        <v>0.0169107412945373</v>
      </c>
      <c r="AN150" s="69">
        <f t="shared" si="88"/>
        <v>9.8573255281638e-5</v>
      </c>
      <c r="AO150" s="65">
        <f t="shared" si="102"/>
        <v>0.00724809709553846</v>
      </c>
      <c r="AP150" s="68">
        <v>10.284</v>
      </c>
      <c r="AQ150" s="68">
        <f>AP150/(1000*AO150)</f>
        <v>1.41885516494119</v>
      </c>
      <c r="AR150" s="68">
        <f t="shared" si="89"/>
        <v>8.96589610718107</v>
      </c>
      <c r="AS150" s="68">
        <f t="shared" si="90"/>
        <v>12.6841699171923</v>
      </c>
      <c r="AT150" s="71">
        <f t="shared" si="91"/>
        <v>0.0244461673098462</v>
      </c>
      <c r="AU150" s="71"/>
      <c r="AV150" s="65"/>
      <c r="AW150" s="65">
        <f t="shared" si="103"/>
        <v>0.00793370478751437</v>
      </c>
      <c r="AX150" s="65">
        <f t="shared" si="75"/>
        <v>0.913582908573194</v>
      </c>
      <c r="AY150" s="65">
        <f t="shared" si="104"/>
        <v>2.31331280086586</v>
      </c>
      <c r="AZ150" s="69">
        <f t="shared" si="76"/>
        <v>0.00313321099197028</v>
      </c>
      <c r="BA150" s="69">
        <f t="shared" si="77"/>
        <v>6.58758000977752e-7</v>
      </c>
      <c r="BB150" s="72">
        <f t="shared" si="92"/>
        <v>8.38061226671634</v>
      </c>
      <c r="BC150" s="72">
        <f t="shared" si="93"/>
        <v>1.54798601101434</v>
      </c>
      <c r="BD150" s="72">
        <f t="shared" si="94"/>
        <v>0.74893375900745</v>
      </c>
      <c r="BE150" s="72">
        <f t="shared" si="95"/>
        <v>18.8445191663542</v>
      </c>
      <c r="BF150" s="1"/>
      <c r="BG150" s="81"/>
      <c r="BH150" s="81"/>
    </row>
    <row r="151" ht="25" customHeight="1" spans="1:60">
      <c r="A151" s="80">
        <v>29</v>
      </c>
      <c r="B151" s="80" t="s">
        <v>201</v>
      </c>
      <c r="C151" s="55">
        <v>0.44361056425456</v>
      </c>
      <c r="D151" s="55">
        <v>-30.1941618588336</v>
      </c>
      <c r="E151" s="55">
        <v>9.97420515007628</v>
      </c>
      <c r="F151" s="55">
        <v>1.19984002384025</v>
      </c>
      <c r="G151" s="56">
        <v>1</v>
      </c>
      <c r="H151" s="57">
        <f t="shared" si="105"/>
        <v>8.36637353682585e-5</v>
      </c>
      <c r="I151" s="57">
        <f t="shared" si="106"/>
        <v>0.000333333333333333</v>
      </c>
      <c r="J151" s="58">
        <f t="shared" si="96"/>
        <v>0.0365939546910664</v>
      </c>
      <c r="K151" s="58">
        <v>0</v>
      </c>
      <c r="L151" s="58">
        <f t="shared" si="97"/>
        <v>2.80076229034073</v>
      </c>
      <c r="M151" s="57">
        <f t="shared" si="98"/>
        <v>0.000791018627693626</v>
      </c>
      <c r="N151" s="57">
        <f t="shared" si="99"/>
        <v>0.00182727158336402</v>
      </c>
      <c r="O151" s="57">
        <f t="shared" si="100"/>
        <v>0.214598488028775</v>
      </c>
      <c r="P151" s="59">
        <v>0.0302</v>
      </c>
      <c r="Q151" s="60">
        <f t="shared" si="82"/>
        <v>0.0302</v>
      </c>
      <c r="R151" s="61">
        <v>1000</v>
      </c>
      <c r="S151" s="59">
        <v>1.1616</v>
      </c>
      <c r="T151" s="59">
        <v>9.801</v>
      </c>
      <c r="U151" s="62">
        <v>4e-6</v>
      </c>
      <c r="V151" s="63"/>
      <c r="W151" s="63">
        <f t="shared" si="83"/>
        <v>4e-6</v>
      </c>
      <c r="X151" s="64">
        <v>0.001147</v>
      </c>
      <c r="Y151" s="64">
        <v>1.85e-5</v>
      </c>
      <c r="Z151" s="65">
        <f t="shared" si="107"/>
        <v>-3.59424752387462</v>
      </c>
      <c r="AA151" s="66">
        <f t="shared" si="73"/>
        <v>0.00119984002384025</v>
      </c>
      <c r="AB151" s="65">
        <f t="shared" si="84"/>
        <v>7.99135233018599</v>
      </c>
      <c r="AC151" s="65">
        <f t="shared" si="85"/>
        <v>15.6368819536553</v>
      </c>
      <c r="AD151" s="65">
        <f t="shared" si="86"/>
        <v>1.86883142087559</v>
      </c>
      <c r="AI151" s="63">
        <f t="shared" si="87"/>
        <v>95.9157976766616</v>
      </c>
      <c r="AJ151" s="68">
        <f>((E151/9.801)-1)*AD151*(AI151^2)/64</f>
        <v>4.74745493794082</v>
      </c>
      <c r="AK151" s="69">
        <f t="shared" si="101"/>
        <v>1016.31008615828</v>
      </c>
      <c r="AL151" s="69"/>
      <c r="AM151" s="69">
        <f t="shared" si="74"/>
        <v>0.0168483879867543</v>
      </c>
      <c r="AN151" s="69">
        <f t="shared" si="88"/>
        <v>9.71866437615991e-5</v>
      </c>
      <c r="AO151" s="65">
        <f t="shared" si="102"/>
        <v>0.00756278137261753</v>
      </c>
      <c r="AP151" s="68">
        <v>10.279</v>
      </c>
      <c r="AQ151" s="68">
        <f>AP151/(1000*AO151)</f>
        <v>1.3591560424075</v>
      </c>
      <c r="AR151" s="68">
        <f t="shared" si="89"/>
        <v>9.35516055792789</v>
      </c>
      <c r="AS151" s="68">
        <f t="shared" si="90"/>
        <v>13.2348674020807</v>
      </c>
      <c r="AT151" s="71">
        <f t="shared" si="91"/>
        <v>0.0241022876528766</v>
      </c>
      <c r="AU151" s="71"/>
      <c r="AV151" s="65"/>
      <c r="AW151" s="65">
        <f t="shared" si="103"/>
        <v>0.00845852574542404</v>
      </c>
      <c r="AX151" s="65">
        <f t="shared" si="75"/>
        <v>0.89410159645242</v>
      </c>
      <c r="AY151" s="65">
        <f t="shared" si="104"/>
        <v>2.53721943301074</v>
      </c>
      <c r="AZ151" s="69">
        <f t="shared" si="76"/>
        <v>0.00298073602709377</v>
      </c>
      <c r="BA151" s="69">
        <f t="shared" si="77"/>
        <v>7.1192199092908e-7</v>
      </c>
      <c r="BB151" s="72">
        <f t="shared" si="92"/>
        <v>8.74446596208902</v>
      </c>
      <c r="BC151" s="72">
        <f t="shared" si="93"/>
        <v>1.58171461496585</v>
      </c>
      <c r="BD151" s="72">
        <f t="shared" si="94"/>
        <v>0.72024187377178</v>
      </c>
      <c r="BE151" s="72">
        <f t="shared" si="95"/>
        <v>19.3745447954065</v>
      </c>
      <c r="BF151" s="1"/>
      <c r="BG151" s="81"/>
      <c r="BH151" s="81"/>
    </row>
    <row r="152" ht="25" customHeight="1" spans="1:60">
      <c r="A152" s="80">
        <v>30</v>
      </c>
      <c r="B152" s="80" t="s">
        <v>201</v>
      </c>
      <c r="C152" s="55">
        <v>0.443348194180834</v>
      </c>
      <c r="D152" s="55">
        <v>-29.1367464292118</v>
      </c>
      <c r="E152" s="55">
        <v>10.2853428196793</v>
      </c>
      <c r="F152" s="55">
        <v>1.15587692288015</v>
      </c>
      <c r="G152" s="56">
        <v>1</v>
      </c>
      <c r="H152" s="57">
        <f t="shared" si="105"/>
        <v>8.36637353682585e-5</v>
      </c>
      <c r="I152" s="57">
        <f t="shared" si="106"/>
        <v>0.000333333333333333</v>
      </c>
      <c r="J152" s="58">
        <f t="shared" si="96"/>
        <v>0.0381688673006808</v>
      </c>
      <c r="K152" s="58">
        <v>0</v>
      </c>
      <c r="L152" s="58">
        <f t="shared" si="97"/>
        <v>2.8103065472189</v>
      </c>
      <c r="M152" s="57">
        <f t="shared" si="98"/>
        <v>0.00077639161241551</v>
      </c>
      <c r="N152" s="57">
        <f t="shared" si="99"/>
        <v>0.00176797489234688</v>
      </c>
      <c r="O152" s="57">
        <f t="shared" si="100"/>
        <v>0.227269741584647</v>
      </c>
      <c r="P152" s="59">
        <v>0.0302</v>
      </c>
      <c r="Q152" s="60">
        <f t="shared" si="82"/>
        <v>0.0302</v>
      </c>
      <c r="R152" s="61">
        <v>1000</v>
      </c>
      <c r="S152" s="59">
        <v>1.1616</v>
      </c>
      <c r="T152" s="59">
        <v>9.801</v>
      </c>
      <c r="U152" s="62">
        <v>4e-6</v>
      </c>
      <c r="V152" s="63"/>
      <c r="W152" s="63">
        <f t="shared" si="83"/>
        <v>4e-6</v>
      </c>
      <c r="X152" s="64">
        <v>0.001147</v>
      </c>
      <c r="Y152" s="64">
        <v>1.85e-5</v>
      </c>
      <c r="Z152" s="65">
        <f t="shared" si="107"/>
        <v>-3.12724001189498</v>
      </c>
      <c r="AA152" s="66">
        <f t="shared" si="73"/>
        <v>0.00115587692288015</v>
      </c>
      <c r="AB152" s="65">
        <f t="shared" si="84"/>
        <v>7.97949140078524</v>
      </c>
      <c r="AC152" s="65">
        <f t="shared" si="85"/>
        <v>15.0461204276626</v>
      </c>
      <c r="AD152" s="65">
        <f t="shared" si="86"/>
        <v>1.73438945268349</v>
      </c>
      <c r="AI152" s="63">
        <f t="shared" si="87"/>
        <v>95.8590690120722</v>
      </c>
      <c r="AJ152" s="68">
        <f>((E152/9.801)-1)*AD152*(AI152^2)/64</f>
        <v>12.3059611576406</v>
      </c>
      <c r="AK152" s="69">
        <f t="shared" si="101"/>
        <v>1017.51333117544</v>
      </c>
      <c r="AL152" s="69"/>
      <c r="AM152" s="69">
        <f t="shared" si="74"/>
        <v>0.0168384231366032</v>
      </c>
      <c r="AN152" s="69">
        <f t="shared" si="88"/>
        <v>9.9017614756645e-5</v>
      </c>
      <c r="AO152" s="65">
        <f t="shared" si="102"/>
        <v>0.00715095291055079</v>
      </c>
      <c r="AP152" s="68">
        <v>10.123</v>
      </c>
      <c r="AQ152" s="68">
        <f>AP152/(1000*AO152)</f>
        <v>1.41561553077271</v>
      </c>
      <c r="AR152" s="68">
        <f t="shared" si="89"/>
        <v>8.84572875035132</v>
      </c>
      <c r="AS152" s="68">
        <f t="shared" si="90"/>
        <v>12.5141675934639</v>
      </c>
      <c r="AT152" s="71">
        <f t="shared" si="91"/>
        <v>0.024556368459648</v>
      </c>
      <c r="AU152" s="71"/>
      <c r="AV152" s="65"/>
      <c r="AW152" s="65">
        <f t="shared" si="103"/>
        <v>0.00785932131004387</v>
      </c>
      <c r="AX152" s="65">
        <f t="shared" si="75"/>
        <v>0.909869011388067</v>
      </c>
      <c r="AY152" s="65">
        <f t="shared" si="104"/>
        <v>2.27110203294498</v>
      </c>
      <c r="AZ152" s="69">
        <f t="shared" si="76"/>
        <v>0.00314867091254285</v>
      </c>
      <c r="BA152" s="69">
        <f t="shared" si="77"/>
        <v>6.35745479389712e-7</v>
      </c>
      <c r="BB152" s="72">
        <f t="shared" si="92"/>
        <v>8.26828930282435</v>
      </c>
      <c r="BC152" s="72">
        <f t="shared" si="93"/>
        <v>1.55430456985849</v>
      </c>
      <c r="BD152" s="72">
        <f t="shared" si="94"/>
        <v>0.766391652258254</v>
      </c>
      <c r="BE152" s="72">
        <f t="shared" si="95"/>
        <v>18.5148993330296</v>
      </c>
      <c r="BF152" s="1"/>
      <c r="BG152" s="81"/>
      <c r="BH152" s="81"/>
    </row>
    <row r="153" ht="25" customHeight="1" spans="1:60">
      <c r="A153" s="80">
        <v>31</v>
      </c>
      <c r="B153" s="80" t="s">
        <v>201</v>
      </c>
      <c r="C153" s="55">
        <v>0.391491215646472</v>
      </c>
      <c r="D153" s="55">
        <v>-27.5015872864381</v>
      </c>
      <c r="E153" s="55"/>
      <c r="F153" s="55">
        <v>1.10331689080258</v>
      </c>
      <c r="G153" s="56">
        <v>1</v>
      </c>
      <c r="H153" s="57">
        <f t="shared" si="105"/>
        <v>8.36637353682585e-5</v>
      </c>
      <c r="I153" s="57">
        <f t="shared" si="106"/>
        <v>0.000333333333333333</v>
      </c>
      <c r="J153" s="58">
        <f t="shared" si="96"/>
        <v>0.0355557025534034</v>
      </c>
      <c r="K153" s="58">
        <v>0</v>
      </c>
      <c r="L153" s="58">
        <f t="shared" si="97"/>
        <v>2.20429560805131</v>
      </c>
      <c r="M153" s="57">
        <f t="shared" si="98"/>
        <v>0.000758534209150231</v>
      </c>
      <c r="N153" s="57">
        <f t="shared" si="99"/>
        <v>0.00217310191627142</v>
      </c>
      <c r="O153" s="57">
        <f t="shared" si="100"/>
        <v>0.190655367058676</v>
      </c>
      <c r="P153" s="59">
        <v>0.0302</v>
      </c>
      <c r="Q153" s="60">
        <f t="shared" si="82"/>
        <v>0.0302</v>
      </c>
      <c r="R153" s="61">
        <v>1000</v>
      </c>
      <c r="S153" s="59">
        <v>1.1616</v>
      </c>
      <c r="T153" s="59">
        <v>9.801</v>
      </c>
      <c r="U153" s="62">
        <v>4e-6</v>
      </c>
      <c r="V153" s="63"/>
      <c r="W153" s="63">
        <f t="shared" si="83"/>
        <v>4e-6</v>
      </c>
      <c r="X153" s="64">
        <v>0.001147</v>
      </c>
      <c r="Y153" s="64">
        <v>1.85e-5</v>
      </c>
      <c r="Z153" s="65">
        <f t="shared" si="107"/>
        <v>-2.59455136119768</v>
      </c>
      <c r="AA153" s="66">
        <f t="shared" si="73"/>
        <v>0.00110331689080258</v>
      </c>
      <c r="AB153" s="65">
        <f t="shared" si="84"/>
        <v>5.7729547364094</v>
      </c>
      <c r="AC153" s="65">
        <f t="shared" si="85"/>
        <v>11.198693617463</v>
      </c>
      <c r="AD153" s="65">
        <f t="shared" si="86"/>
        <v>1.58024334982228</v>
      </c>
      <c r="AI153" s="63">
        <f t="shared" si="87"/>
        <v>84.6467493289669</v>
      </c>
      <c r="AJ153" s="68"/>
      <c r="AK153" s="69">
        <f t="shared" si="101"/>
        <v>1304.92620403189</v>
      </c>
      <c r="AL153" s="69"/>
      <c r="AM153" s="69">
        <f t="shared" si="74"/>
        <v>0.0148688882233942</v>
      </c>
      <c r="AN153" s="69">
        <f t="shared" si="88"/>
        <v>0.000101348686257107</v>
      </c>
      <c r="AO153" s="65">
        <f t="shared" si="102"/>
        <v>0.00666878826708904</v>
      </c>
      <c r="AP153" s="68"/>
      <c r="AQ153" s="68"/>
      <c r="AR153" s="68">
        <f t="shared" si="89"/>
        <v>8.24929108638914</v>
      </c>
      <c r="AS153" s="68">
        <f t="shared" si="90"/>
        <v>11.6703794674058</v>
      </c>
      <c r="AT153" s="71">
        <f t="shared" si="91"/>
        <v>0.0251344741917625</v>
      </c>
      <c r="AU153" s="71"/>
      <c r="AV153" s="65"/>
      <c r="AW153" s="65">
        <f t="shared" si="103"/>
        <v>0.00918350012178454</v>
      </c>
      <c r="AX153" s="65">
        <f t="shared" si="75"/>
        <v>0.726170651565599</v>
      </c>
      <c r="AY153" s="65">
        <f t="shared" si="104"/>
        <v>2.53307770026311</v>
      </c>
      <c r="AZ153" s="69">
        <f t="shared" si="76"/>
        <v>0.00263268207935207</v>
      </c>
      <c r="BA153" s="69">
        <f t="shared" si="77"/>
        <v>4.3112524855787e-7</v>
      </c>
      <c r="BB153" s="72">
        <f t="shared" si="92"/>
        <v>7.7107864338217</v>
      </c>
      <c r="BC153" s="72">
        <f t="shared" si="93"/>
        <v>1.94749479247626</v>
      </c>
      <c r="BD153" s="72">
        <f t="shared" si="94"/>
        <v>1.05722271764746</v>
      </c>
      <c r="BE153" s="72">
        <f t="shared" si="95"/>
        <v>14.3591803171075</v>
      </c>
      <c r="BF153" s="1"/>
      <c r="BG153" s="81"/>
      <c r="BH153" s="81"/>
    </row>
    <row r="154" ht="25" customHeight="1" spans="1:60">
      <c r="A154" s="80">
        <v>41</v>
      </c>
      <c r="B154" s="80" t="s">
        <v>201</v>
      </c>
      <c r="C154" s="55">
        <v>0.366613985528432</v>
      </c>
      <c r="D154" s="55">
        <v>-21.8725491945285</v>
      </c>
      <c r="E154" s="55"/>
      <c r="F154" s="55">
        <v>1.12510297988399</v>
      </c>
      <c r="G154" s="56">
        <v>1</v>
      </c>
      <c r="H154" s="57">
        <f t="shared" si="105"/>
        <v>8.36637353682585e-5</v>
      </c>
      <c r="I154" s="57">
        <f t="shared" si="106"/>
        <v>0.000333333333333333</v>
      </c>
      <c r="J154" s="58">
        <f t="shared" si="96"/>
        <v>0.0325556912430507</v>
      </c>
      <c r="K154" s="58">
        <v>0</v>
      </c>
      <c r="L154" s="58">
        <f t="shared" si="97"/>
        <v>1.92821987476979</v>
      </c>
      <c r="M154" s="57">
        <f t="shared" si="98"/>
        <v>0.000765986606338896</v>
      </c>
      <c r="N154" s="57">
        <f t="shared" si="99"/>
        <v>0.00252258808894218</v>
      </c>
      <c r="O154" s="57">
        <f t="shared" si="100"/>
        <v>0.162134180320832</v>
      </c>
      <c r="P154" s="59">
        <v>0.0302</v>
      </c>
      <c r="Q154" s="60">
        <f t="shared" si="82"/>
        <v>0.0302</v>
      </c>
      <c r="R154" s="61">
        <v>1000</v>
      </c>
      <c r="S154" s="59">
        <v>1.1616</v>
      </c>
      <c r="T154" s="59">
        <v>9.801</v>
      </c>
      <c r="U154" s="62">
        <v>4e-6</v>
      </c>
      <c r="V154" s="63"/>
      <c r="W154" s="63">
        <f t="shared" si="83"/>
        <v>4e-6</v>
      </c>
      <c r="X154" s="64">
        <v>0.001147</v>
      </c>
      <c r="Y154" s="64">
        <v>1.85e-5</v>
      </c>
      <c r="Z154" s="65">
        <f t="shared" si="107"/>
        <v>-1.7817592691958</v>
      </c>
      <c r="AA154" s="66">
        <f t="shared" si="73"/>
        <v>0.00112510297988399</v>
      </c>
      <c r="AB154" s="65">
        <f t="shared" si="84"/>
        <v>4.81171327140883</v>
      </c>
      <c r="AC154" s="65">
        <f t="shared" si="85"/>
        <v>10.0145948528705</v>
      </c>
      <c r="AD154" s="65">
        <f t="shared" si="86"/>
        <v>1.64326644597151</v>
      </c>
      <c r="AI154" s="63">
        <f t="shared" si="87"/>
        <v>79.2678887629042</v>
      </c>
      <c r="AJ154" s="68"/>
      <c r="AK154" s="69">
        <f t="shared" si="101"/>
        <v>1488.03086321137</v>
      </c>
      <c r="AL154" s="69"/>
      <c r="AM154" s="69">
        <f t="shared" si="74"/>
        <v>0.0139240477285136</v>
      </c>
      <c r="AN154" s="69">
        <f t="shared" si="88"/>
        <v>0.000100362649871761</v>
      </c>
      <c r="AO154" s="65">
        <f t="shared" si="102"/>
        <v>0.00686728293566871</v>
      </c>
      <c r="AP154" s="82" t="s">
        <v>202</v>
      </c>
      <c r="AQ154" s="83">
        <f>AVERAGE(AQ149:AQ152,AQ21:AQ23,AQ3:AQ19)</f>
        <v>1.51910704853488</v>
      </c>
      <c r="AR154" s="68">
        <f t="shared" si="89"/>
        <v>8.4948289914222</v>
      </c>
      <c r="AS154" s="68">
        <f t="shared" si="90"/>
        <v>12.0177451374203</v>
      </c>
      <c r="AT154" s="71">
        <f t="shared" si="91"/>
        <v>0.0248899371681968</v>
      </c>
      <c r="AU154" s="71"/>
      <c r="AV154" s="65"/>
      <c r="AW154" s="65">
        <f t="shared" si="103"/>
        <v>0.0108897582579523</v>
      </c>
      <c r="AX154" s="65">
        <f t="shared" si="75"/>
        <v>0.630618492440257</v>
      </c>
      <c r="AY154" s="65">
        <f t="shared" si="104"/>
        <v>3.0630248665596</v>
      </c>
      <c r="AZ154" s="69">
        <f t="shared" si="76"/>
        <v>0.00224199385732773</v>
      </c>
      <c r="BA154" s="69">
        <f t="shared" si="77"/>
        <v>4.00916098248102e-7</v>
      </c>
      <c r="BB154" s="72">
        <f t="shared" si="92"/>
        <v>7.94029589436695</v>
      </c>
      <c r="BC154" s="72">
        <f t="shared" si="93"/>
        <v>2.24258181345209</v>
      </c>
      <c r="BD154" s="72">
        <f t="shared" si="94"/>
        <v>1.16963963896148</v>
      </c>
      <c r="BE154" s="72">
        <f t="shared" si="95"/>
        <v>13.3011277448135</v>
      </c>
      <c r="BF154" s="1"/>
      <c r="BG154" s="81"/>
      <c r="BH154" s="81"/>
    </row>
    <row r="155" ht="25" customHeight="1" spans="1:60">
      <c r="A155" s="80">
        <v>81</v>
      </c>
      <c r="B155" s="80" t="s">
        <v>201</v>
      </c>
      <c r="C155" s="55">
        <v>2.27593010001801</v>
      </c>
      <c r="D155" s="55">
        <v>-27.7152961787266</v>
      </c>
      <c r="E155" s="55"/>
      <c r="F155" s="55">
        <v>1.85144111694553</v>
      </c>
      <c r="G155" s="56">
        <v>1</v>
      </c>
      <c r="H155" s="57">
        <f t="shared" si="105"/>
        <v>8.36637353682585e-5</v>
      </c>
      <c r="I155" s="57">
        <f t="shared" si="106"/>
        <v>0.000333333333333333</v>
      </c>
      <c r="J155" s="58">
        <f t="shared" si="96"/>
        <v>0.11539495347514</v>
      </c>
      <c r="K155" s="58">
        <v>0</v>
      </c>
      <c r="L155" s="58">
        <f t="shared" si="97"/>
        <v>70.5086636807546</v>
      </c>
      <c r="M155" s="57">
        <f t="shared" si="98"/>
        <v>0.000982607309659309</v>
      </c>
      <c r="N155" s="57">
        <f t="shared" si="99"/>
        <v>0.000103935117094855</v>
      </c>
      <c r="O155" s="57">
        <f t="shared" si="100"/>
        <v>2.87607061055764</v>
      </c>
      <c r="P155" s="59">
        <v>0.0302</v>
      </c>
      <c r="Q155" s="60">
        <f t="shared" si="82"/>
        <v>0.0302</v>
      </c>
      <c r="R155" s="61">
        <v>1000</v>
      </c>
      <c r="S155" s="59">
        <v>1.1616</v>
      </c>
      <c r="T155" s="59">
        <v>9.801</v>
      </c>
      <c r="U155" s="62">
        <v>4e-6</v>
      </c>
      <c r="V155" s="63"/>
      <c r="W155" s="63">
        <f t="shared" si="83"/>
        <v>4e-6</v>
      </c>
      <c r="X155" s="64">
        <v>0.001147</v>
      </c>
      <c r="Y155" s="64">
        <v>1.85e-5</v>
      </c>
      <c r="Z155" s="65">
        <f t="shared" si="107"/>
        <v>-6.59137244011312</v>
      </c>
      <c r="AA155" s="66">
        <f t="shared" si="73"/>
        <v>0.00185144111694553</v>
      </c>
      <c r="AB155" s="65">
        <f t="shared" si="84"/>
        <v>261.970327225688</v>
      </c>
      <c r="AC155" s="65">
        <f t="shared" si="85"/>
        <v>635.112698555686</v>
      </c>
      <c r="AD155" s="65">
        <f t="shared" si="86"/>
        <v>4.44982822350614</v>
      </c>
      <c r="AI155" s="63">
        <f t="shared" si="87"/>
        <v>492.092994598489</v>
      </c>
      <c r="AJ155" s="68"/>
      <c r="AK155" s="69">
        <f t="shared" si="101"/>
        <v>38.6110984014449</v>
      </c>
      <c r="AL155" s="69"/>
      <c r="AM155" s="69">
        <f t="shared" si="74"/>
        <v>0.0864401266463794</v>
      </c>
      <c r="AN155" s="69">
        <f t="shared" si="88"/>
        <v>7.82372009883624e-5</v>
      </c>
      <c r="AO155" s="65">
        <f t="shared" si="102"/>
        <v>0.0144964407570123</v>
      </c>
      <c r="AP155" s="82" t="s">
        <v>203</v>
      </c>
      <c r="AQ155" s="83">
        <f>2*PI()/(3.5909*AQ154)</f>
        <v>1.15182945040163</v>
      </c>
      <c r="AR155" s="68">
        <f t="shared" si="89"/>
        <v>17.9320972164242</v>
      </c>
      <c r="AS155" s="68">
        <f t="shared" si="90"/>
        <v>25.3687713247716</v>
      </c>
      <c r="AT155" s="71">
        <f t="shared" si="91"/>
        <v>0.0194028258451139</v>
      </c>
      <c r="AU155" s="71"/>
      <c r="AV155" s="65"/>
      <c r="AW155" s="65">
        <f t="shared" si="103"/>
        <v>0.000765162566687</v>
      </c>
      <c r="AX155" s="65">
        <f t="shared" si="75"/>
        <v>18.9455697235412</v>
      </c>
      <c r="AY155" s="65">
        <f t="shared" si="104"/>
        <v>0.354163359277972</v>
      </c>
      <c r="AZ155" s="69">
        <f t="shared" si="76"/>
        <v>0.0409315090826053</v>
      </c>
      <c r="BA155" s="69">
        <f t="shared" si="77"/>
        <v>6.88503521368955e-5</v>
      </c>
      <c r="BB155" s="72">
        <f t="shared" si="92"/>
        <v>16.7615096252955</v>
      </c>
      <c r="BC155" s="72">
        <f t="shared" si="93"/>
        <v>0.074646135376749</v>
      </c>
      <c r="BD155" s="72">
        <f t="shared" si="94"/>
        <v>0.0096051355402916</v>
      </c>
      <c r="BE155" s="72">
        <f t="shared" si="95"/>
        <v>644.012355002698</v>
      </c>
      <c r="BF155" s="1"/>
      <c r="BG155" s="81"/>
      <c r="BH155" s="81"/>
    </row>
    <row r="156" ht="25" customHeight="1" spans="1:60">
      <c r="A156" s="80">
        <v>146</v>
      </c>
      <c r="B156" s="80" t="s">
        <v>201</v>
      </c>
      <c r="C156" s="55">
        <v>0.348278074416479</v>
      </c>
      <c r="D156" s="55">
        <v>7.25442589205387</v>
      </c>
      <c r="E156" s="55"/>
      <c r="F156" s="55">
        <v>2.20046826040579</v>
      </c>
      <c r="G156" s="56">
        <v>0.7</v>
      </c>
      <c r="H156" s="57">
        <f t="shared" ref="H156:H173" si="108">0.001/5.3843</f>
        <v>0.000185725163902457</v>
      </c>
      <c r="I156" s="57">
        <f t="shared" ref="I156:I173" si="109">1/8000</f>
        <v>0.000125</v>
      </c>
      <c r="J156" s="58">
        <f t="shared" si="96"/>
        <v>0.0294867949010387</v>
      </c>
      <c r="K156" s="58">
        <v>0</v>
      </c>
      <c r="L156" s="58">
        <f t="shared" si="97"/>
        <v>3.34432422771514</v>
      </c>
      <c r="M156" s="57">
        <f t="shared" si="98"/>
        <v>0.00237802322692827</v>
      </c>
      <c r="N156" s="57">
        <f t="shared" si="99"/>
        <v>0.0110358113500551</v>
      </c>
      <c r="O156" s="57">
        <f t="shared" si="100"/>
        <v>0.110098969028224</v>
      </c>
      <c r="P156" s="59">
        <v>0.0302</v>
      </c>
      <c r="Q156" s="60">
        <f t="shared" si="82"/>
        <v>0.0287</v>
      </c>
      <c r="R156" s="61">
        <v>1000</v>
      </c>
      <c r="S156" s="59">
        <v>0.81304</v>
      </c>
      <c r="T156" s="59">
        <v>9.801</v>
      </c>
      <c r="U156" s="62">
        <v>4e-6</v>
      </c>
      <c r="V156" s="63"/>
      <c r="W156" s="63">
        <f t="shared" si="83"/>
        <v>3.4e-6</v>
      </c>
      <c r="X156" s="64">
        <v>0.001147</v>
      </c>
      <c r="Y156" s="64">
        <v>1.85e-5</v>
      </c>
      <c r="Z156" s="65"/>
      <c r="AA156" s="66">
        <f t="shared" si="73"/>
        <v>0.00220046826040579</v>
      </c>
      <c r="AB156" s="65">
        <f t="shared" si="84"/>
        <v>4.14360943523193</v>
      </c>
      <c r="AC156" s="65">
        <f t="shared" si="85"/>
        <v>17.6762620221036</v>
      </c>
      <c r="AD156" s="65">
        <f t="shared" si="86"/>
        <v>6.28570007921685</v>
      </c>
      <c r="AI156" s="63">
        <f t="shared" si="87"/>
        <v>75.3033674414009</v>
      </c>
      <c r="AJ156" s="68"/>
      <c r="AK156" s="69">
        <f t="shared" si="101"/>
        <v>1154.18590508965</v>
      </c>
      <c r="AL156" s="69"/>
      <c r="AM156" s="69">
        <f t="shared" si="74"/>
        <v>0.0132276473958842</v>
      </c>
      <c r="AN156" s="69">
        <f t="shared" si="88"/>
        <v>7.17646717249752e-5</v>
      </c>
      <c r="AO156" s="65">
        <f t="shared" si="102"/>
        <v>0.0187831830769458</v>
      </c>
      <c r="AP156" s="82" t="s">
        <v>204</v>
      </c>
      <c r="AQ156" s="83">
        <f>3.5909*AQ155</f>
        <v>4.13610437344721</v>
      </c>
      <c r="AR156" s="68">
        <f t="shared" si="89"/>
        <v>23.2347974661819</v>
      </c>
      <c r="AS156" s="68">
        <f t="shared" si="90"/>
        <v>32.8705703846551</v>
      </c>
      <c r="AT156" s="71">
        <f t="shared" si="91"/>
        <v>0.0177976385877938</v>
      </c>
      <c r="AU156" s="71"/>
      <c r="AV156" s="65"/>
      <c r="AW156" s="65">
        <f t="shared" si="103"/>
        <v>0.0461561625142126</v>
      </c>
      <c r="AX156" s="65">
        <f t="shared" si="75"/>
        <v>0.406948542811851</v>
      </c>
      <c r="AY156" s="65">
        <f t="shared" si="104"/>
        <v>25.3912926586641</v>
      </c>
      <c r="AZ156" s="69">
        <f t="shared" si="76"/>
        <v>0.000739748989129805</v>
      </c>
      <c r="BA156" s="69">
        <f t="shared" si="77"/>
        <v>2.70680025628213e-6</v>
      </c>
      <c r="BB156" s="72">
        <f t="shared" si="92"/>
        <v>21.7180554327185</v>
      </c>
      <c r="BC156" s="72">
        <f t="shared" si="93"/>
        <v>3.4751655641803</v>
      </c>
      <c r="BD156" s="72">
        <f t="shared" si="94"/>
        <v>0.137393292684246</v>
      </c>
      <c r="BE156" s="72">
        <f t="shared" si="95"/>
        <v>30.2476621805373</v>
      </c>
      <c r="BF156" s="1"/>
      <c r="BG156" s="81"/>
      <c r="BH156" s="81"/>
    </row>
    <row r="157" ht="25" customHeight="1" spans="1:60">
      <c r="A157" s="80" t="s">
        <v>117</v>
      </c>
      <c r="B157" s="80" t="s">
        <v>201</v>
      </c>
      <c r="C157" s="55">
        <v>0.709748407126769</v>
      </c>
      <c r="D157" s="55">
        <v>-2.65194264820753</v>
      </c>
      <c r="E157" s="55"/>
      <c r="F157" s="55">
        <v>1.99363110667822</v>
      </c>
      <c r="G157" s="56">
        <v>0.6</v>
      </c>
      <c r="H157" s="57">
        <f t="shared" si="108"/>
        <v>0.000185725163902457</v>
      </c>
      <c r="I157" s="57">
        <f t="shared" si="109"/>
        <v>0.000125</v>
      </c>
      <c r="J157" s="58">
        <f t="shared" si="96"/>
        <v>0.066346087395006</v>
      </c>
      <c r="K157" s="58">
        <v>0</v>
      </c>
      <c r="L157" s="58">
        <f t="shared" si="97"/>
        <v>13.892372583232</v>
      </c>
      <c r="M157" s="57">
        <f t="shared" si="98"/>
        <v>0.00226350229168284</v>
      </c>
      <c r="N157" s="57">
        <f t="shared" si="99"/>
        <v>0.00240794840816116</v>
      </c>
      <c r="O157" s="57">
        <f t="shared" si="100"/>
        <v>0.530273366405616</v>
      </c>
      <c r="P157" s="59">
        <v>0.0302</v>
      </c>
      <c r="Q157" s="60">
        <f t="shared" si="82"/>
        <v>0.0282</v>
      </c>
      <c r="R157" s="61">
        <v>1000</v>
      </c>
      <c r="S157" s="59">
        <v>0.69687</v>
      </c>
      <c r="T157" s="59">
        <v>9.801</v>
      </c>
      <c r="U157" s="62">
        <v>4e-6</v>
      </c>
      <c r="V157" s="63"/>
      <c r="W157" s="63">
        <f t="shared" si="83"/>
        <v>3.2e-6</v>
      </c>
      <c r="X157" s="64">
        <v>0.001147</v>
      </c>
      <c r="Y157" s="64">
        <v>1.85e-5</v>
      </c>
      <c r="Z157" s="65"/>
      <c r="AA157" s="66">
        <f t="shared" si="73"/>
        <v>0.00199363110667822</v>
      </c>
      <c r="AB157" s="65">
        <f t="shared" si="84"/>
        <v>23.6362284107536</v>
      </c>
      <c r="AC157" s="65">
        <f t="shared" si="85"/>
        <v>66.5084317002728</v>
      </c>
      <c r="AD157" s="65">
        <f t="shared" si="86"/>
        <v>5.15956443208434</v>
      </c>
      <c r="AI157" s="63">
        <f t="shared" si="87"/>
        <v>153.459115054437</v>
      </c>
      <c r="AJ157" s="68"/>
      <c r="AK157" s="69">
        <f t="shared" si="101"/>
        <v>238.216803618779</v>
      </c>
      <c r="AL157" s="69"/>
      <c r="AM157" s="69">
        <f t="shared" si="74"/>
        <v>0.0269563385090862</v>
      </c>
      <c r="AN157" s="69">
        <f t="shared" si="88"/>
        <v>7.53955747524316e-5</v>
      </c>
      <c r="AO157" s="65">
        <f t="shared" si="102"/>
        <v>0.0161980871229934</v>
      </c>
      <c r="AP157" s="68"/>
      <c r="AQ157" s="68"/>
      <c r="AR157" s="68">
        <f t="shared" si="89"/>
        <v>20.0370337711428</v>
      </c>
      <c r="AS157" s="68">
        <f t="shared" si="90"/>
        <v>28.3466524652384</v>
      </c>
      <c r="AT157" s="71">
        <f t="shared" si="91"/>
        <v>0.018698102538603</v>
      </c>
      <c r="AU157" s="71"/>
      <c r="AV157" s="65"/>
      <c r="AW157" s="65">
        <f t="shared" si="103"/>
        <v>0.00912289119801116</v>
      </c>
      <c r="AX157" s="65">
        <f t="shared" si="75"/>
        <v>1.7755431662415</v>
      </c>
      <c r="AY157" s="65">
        <f t="shared" si="104"/>
        <v>4.54691991879899</v>
      </c>
      <c r="AZ157" s="69">
        <f t="shared" si="76"/>
        <v>0.00356243070303994</v>
      </c>
      <c r="BA157" s="69">
        <f t="shared" si="77"/>
        <v>8.3599151724356e-6</v>
      </c>
      <c r="BB157" s="72">
        <f t="shared" si="92"/>
        <v>18.7290382359611</v>
      </c>
      <c r="BC157" s="72">
        <f t="shared" si="93"/>
        <v>0.796496299983925</v>
      </c>
      <c r="BD157" s="72">
        <f t="shared" si="94"/>
        <v>0.0703801159667417</v>
      </c>
      <c r="BE157" s="72">
        <f t="shared" si="95"/>
        <v>76.8275605644415</v>
      </c>
      <c r="BF157" s="84" t="s">
        <v>118</v>
      </c>
      <c r="BG157" s="81"/>
      <c r="BH157" s="81"/>
    </row>
    <row r="158" ht="25" customHeight="1" spans="1:60">
      <c r="A158" s="80" t="s">
        <v>121</v>
      </c>
      <c r="B158" s="80" t="s">
        <v>201</v>
      </c>
      <c r="C158" s="55">
        <v>0.629568619813418</v>
      </c>
      <c r="D158" s="55">
        <v>3.31581536829238</v>
      </c>
      <c r="E158" s="55"/>
      <c r="F158" s="55">
        <v>2.1778826620679</v>
      </c>
      <c r="G158" s="56">
        <v>0.3</v>
      </c>
      <c r="H158" s="57">
        <f t="shared" si="108"/>
        <v>0.000185725163902457</v>
      </c>
      <c r="I158" s="57">
        <f t="shared" si="109"/>
        <v>0.000125</v>
      </c>
      <c r="J158" s="58">
        <f t="shared" si="96"/>
        <v>0.0538566147122288</v>
      </c>
      <c r="K158" s="58">
        <v>0</v>
      </c>
      <c r="L158" s="58">
        <f t="shared" si="97"/>
        <v>10.9283198084335</v>
      </c>
      <c r="M158" s="57">
        <f t="shared" si="98"/>
        <v>0.00236578773875878</v>
      </c>
      <c r="N158" s="57">
        <f t="shared" si="99"/>
        <v>0.00334269489611867</v>
      </c>
      <c r="O158" s="57">
        <f t="shared" si="100"/>
        <v>0.365378951828096</v>
      </c>
      <c r="P158" s="59">
        <v>0.0302</v>
      </c>
      <c r="Q158" s="60">
        <f t="shared" si="82"/>
        <v>0.0267</v>
      </c>
      <c r="R158" s="61">
        <v>1000</v>
      </c>
      <c r="S158" s="59">
        <v>0.3484</v>
      </c>
      <c r="T158" s="59">
        <v>9.801</v>
      </c>
      <c r="U158" s="62">
        <v>4e-6</v>
      </c>
      <c r="V158" s="63"/>
      <c r="W158" s="63">
        <f t="shared" si="83"/>
        <v>2.6e-6</v>
      </c>
      <c r="X158" s="64">
        <v>0.001147</v>
      </c>
      <c r="Y158" s="64">
        <v>1.85e-5</v>
      </c>
      <c r="Z158" s="65"/>
      <c r="AA158" s="66">
        <f t="shared" si="73"/>
        <v>0.0021778826620679</v>
      </c>
      <c r="AB158" s="65">
        <f t="shared" si="84"/>
        <v>18.1629279843921</v>
      </c>
      <c r="AC158" s="65">
        <f t="shared" si="85"/>
        <v>57.1667728221044</v>
      </c>
      <c r="AD158" s="65">
        <f t="shared" si="86"/>
        <v>6.15732946917909</v>
      </c>
      <c r="AI158" s="63">
        <f t="shared" si="87"/>
        <v>136.122944824523</v>
      </c>
      <c r="AJ158" s="68"/>
      <c r="AK158" s="69">
        <f t="shared" si="101"/>
        <v>151.378816139445</v>
      </c>
      <c r="AL158" s="69"/>
      <c r="AM158" s="69">
        <f t="shared" si="74"/>
        <v>0.0239110995670858</v>
      </c>
      <c r="AN158" s="69">
        <f t="shared" si="88"/>
        <v>7.21358275042926e-5</v>
      </c>
      <c r="AO158" s="65">
        <f t="shared" si="102"/>
        <v>0.0184947406160557</v>
      </c>
      <c r="AP158" s="68"/>
      <c r="AQ158" s="68"/>
      <c r="AR158" s="68">
        <f t="shared" si="89"/>
        <v>22.8779941420609</v>
      </c>
      <c r="AS158" s="68">
        <f t="shared" si="90"/>
        <v>32.3657960780975</v>
      </c>
      <c r="AT158" s="71">
        <f t="shared" si="91"/>
        <v>0.0178896852210646</v>
      </c>
      <c r="AU158" s="71"/>
      <c r="AV158" s="65"/>
      <c r="AW158" s="65">
        <f t="shared" si="103"/>
        <v>0.0138367646777807</v>
      </c>
      <c r="AX158" s="65">
        <f t="shared" si="75"/>
        <v>1.33663764953341</v>
      </c>
      <c r="AY158" s="65">
        <f t="shared" si="104"/>
        <v>7.533712472713</v>
      </c>
      <c r="AZ158" s="69">
        <f t="shared" si="76"/>
        <v>0.00245493051175544</v>
      </c>
      <c r="BA158" s="69">
        <f t="shared" si="77"/>
        <v>8.57527768185155e-6</v>
      </c>
      <c r="BB158" s="72">
        <f t="shared" si="92"/>
        <v>21.3845438373144</v>
      </c>
      <c r="BC158" s="72">
        <f t="shared" si="93"/>
        <v>1.05803810244815</v>
      </c>
      <c r="BD158" s="72">
        <f t="shared" si="94"/>
        <v>0.0469738088941673</v>
      </c>
      <c r="BE158" s="72">
        <f t="shared" si="95"/>
        <v>69.4814317604626</v>
      </c>
      <c r="BF158" s="1"/>
      <c r="BG158" s="81"/>
      <c r="BH158" s="81"/>
    </row>
    <row r="159" ht="25" customHeight="1" spans="1:60">
      <c r="A159" s="80" t="s">
        <v>123</v>
      </c>
      <c r="B159" s="80" t="s">
        <v>201</v>
      </c>
      <c r="C159" s="55">
        <v>0.600923371870041</v>
      </c>
      <c r="D159" s="55">
        <v>0.786517662712657</v>
      </c>
      <c r="E159" s="55"/>
      <c r="F159" s="55">
        <v>2.3084873053698</v>
      </c>
      <c r="G159" s="56">
        <v>0.2</v>
      </c>
      <c r="H159" s="57">
        <f t="shared" si="108"/>
        <v>0.000185725163902457</v>
      </c>
      <c r="I159" s="57">
        <f t="shared" si="109"/>
        <v>0.000125</v>
      </c>
      <c r="J159" s="58">
        <f t="shared" si="96"/>
        <v>0.0484892381894715</v>
      </c>
      <c r="K159" s="58">
        <v>0</v>
      </c>
      <c r="L159" s="58">
        <f t="shared" si="97"/>
        <v>9.95506285742516</v>
      </c>
      <c r="M159" s="57">
        <f t="shared" si="98"/>
        <v>0.0024356915148753</v>
      </c>
      <c r="N159" s="57">
        <f t="shared" si="99"/>
        <v>0.00388865343626587</v>
      </c>
      <c r="O159" s="57">
        <f t="shared" si="100"/>
        <v>0.305018378667212</v>
      </c>
      <c r="P159" s="59">
        <v>0.0302</v>
      </c>
      <c r="Q159" s="60">
        <f t="shared" si="82"/>
        <v>0.0262</v>
      </c>
      <c r="R159" s="61">
        <v>1000</v>
      </c>
      <c r="S159" s="59">
        <v>0.23226</v>
      </c>
      <c r="T159" s="59">
        <v>9.801</v>
      </c>
      <c r="U159" s="62">
        <v>4e-6</v>
      </c>
      <c r="V159" s="63"/>
      <c r="W159" s="63">
        <f t="shared" si="83"/>
        <v>2.4e-6</v>
      </c>
      <c r="X159" s="64">
        <v>0.001147</v>
      </c>
      <c r="Y159" s="64">
        <v>1.85e-5</v>
      </c>
      <c r="Z159" s="65"/>
      <c r="AA159" s="66">
        <f t="shared" si="73"/>
        <v>0.0023084873053698</v>
      </c>
      <c r="AB159" s="65">
        <f t="shared" si="84"/>
        <v>16.3664066697074</v>
      </c>
      <c r="AC159" s="65">
        <f t="shared" si="85"/>
        <v>55.2063118459332</v>
      </c>
      <c r="AD159" s="65">
        <f t="shared" si="86"/>
        <v>6.91796593064418</v>
      </c>
      <c r="AI159" s="63">
        <f t="shared" si="87"/>
        <v>129.92937770163</v>
      </c>
      <c r="AJ159" s="68"/>
      <c r="AK159" s="69">
        <f t="shared" si="101"/>
        <v>110.769909371703</v>
      </c>
      <c r="AL159" s="69"/>
      <c r="AM159" s="69">
        <f t="shared" si="74"/>
        <v>0.0228231492561237</v>
      </c>
      <c r="AN159" s="69">
        <f t="shared" si="88"/>
        <v>7.00655461468037e-5</v>
      </c>
      <c r="AO159" s="65">
        <f t="shared" si="102"/>
        <v>0.0201830950053333</v>
      </c>
      <c r="AP159" s="68"/>
      <c r="AQ159" s="68"/>
      <c r="AR159" s="68">
        <f t="shared" si="89"/>
        <v>24.9664885215972</v>
      </c>
      <c r="AS159" s="68">
        <f t="shared" si="90"/>
        <v>35.3204162593332</v>
      </c>
      <c r="AT159" s="71">
        <f t="shared" si="91"/>
        <v>0.0173762554444073</v>
      </c>
      <c r="AU159" s="71"/>
      <c r="AV159" s="65"/>
      <c r="AW159" s="65">
        <f t="shared" si="103"/>
        <v>0.0170635164755392</v>
      </c>
      <c r="AX159" s="65">
        <f t="shared" si="75"/>
        <v>1.18282154995812</v>
      </c>
      <c r="AY159" s="65">
        <f t="shared" si="104"/>
        <v>9.84772779218769</v>
      </c>
      <c r="AZ159" s="69">
        <f t="shared" si="76"/>
        <v>0.00204951796305181</v>
      </c>
      <c r="BA159" s="69">
        <f t="shared" si="77"/>
        <v>9.3042051264409e-6</v>
      </c>
      <c r="BB159" s="72">
        <f t="shared" si="92"/>
        <v>23.3367035999166</v>
      </c>
      <c r="BC159" s="72">
        <f t="shared" si="93"/>
        <v>1.19562715307577</v>
      </c>
      <c r="BD159" s="72">
        <f t="shared" si="94"/>
        <v>0.0210857798644522</v>
      </c>
      <c r="BE159" s="72">
        <f t="shared" si="95"/>
        <v>69.0422437072215</v>
      </c>
      <c r="BF159" s="1"/>
      <c r="BG159" s="81"/>
      <c r="BH159" s="81"/>
    </row>
    <row r="160" ht="25" customHeight="1" spans="1:60">
      <c r="A160" s="80" t="s">
        <v>125</v>
      </c>
      <c r="B160" s="80" t="s">
        <v>201</v>
      </c>
      <c r="C160" s="55">
        <v>0.531624131820325</v>
      </c>
      <c r="D160" s="55">
        <v>-5.67382070368908</v>
      </c>
      <c r="E160" s="55"/>
      <c r="F160" s="55">
        <v>1.59555774357983</v>
      </c>
      <c r="G160" s="56">
        <v>0.2</v>
      </c>
      <c r="H160" s="57">
        <f t="shared" si="108"/>
        <v>0.000185725163902457</v>
      </c>
      <c r="I160" s="57">
        <f t="shared" si="109"/>
        <v>0.000125</v>
      </c>
      <c r="J160" s="58">
        <f t="shared" si="96"/>
        <v>0.062146510772113</v>
      </c>
      <c r="K160" s="58">
        <v>0</v>
      </c>
      <c r="L160" s="58">
        <f t="shared" si="97"/>
        <v>7.79960328647241</v>
      </c>
      <c r="M160" s="57">
        <f t="shared" si="98"/>
        <v>0.00202495231628688</v>
      </c>
      <c r="N160" s="57">
        <f t="shared" si="99"/>
        <v>0.00343636700637264</v>
      </c>
      <c r="O160" s="57">
        <f t="shared" si="100"/>
        <v>0.415664929160775</v>
      </c>
      <c r="P160" s="59">
        <v>0.0302</v>
      </c>
      <c r="Q160" s="60">
        <f t="shared" si="82"/>
        <v>0.0262</v>
      </c>
      <c r="R160" s="61">
        <v>1000</v>
      </c>
      <c r="S160" s="59">
        <v>0.23226</v>
      </c>
      <c r="T160" s="59">
        <v>9.801</v>
      </c>
      <c r="U160" s="62">
        <v>4e-6</v>
      </c>
      <c r="V160" s="63"/>
      <c r="W160" s="63">
        <f t="shared" si="83"/>
        <v>2.4e-6</v>
      </c>
      <c r="X160" s="64">
        <v>0.001147</v>
      </c>
      <c r="Y160" s="64">
        <v>1.85e-5</v>
      </c>
      <c r="Z160" s="65"/>
      <c r="AA160" s="66">
        <f t="shared" si="73"/>
        <v>0.00159555774357983</v>
      </c>
      <c r="AB160" s="65">
        <f t="shared" si="84"/>
        <v>12.366168070016</v>
      </c>
      <c r="AC160" s="65">
        <f t="shared" si="85"/>
        <v>29.8637919741131</v>
      </c>
      <c r="AD160" s="65">
        <f t="shared" si="86"/>
        <v>3.30482516991645</v>
      </c>
      <c r="AI160" s="63">
        <f t="shared" si="87"/>
        <v>114.945758231422</v>
      </c>
      <c r="AJ160" s="68"/>
      <c r="AK160" s="69">
        <f t="shared" si="101"/>
        <v>141.530688166269</v>
      </c>
      <c r="AL160" s="69"/>
      <c r="AM160" s="69">
        <f t="shared" si="74"/>
        <v>0.0201911549403282</v>
      </c>
      <c r="AN160" s="69">
        <f t="shared" si="88"/>
        <v>8.42775678529587e-5</v>
      </c>
      <c r="AO160" s="65">
        <f t="shared" si="102"/>
        <v>0.0115975250050242</v>
      </c>
      <c r="AP160" s="68"/>
      <c r="AQ160" s="68"/>
      <c r="AR160" s="68">
        <f t="shared" si="89"/>
        <v>14.346138431215</v>
      </c>
      <c r="AS160" s="68">
        <f t="shared" si="90"/>
        <v>20.2956687587924</v>
      </c>
      <c r="AT160" s="71">
        <f t="shared" si="91"/>
        <v>0.0209008368275338</v>
      </c>
      <c r="AU160" s="71"/>
      <c r="AV160" s="65"/>
      <c r="AW160" s="65">
        <f t="shared" si="103"/>
        <v>0.0104151954632759</v>
      </c>
      <c r="AX160" s="65">
        <f t="shared" si="75"/>
        <v>1.11351966901794</v>
      </c>
      <c r="AY160" s="65">
        <f t="shared" si="104"/>
        <v>4.15451144308186</v>
      </c>
      <c r="AZ160" s="69">
        <f t="shared" si="76"/>
        <v>0.00279154965966854</v>
      </c>
      <c r="BA160" s="69">
        <f t="shared" si="77"/>
        <v>2.40439360773166e-6</v>
      </c>
      <c r="BB160" s="72">
        <f t="shared" si="92"/>
        <v>13.4096382870592</v>
      </c>
      <c r="BC160" s="72">
        <f t="shared" si="93"/>
        <v>1.27003913960527</v>
      </c>
      <c r="BD160" s="72">
        <f t="shared" si="94"/>
        <v>0.280953928002182</v>
      </c>
      <c r="BE160" s="72">
        <f t="shared" si="95"/>
        <v>36.473442313946</v>
      </c>
      <c r="BF160" s="1"/>
      <c r="BG160" s="81"/>
      <c r="BH160" s="81"/>
    </row>
    <row r="161" ht="25" customHeight="1" spans="1:60">
      <c r="A161" s="80" t="s">
        <v>126</v>
      </c>
      <c r="B161" s="80" t="s">
        <v>201</v>
      </c>
      <c r="C161" s="55">
        <v>0.617809372304514</v>
      </c>
      <c r="D161" s="55">
        <v>-9.34438357580638</v>
      </c>
      <c r="E161" s="55"/>
      <c r="F161" s="55">
        <v>1.58474797786308</v>
      </c>
      <c r="G161" s="56">
        <v>0.2</v>
      </c>
      <c r="H161" s="57">
        <f t="shared" si="108"/>
        <v>0.000185725163902457</v>
      </c>
      <c r="I161" s="57">
        <f t="shared" si="109"/>
        <v>0.000125</v>
      </c>
      <c r="J161" s="58">
        <f t="shared" si="96"/>
        <v>0.0727162487808193</v>
      </c>
      <c r="K161" s="58">
        <v>0</v>
      </c>
      <c r="L161" s="58">
        <f t="shared" si="97"/>
        <v>10.5337308021027</v>
      </c>
      <c r="M161" s="57">
        <f t="shared" si="98"/>
        <v>0.00201808122033364</v>
      </c>
      <c r="N161" s="57">
        <f t="shared" si="99"/>
        <v>0.00252728332331895</v>
      </c>
      <c r="O161" s="57">
        <f t="shared" si="100"/>
        <v>0.567121894350901</v>
      </c>
      <c r="P161" s="59">
        <v>0.0302</v>
      </c>
      <c r="Q161" s="60">
        <f t="shared" si="82"/>
        <v>0.0262</v>
      </c>
      <c r="R161" s="61">
        <v>1000</v>
      </c>
      <c r="S161" s="59">
        <v>0.23226</v>
      </c>
      <c r="T161" s="59">
        <v>9.801</v>
      </c>
      <c r="U161" s="62">
        <v>4e-6</v>
      </c>
      <c r="V161" s="63"/>
      <c r="W161" s="63">
        <f t="shared" si="83"/>
        <v>2.4e-6</v>
      </c>
      <c r="X161" s="64">
        <v>0.001147</v>
      </c>
      <c r="Y161" s="64">
        <v>1.85e-5</v>
      </c>
      <c r="Z161" s="65"/>
      <c r="AA161" s="66">
        <f t="shared" si="73"/>
        <v>0.00158474797786308</v>
      </c>
      <c r="AB161" s="65">
        <f t="shared" si="84"/>
        <v>17.4153119524617</v>
      </c>
      <c r="AC161" s="65">
        <f t="shared" si="85"/>
        <v>40.0582750048141</v>
      </c>
      <c r="AD161" s="65">
        <f t="shared" si="86"/>
        <v>3.26019705018494</v>
      </c>
      <c r="AI161" s="63">
        <f t="shared" si="87"/>
        <v>133.580404822598</v>
      </c>
      <c r="AJ161" s="68"/>
      <c r="AK161" s="69">
        <f t="shared" si="101"/>
        <v>104.797520309462</v>
      </c>
      <c r="AL161" s="69"/>
      <c r="AM161" s="69">
        <f t="shared" si="74"/>
        <v>0.0234644817891814</v>
      </c>
      <c r="AN161" s="69">
        <f t="shared" si="88"/>
        <v>8.45645133185767e-5</v>
      </c>
      <c r="AO161" s="65">
        <f t="shared" si="102"/>
        <v>0.0114798665077209</v>
      </c>
      <c r="AP161" s="68"/>
      <c r="AQ161" s="68"/>
      <c r="AR161" s="68">
        <f t="shared" si="89"/>
        <v>14.2005948700508</v>
      </c>
      <c r="AS161" s="68">
        <f t="shared" si="90"/>
        <v>20.0897663885116</v>
      </c>
      <c r="AT161" s="71">
        <f t="shared" si="91"/>
        <v>0.020971999303007</v>
      </c>
      <c r="AU161" s="71"/>
      <c r="AV161" s="65"/>
      <c r="AW161" s="65">
        <f t="shared" si="103"/>
        <v>0.00760787158788107</v>
      </c>
      <c r="AX161" s="65">
        <f t="shared" si="75"/>
        <v>1.50894588257874</v>
      </c>
      <c r="AY161" s="65">
        <f t="shared" si="104"/>
        <v>3.01413977868413</v>
      </c>
      <c r="AZ161" s="69">
        <f t="shared" si="76"/>
        <v>0.00380867091463577</v>
      </c>
      <c r="BA161" s="69">
        <f t="shared" si="77"/>
        <v>3.18161933482575e-6</v>
      </c>
      <c r="BB161" s="72">
        <f t="shared" si="92"/>
        <v>13.2735956495523</v>
      </c>
      <c r="BC161" s="72">
        <f t="shared" si="93"/>
        <v>0.937219537625994</v>
      </c>
      <c r="BD161" s="72">
        <f t="shared" si="94"/>
        <v>0.211681753610485</v>
      </c>
      <c r="BE161" s="72">
        <f t="shared" si="95"/>
        <v>46.578669105184</v>
      </c>
      <c r="BF161" s="1"/>
      <c r="BG161" s="81"/>
      <c r="BH161" s="81"/>
    </row>
    <row r="162" ht="25" customHeight="1" spans="1:60">
      <c r="A162" s="80" t="s">
        <v>129</v>
      </c>
      <c r="B162" s="80" t="s">
        <v>201</v>
      </c>
      <c r="C162" s="55">
        <v>0.631226199311253</v>
      </c>
      <c r="D162" s="55">
        <v>-3.26937842686027</v>
      </c>
      <c r="E162" s="55"/>
      <c r="F162" s="55">
        <v>2.38107177674697</v>
      </c>
      <c r="G162" s="56">
        <v>0.1</v>
      </c>
      <c r="H162" s="57">
        <f t="shared" si="108"/>
        <v>0.000185725163902457</v>
      </c>
      <c r="I162" s="57">
        <f t="shared" si="109"/>
        <v>0.000125</v>
      </c>
      <c r="J162" s="58">
        <f t="shared" si="96"/>
        <v>0.0493772939960979</v>
      </c>
      <c r="K162" s="58">
        <v>0</v>
      </c>
      <c r="L162" s="58">
        <f t="shared" si="97"/>
        <v>10.9835975682634</v>
      </c>
      <c r="M162" s="57">
        <f t="shared" si="98"/>
        <v>0.00247368719814969</v>
      </c>
      <c r="N162" s="57">
        <f t="shared" si="99"/>
        <v>0.00363490310698387</v>
      </c>
      <c r="O162" s="57">
        <f t="shared" si="100"/>
        <v>0.32127363080658</v>
      </c>
      <c r="P162" s="59">
        <v>0.0302</v>
      </c>
      <c r="Q162" s="60">
        <f t="shared" si="82"/>
        <v>0.0257</v>
      </c>
      <c r="R162" s="61">
        <v>1000</v>
      </c>
      <c r="S162" s="59">
        <v>0.11613</v>
      </c>
      <c r="T162" s="59">
        <v>9.801</v>
      </c>
      <c r="U162" s="62">
        <v>4e-6</v>
      </c>
      <c r="V162" s="63"/>
      <c r="W162" s="63">
        <f t="shared" si="83"/>
        <v>2.2e-6</v>
      </c>
      <c r="X162" s="64">
        <v>0.001147</v>
      </c>
      <c r="Y162" s="64">
        <v>1.85e-5</v>
      </c>
      <c r="Z162" s="65"/>
      <c r="AA162" s="66">
        <f t="shared" si="73"/>
        <v>0.00238107177674697</v>
      </c>
      <c r="AB162" s="65">
        <f t="shared" si="84"/>
        <v>18.2694451935234</v>
      </c>
      <c r="AC162" s="65">
        <f t="shared" si="85"/>
        <v>62.8297848137785</v>
      </c>
      <c r="AD162" s="65">
        <f t="shared" si="86"/>
        <v>7.3598406624916</v>
      </c>
      <c r="AI162" s="63">
        <f t="shared" si="87"/>
        <v>136.481340391622</v>
      </c>
      <c r="AJ162" s="68"/>
      <c r="AK162" s="69">
        <f t="shared" si="101"/>
        <v>50.1949427646835</v>
      </c>
      <c r="AL162" s="69"/>
      <c r="AM162" s="69">
        <f t="shared" si="74"/>
        <v>0.0239740546559605</v>
      </c>
      <c r="AN162" s="69">
        <f t="shared" si="88"/>
        <v>6.89893436658141e-5</v>
      </c>
      <c r="AO162" s="65">
        <f t="shared" si="102"/>
        <v>0.0211424474323718</v>
      </c>
      <c r="AP162" s="68"/>
      <c r="AQ162" s="68"/>
      <c r="AR162" s="68">
        <f t="shared" si="89"/>
        <v>26.1532074738439</v>
      </c>
      <c r="AS162" s="68">
        <f t="shared" si="90"/>
        <v>36.9992830066507</v>
      </c>
      <c r="AT162" s="71">
        <f t="shared" si="91"/>
        <v>0.0171093572291219</v>
      </c>
      <c r="AU162" s="71"/>
      <c r="AV162" s="65"/>
      <c r="AW162" s="65">
        <f t="shared" si="103"/>
        <v>0.0164523025742814</v>
      </c>
      <c r="AX162" s="65">
        <f t="shared" si="75"/>
        <v>1.28507528577928</v>
      </c>
      <c r="AY162" s="65">
        <f t="shared" si="104"/>
        <v>9.79352833053074</v>
      </c>
      <c r="AZ162" s="69">
        <f t="shared" si="76"/>
        <v>0.00215881822350597</v>
      </c>
      <c r="BA162" s="69">
        <f t="shared" si="77"/>
        <v>1.12653867968478e-5</v>
      </c>
      <c r="BB162" s="72">
        <f t="shared" si="92"/>
        <v>24.4459548436799</v>
      </c>
      <c r="BC162" s="72">
        <f t="shared" si="93"/>
        <v>1.1004908257305</v>
      </c>
      <c r="BD162" s="72">
        <f t="shared" si="94"/>
        <v>0.00446155713962169</v>
      </c>
      <c r="BE162" s="72">
        <f t="shared" si="95"/>
        <v>77.5494661387617</v>
      </c>
      <c r="BF162" s="1"/>
      <c r="BG162" s="81"/>
      <c r="BH162" s="81"/>
    </row>
    <row r="163" ht="25" customHeight="1" spans="1:60">
      <c r="A163" s="80" t="s">
        <v>130</v>
      </c>
      <c r="B163" s="80" t="s">
        <v>201</v>
      </c>
      <c r="C163" s="55">
        <v>0.619602770633279</v>
      </c>
      <c r="D163" s="55">
        <v>-8.11700151769203</v>
      </c>
      <c r="E163" s="55"/>
      <c r="F163" s="55">
        <v>1.72335672988669</v>
      </c>
      <c r="G163" s="56">
        <v>0.1</v>
      </c>
      <c r="H163" s="57">
        <f t="shared" si="108"/>
        <v>0.000185725163902457</v>
      </c>
      <c r="I163" s="57">
        <f t="shared" si="109"/>
        <v>0.000125</v>
      </c>
      <c r="J163" s="58">
        <f t="shared" si="96"/>
        <v>0.0670387369130801</v>
      </c>
      <c r="K163" s="58">
        <v>0</v>
      </c>
      <c r="L163" s="58">
        <f t="shared" si="97"/>
        <v>10.5920523016633</v>
      </c>
      <c r="M163" s="57">
        <f t="shared" si="98"/>
        <v>0.0021044864318793</v>
      </c>
      <c r="N163" s="57">
        <f t="shared" si="99"/>
        <v>0.00273197123134673</v>
      </c>
      <c r="O163" s="57">
        <f t="shared" si="100"/>
        <v>0.502936342852489</v>
      </c>
      <c r="P163" s="59">
        <v>0.0302</v>
      </c>
      <c r="Q163" s="60">
        <f t="shared" si="82"/>
        <v>0.0257</v>
      </c>
      <c r="R163" s="61">
        <v>1000</v>
      </c>
      <c r="S163" s="59">
        <v>0.11613</v>
      </c>
      <c r="T163" s="59">
        <v>9.801</v>
      </c>
      <c r="U163" s="62">
        <v>4e-6</v>
      </c>
      <c r="V163" s="63"/>
      <c r="W163" s="63">
        <f t="shared" si="83"/>
        <v>2.2e-6</v>
      </c>
      <c r="X163" s="64">
        <v>0.001147</v>
      </c>
      <c r="Y163" s="64">
        <v>1.85e-5</v>
      </c>
      <c r="Z163" s="65"/>
      <c r="AA163" s="66">
        <f t="shared" si="73"/>
        <v>0.00172335672988669</v>
      </c>
      <c r="AB163" s="65">
        <f t="shared" si="84"/>
        <v>17.5284196420202</v>
      </c>
      <c r="AC163" s="65">
        <f t="shared" si="85"/>
        <v>43.8152142185353</v>
      </c>
      <c r="AD163" s="65">
        <f t="shared" si="86"/>
        <v>3.85543873631613</v>
      </c>
      <c r="AI163" s="63">
        <f t="shared" si="87"/>
        <v>133.968166623412</v>
      </c>
      <c r="AJ163" s="68"/>
      <c r="AK163" s="69">
        <f t="shared" si="101"/>
        <v>52.0958698005987</v>
      </c>
      <c r="AL163" s="69"/>
      <c r="AM163" s="69">
        <f t="shared" si="74"/>
        <v>0.0235325952952441</v>
      </c>
      <c r="AN163" s="69">
        <f t="shared" si="88"/>
        <v>8.10924953707003e-5</v>
      </c>
      <c r="AO163" s="65">
        <f t="shared" si="102"/>
        <v>0.0130184507729181</v>
      </c>
      <c r="AP163" s="68"/>
      <c r="AQ163" s="68"/>
      <c r="AR163" s="68">
        <f t="shared" si="89"/>
        <v>16.1038236060996</v>
      </c>
      <c r="AS163" s="68">
        <f t="shared" si="90"/>
        <v>22.7822888526066</v>
      </c>
      <c r="AT163" s="71">
        <f t="shared" si="91"/>
        <v>0.0201109388519337</v>
      </c>
      <c r="AU163" s="71"/>
      <c r="AV163" s="65"/>
      <c r="AW163" s="65">
        <f t="shared" si="103"/>
        <v>0.00894489840934382</v>
      </c>
      <c r="AX163" s="65">
        <f t="shared" si="75"/>
        <v>1.45540510100361</v>
      </c>
      <c r="AY163" s="65">
        <f t="shared" si="104"/>
        <v>3.85381271797386</v>
      </c>
      <c r="AZ163" s="69">
        <f t="shared" si="76"/>
        <v>0.00337807042677531</v>
      </c>
      <c r="BA163" s="69">
        <f t="shared" si="77"/>
        <v>4.11538878010849e-6</v>
      </c>
      <c r="BB163" s="72">
        <f t="shared" si="92"/>
        <v>15.0525837061865</v>
      </c>
      <c r="BC163" s="72">
        <f t="shared" si="93"/>
        <v>0.971697544139353</v>
      </c>
      <c r="BD163" s="72">
        <f t="shared" si="94"/>
        <v>0.166360536114512</v>
      </c>
      <c r="BE163" s="72">
        <f t="shared" si="95"/>
        <v>51.5260916911676</v>
      </c>
      <c r="BF163" s="1"/>
      <c r="BG163" s="81"/>
      <c r="BH163" s="81"/>
    </row>
    <row r="164" ht="25" customHeight="1" spans="1:60">
      <c r="A164" s="80" t="s">
        <v>133</v>
      </c>
      <c r="B164" s="80" t="s">
        <v>201</v>
      </c>
      <c r="C164" s="55">
        <v>0.656963616395384</v>
      </c>
      <c r="D164" s="55">
        <v>-2.12148916637957</v>
      </c>
      <c r="E164" s="55"/>
      <c r="F164" s="55">
        <v>1.72216502889821</v>
      </c>
      <c r="G164" s="56">
        <v>0.1</v>
      </c>
      <c r="H164" s="57">
        <f t="shared" si="108"/>
        <v>0.000185725163902457</v>
      </c>
      <c r="I164" s="57">
        <f t="shared" si="109"/>
        <v>0.000125</v>
      </c>
      <c r="J164" s="58">
        <f t="shared" si="96"/>
        <v>0.071130423134999</v>
      </c>
      <c r="K164" s="58">
        <v>0</v>
      </c>
      <c r="L164" s="58">
        <f t="shared" si="97"/>
        <v>11.907949914152</v>
      </c>
      <c r="M164" s="57">
        <f t="shared" si="98"/>
        <v>0.00210375867997978</v>
      </c>
      <c r="N164" s="57">
        <f t="shared" si="99"/>
        <v>0.00242840077486392</v>
      </c>
      <c r="O164" s="57">
        <f t="shared" si="100"/>
        <v>0.566004710714028</v>
      </c>
      <c r="P164" s="59">
        <v>0.0302</v>
      </c>
      <c r="Q164" s="60">
        <f t="shared" si="82"/>
        <v>0.0257</v>
      </c>
      <c r="R164" s="61">
        <v>1000</v>
      </c>
      <c r="S164" s="59">
        <v>0.11613</v>
      </c>
      <c r="T164" s="59">
        <v>9.801</v>
      </c>
      <c r="U164" s="62">
        <v>4e-6</v>
      </c>
      <c r="V164" s="63"/>
      <c r="W164" s="63">
        <f t="shared" si="83"/>
        <v>2.2e-6</v>
      </c>
      <c r="X164" s="64">
        <v>0.001147</v>
      </c>
      <c r="Y164" s="64">
        <v>1.85e-5</v>
      </c>
      <c r="Z164" s="65"/>
      <c r="AA164" s="66">
        <f t="shared" si="73"/>
        <v>0.00172216502889821</v>
      </c>
      <c r="AB164" s="65">
        <f t="shared" si="84"/>
        <v>19.9592860992508</v>
      </c>
      <c r="AC164" s="65">
        <f t="shared" si="85"/>
        <v>49.224402746734</v>
      </c>
      <c r="AD164" s="65">
        <f t="shared" si="86"/>
        <v>3.85010850895821</v>
      </c>
      <c r="AI164" s="63">
        <f t="shared" si="87"/>
        <v>142.046187328732</v>
      </c>
      <c r="AJ164" s="68"/>
      <c r="AK164" s="69">
        <f t="shared" si="101"/>
        <v>46.3390748496228</v>
      </c>
      <c r="AL164" s="69"/>
      <c r="AM164" s="69">
        <f t="shared" si="74"/>
        <v>0.0249515651657452</v>
      </c>
      <c r="AN164" s="69">
        <f t="shared" si="88"/>
        <v>8.11205476459465e-5</v>
      </c>
      <c r="AO164" s="65">
        <f t="shared" si="102"/>
        <v>0.013004949721676</v>
      </c>
      <c r="AP164" s="68"/>
      <c r="AQ164" s="68"/>
      <c r="AR164" s="68">
        <f t="shared" si="89"/>
        <v>16.0871228057133</v>
      </c>
      <c r="AS164" s="68">
        <f t="shared" si="90"/>
        <v>22.7586620129331</v>
      </c>
      <c r="AT164" s="71">
        <f t="shared" si="91"/>
        <v>0.0201178958161947</v>
      </c>
      <c r="AU164" s="71"/>
      <c r="AV164" s="65"/>
      <c r="AW164" s="65">
        <f t="shared" si="103"/>
        <v>0.00794545259764235</v>
      </c>
      <c r="AX164" s="65">
        <f t="shared" si="75"/>
        <v>1.63677897034273</v>
      </c>
      <c r="AY164" s="65">
        <f t="shared" si="104"/>
        <v>3.42084515060702</v>
      </c>
      <c r="AZ164" s="69">
        <f t="shared" si="76"/>
        <v>0.00380167740693212</v>
      </c>
      <c r="BA164" s="69">
        <f t="shared" si="77"/>
        <v>4.61706031872558e-6</v>
      </c>
      <c r="BB164" s="72">
        <f t="shared" si="92"/>
        <v>15.0369731156879</v>
      </c>
      <c r="BC164" s="72">
        <f t="shared" si="93"/>
        <v>0.864022319444247</v>
      </c>
      <c r="BD164" s="72">
        <f t="shared" si="94"/>
        <v>0.148296019347191</v>
      </c>
      <c r="BE164" s="72">
        <f t="shared" si="95"/>
        <v>56.9246197646505</v>
      </c>
      <c r="BF164" s="1"/>
      <c r="BG164" s="81"/>
      <c r="BH164" s="81"/>
    </row>
    <row r="165" ht="25" customHeight="1" spans="1:60">
      <c r="A165" s="80" t="s">
        <v>134</v>
      </c>
      <c r="B165" s="80" t="s">
        <v>201</v>
      </c>
      <c r="C165" s="55">
        <v>0.643773704983723</v>
      </c>
      <c r="D165" s="55">
        <v>-7.4921047914262</v>
      </c>
      <c r="E165" s="55"/>
      <c r="F165" s="55">
        <v>1.87698839974437</v>
      </c>
      <c r="G165" s="56">
        <v>0.1</v>
      </c>
      <c r="H165" s="57">
        <f t="shared" si="108"/>
        <v>0.000185725163902457</v>
      </c>
      <c r="I165" s="57">
        <f t="shared" si="109"/>
        <v>0.000125</v>
      </c>
      <c r="J165" s="58">
        <f t="shared" si="96"/>
        <v>0.0639321458884661</v>
      </c>
      <c r="K165" s="58">
        <v>0</v>
      </c>
      <c r="L165" s="58">
        <f t="shared" si="97"/>
        <v>11.4316178179382</v>
      </c>
      <c r="M165" s="57">
        <f t="shared" si="98"/>
        <v>0.0021962882197672</v>
      </c>
      <c r="N165" s="57">
        <f t="shared" si="99"/>
        <v>0.00275583038856038</v>
      </c>
      <c r="O165" s="57">
        <f t="shared" si="100"/>
        <v>0.477604361405406</v>
      </c>
      <c r="P165" s="59">
        <v>0.0302</v>
      </c>
      <c r="Q165" s="60">
        <f t="shared" si="82"/>
        <v>0.0257</v>
      </c>
      <c r="R165" s="61">
        <v>1000</v>
      </c>
      <c r="S165" s="59">
        <v>0.11613</v>
      </c>
      <c r="T165" s="59">
        <v>9.801</v>
      </c>
      <c r="U165" s="62">
        <v>4e-6</v>
      </c>
      <c r="V165" s="63"/>
      <c r="W165" s="63">
        <f t="shared" si="83"/>
        <v>2.2e-6</v>
      </c>
      <c r="X165" s="64">
        <v>0.001147</v>
      </c>
      <c r="Y165" s="64">
        <v>1.85e-5</v>
      </c>
      <c r="Z165" s="65"/>
      <c r="AA165" s="66">
        <f t="shared" si="73"/>
        <v>0.00187698839974437</v>
      </c>
      <c r="AB165" s="65">
        <f t="shared" si="84"/>
        <v>19.0848411431432</v>
      </c>
      <c r="AC165" s="65">
        <f t="shared" si="85"/>
        <v>51.5170645732932</v>
      </c>
      <c r="AD165" s="65">
        <f t="shared" si="86"/>
        <v>4.57347821492015</v>
      </c>
      <c r="AI165" s="63">
        <f t="shared" si="87"/>
        <v>139.194314591075</v>
      </c>
      <c r="AJ165" s="68"/>
      <c r="AK165" s="69">
        <f t="shared" si="101"/>
        <v>48.2573564943293</v>
      </c>
      <c r="AL165" s="69"/>
      <c r="AM165" s="69">
        <f t="shared" si="74"/>
        <v>0.0244506105833222</v>
      </c>
      <c r="AN165" s="69">
        <f t="shared" si="88"/>
        <v>7.77029420359787e-5</v>
      </c>
      <c r="AO165" s="65">
        <f t="shared" si="102"/>
        <v>0.0147975191743119</v>
      </c>
      <c r="AP165" s="68"/>
      <c r="AQ165" s="68"/>
      <c r="AR165" s="68">
        <f t="shared" si="89"/>
        <v>18.3045312186238</v>
      </c>
      <c r="AS165" s="68">
        <f t="shared" si="90"/>
        <v>25.8956585550458</v>
      </c>
      <c r="AT165" s="71">
        <f t="shared" si="91"/>
        <v>0.0192703296249227</v>
      </c>
      <c r="AU165" s="71"/>
      <c r="AV165" s="65"/>
      <c r="AW165" s="65">
        <f t="shared" si="103"/>
        <v>0.00982898008471591</v>
      </c>
      <c r="AX165" s="65">
        <f t="shared" si="75"/>
        <v>1.50549894768045</v>
      </c>
      <c r="AY165" s="65">
        <f t="shared" si="104"/>
        <v>4.61222040008255</v>
      </c>
      <c r="AZ165" s="69">
        <f t="shared" si="76"/>
        <v>0.00320832872038098</v>
      </c>
      <c r="BA165" s="69">
        <f t="shared" si="77"/>
        <v>5.73997296879828e-6</v>
      </c>
      <c r="BB165" s="72">
        <f t="shared" si="92"/>
        <v>17.1096315452981</v>
      </c>
      <c r="BC165" s="72">
        <f t="shared" si="93"/>
        <v>0.939365360933662</v>
      </c>
      <c r="BD165" s="72">
        <f t="shared" si="94"/>
        <v>0.113613685458196</v>
      </c>
      <c r="BE165" s="72">
        <f t="shared" si="95"/>
        <v>60.6640210031335</v>
      </c>
      <c r="BF165" s="1"/>
      <c r="BG165" s="81"/>
      <c r="BH165" s="81"/>
    </row>
    <row r="166" ht="25" customHeight="1" spans="1:60">
      <c r="A166" s="80" t="s">
        <v>136</v>
      </c>
      <c r="B166" s="80" t="s">
        <v>201</v>
      </c>
      <c r="C166" s="55">
        <v>0.646003552855768</v>
      </c>
      <c r="D166" s="55">
        <v>-2.48510924451478</v>
      </c>
      <c r="E166" s="55"/>
      <c r="F166" s="55">
        <v>1.81452964683382</v>
      </c>
      <c r="G166" s="56">
        <v>0.1</v>
      </c>
      <c r="H166" s="57">
        <f t="shared" si="108"/>
        <v>0.000185725163902457</v>
      </c>
      <c r="I166" s="57">
        <f t="shared" si="109"/>
        <v>0.000125</v>
      </c>
      <c r="J166" s="58">
        <f t="shared" si="96"/>
        <v>0.066370111926754</v>
      </c>
      <c r="K166" s="58">
        <v>0</v>
      </c>
      <c r="L166" s="58">
        <f t="shared" si="97"/>
        <v>11.5120950305446</v>
      </c>
      <c r="M166" s="57">
        <f t="shared" si="98"/>
        <v>0.00215943716753515</v>
      </c>
      <c r="N166" s="57">
        <f t="shared" si="99"/>
        <v>0.00264593247634204</v>
      </c>
      <c r="O166" s="57">
        <f t="shared" si="100"/>
        <v>0.505986706856848</v>
      </c>
      <c r="P166" s="59">
        <v>0.0302</v>
      </c>
      <c r="Q166" s="60">
        <f t="shared" si="82"/>
        <v>0.0257</v>
      </c>
      <c r="R166" s="61">
        <v>1000</v>
      </c>
      <c r="S166" s="59">
        <v>0.11613</v>
      </c>
      <c r="T166" s="59">
        <v>9.801</v>
      </c>
      <c r="U166" s="62">
        <v>4e-6</v>
      </c>
      <c r="V166" s="63"/>
      <c r="W166" s="63">
        <f t="shared" si="83"/>
        <v>2.2e-6</v>
      </c>
      <c r="X166" s="64">
        <v>0.001147</v>
      </c>
      <c r="Y166" s="64">
        <v>1.85e-5</v>
      </c>
      <c r="Z166" s="65"/>
      <c r="AA166" s="66">
        <f t="shared" si="73"/>
        <v>0.00181452964683382</v>
      </c>
      <c r="AB166" s="65">
        <f t="shared" si="84"/>
        <v>19.2314266209111</v>
      </c>
      <c r="AC166" s="65">
        <f t="shared" si="85"/>
        <v>50.1483830024946</v>
      </c>
      <c r="AD166" s="65">
        <f t="shared" si="86"/>
        <v>4.2741678599179</v>
      </c>
      <c r="AI166" s="63">
        <f t="shared" si="87"/>
        <v>139.676443860707</v>
      </c>
      <c r="AJ166" s="68"/>
      <c r="AK166" s="69">
        <f t="shared" si="101"/>
        <v>47.9247860392259</v>
      </c>
      <c r="AL166" s="69"/>
      <c r="AM166" s="69">
        <f t="shared" si="74"/>
        <v>0.0245353005008466</v>
      </c>
      <c r="AN166" s="69">
        <f t="shared" si="88"/>
        <v>7.90289519882945e-5</v>
      </c>
      <c r="AO166" s="65">
        <f t="shared" si="102"/>
        <v>0.0140650937425844</v>
      </c>
      <c r="AP166" s="68"/>
      <c r="AQ166" s="68"/>
      <c r="AR166" s="68">
        <f t="shared" si="89"/>
        <v>17.3985209595769</v>
      </c>
      <c r="AS166" s="68">
        <f t="shared" si="90"/>
        <v>24.6139140495227</v>
      </c>
      <c r="AT166" s="71">
        <f t="shared" si="91"/>
        <v>0.019599180093097</v>
      </c>
      <c r="AU166" s="71"/>
      <c r="AV166" s="65"/>
      <c r="AW166" s="65">
        <f t="shared" si="103"/>
        <v>0.00912242012516675</v>
      </c>
      <c r="AX166" s="65">
        <f t="shared" si="75"/>
        <v>1.5418160476716</v>
      </c>
      <c r="AY166" s="65">
        <f t="shared" si="104"/>
        <v>4.13822544199714</v>
      </c>
      <c r="AZ166" s="69">
        <f t="shared" si="76"/>
        <v>0.00339882250006092</v>
      </c>
      <c r="BA166" s="69">
        <f t="shared" si="77"/>
        <v>5.22180478301856e-6</v>
      </c>
      <c r="BB166" s="72">
        <f t="shared" si="92"/>
        <v>16.2627646398632</v>
      </c>
      <c r="BC166" s="72">
        <f t="shared" si="93"/>
        <v>0.917238839554691</v>
      </c>
      <c r="BD166" s="72">
        <f t="shared" si="94"/>
        <v>0.128651491710974</v>
      </c>
      <c r="BE166" s="72">
        <f t="shared" si="95"/>
        <v>58.6967187223304</v>
      </c>
      <c r="BF166" s="1"/>
      <c r="BG166" s="81"/>
      <c r="BH166" s="81"/>
    </row>
    <row r="167" ht="25" customHeight="1" spans="1:60">
      <c r="A167" s="80" t="s">
        <v>137</v>
      </c>
      <c r="B167" s="80" t="s">
        <v>201</v>
      </c>
      <c r="C167" s="55">
        <v>0.659251703852521</v>
      </c>
      <c r="D167" s="55">
        <v>3.9069856977335</v>
      </c>
      <c r="E167" s="55"/>
      <c r="F167" s="55">
        <v>2.35297457054888</v>
      </c>
      <c r="G167" s="56">
        <v>0.1</v>
      </c>
      <c r="H167" s="57">
        <f t="shared" si="108"/>
        <v>0.000185725163902457</v>
      </c>
      <c r="I167" s="57">
        <f t="shared" si="109"/>
        <v>0.000125</v>
      </c>
      <c r="J167" s="58">
        <f t="shared" si="96"/>
        <v>0.0521871519118832</v>
      </c>
      <c r="K167" s="58">
        <v>0</v>
      </c>
      <c r="L167" s="58">
        <f t="shared" si="97"/>
        <v>11.9808868031771</v>
      </c>
      <c r="M167" s="57">
        <f t="shared" si="98"/>
        <v>0.00245904884102262</v>
      </c>
      <c r="N167" s="57">
        <f t="shared" si="99"/>
        <v>0.00329315765773915</v>
      </c>
      <c r="O167" s="57">
        <f t="shared" si="100"/>
        <v>0.356735436207285</v>
      </c>
      <c r="P167" s="59">
        <v>0.0302</v>
      </c>
      <c r="Q167" s="60">
        <f t="shared" si="82"/>
        <v>0.0257</v>
      </c>
      <c r="R167" s="61">
        <v>1000</v>
      </c>
      <c r="S167" s="59">
        <v>0.11613</v>
      </c>
      <c r="T167" s="59">
        <v>9.801</v>
      </c>
      <c r="U167" s="62">
        <v>4e-6</v>
      </c>
      <c r="V167" s="63"/>
      <c r="W167" s="63">
        <f t="shared" si="83"/>
        <v>2.2e-6</v>
      </c>
      <c r="X167" s="64">
        <v>0.001147</v>
      </c>
      <c r="Y167" s="64">
        <v>1.85e-5</v>
      </c>
      <c r="Z167" s="65"/>
      <c r="AA167" s="66">
        <f t="shared" ref="AA167:AA218" si="110">F167/1000</f>
        <v>0.00235297457054888</v>
      </c>
      <c r="AB167" s="65">
        <f t="shared" si="84"/>
        <v>20.1127833349874</v>
      </c>
      <c r="AC167" s="65">
        <f t="shared" si="85"/>
        <v>67.7240322972302</v>
      </c>
      <c r="AD167" s="65">
        <f t="shared" si="86"/>
        <v>7.18716979071478</v>
      </c>
      <c r="AI167" s="63">
        <f t="shared" si="87"/>
        <v>142.540908941086</v>
      </c>
      <c r="AJ167" s="63"/>
      <c r="AK167" s="69">
        <f t="shared" si="101"/>
        <v>46.0179718230684</v>
      </c>
      <c r="AL167" s="69"/>
      <c r="AM167" s="69">
        <f t="shared" ref="AM167:AM218" si="111">X167*C167/P167</f>
        <v>0.0250384670304252</v>
      </c>
      <c r="AN167" s="69">
        <f t="shared" si="88"/>
        <v>6.94000271112566e-5</v>
      </c>
      <c r="AO167" s="65">
        <f t="shared" si="102"/>
        <v>0.0207693248421011</v>
      </c>
      <c r="AP167" s="68"/>
      <c r="AQ167" s="68"/>
      <c r="AR167" s="68">
        <f t="shared" si="89"/>
        <v>25.6916548296791</v>
      </c>
      <c r="AS167" s="68">
        <f t="shared" si="90"/>
        <v>36.346318473677</v>
      </c>
      <c r="AT167" s="71">
        <f t="shared" si="91"/>
        <v>0.0172112067235916</v>
      </c>
      <c r="AU167" s="71"/>
      <c r="AV167" s="65"/>
      <c r="AW167" s="65">
        <f t="shared" si="103"/>
        <v>0.0147293537014217</v>
      </c>
      <c r="AX167" s="65">
        <f t="shared" ref="AX167:AX218" si="112">AO167/AW167</f>
        <v>1.4100635549336</v>
      </c>
      <c r="AY167" s="65">
        <f t="shared" si="104"/>
        <v>8.66444867501635</v>
      </c>
      <c r="AZ167" s="69">
        <f t="shared" ref="AZ167:AZ218" si="113">AO167/AY167</f>
        <v>0.00239707402295414</v>
      </c>
      <c r="BA167" s="69">
        <f t="shared" ref="BA167:BA218" si="114">0.5*R167*(4/3)*PI()*AA167^3*C167^2</f>
        <v>1.18580379615047e-5</v>
      </c>
      <c r="BB167" s="72">
        <f t="shared" si="92"/>
        <v>24.0145318486794</v>
      </c>
      <c r="BC167" s="72">
        <f t="shared" si="93"/>
        <v>1.00294313502748</v>
      </c>
      <c r="BD167" s="72">
        <f t="shared" si="94"/>
        <v>0.00923838107903144</v>
      </c>
      <c r="BE167" s="72">
        <f t="shared" si="95"/>
        <v>82.0983718786597</v>
      </c>
      <c r="BF167" s="1"/>
      <c r="BG167" s="81"/>
      <c r="BH167" s="81"/>
    </row>
    <row r="168" ht="25" customHeight="1" spans="1:60">
      <c r="A168" s="80" t="s">
        <v>138</v>
      </c>
      <c r="B168" s="80" t="s">
        <v>201</v>
      </c>
      <c r="C168" s="55">
        <v>0.629003679470297</v>
      </c>
      <c r="D168" s="55">
        <v>4.12656100474077</v>
      </c>
      <c r="E168" s="55"/>
      <c r="F168" s="55">
        <v>1.7101520631579</v>
      </c>
      <c r="G168" s="56">
        <v>0.1</v>
      </c>
      <c r="H168" s="57">
        <f t="shared" si="108"/>
        <v>0.000185725163902457</v>
      </c>
      <c r="I168" s="57">
        <f t="shared" si="109"/>
        <v>0.000125</v>
      </c>
      <c r="J168" s="58">
        <f t="shared" si="96"/>
        <v>0.0685834484100488</v>
      </c>
      <c r="K168" s="58">
        <v>0</v>
      </c>
      <c r="L168" s="58">
        <f t="shared" si="97"/>
        <v>10.9161719072723</v>
      </c>
      <c r="M168" s="57">
        <f t="shared" si="98"/>
        <v>0.00209640845314457</v>
      </c>
      <c r="N168" s="57">
        <f t="shared" si="99"/>
        <v>0.00263064729957045</v>
      </c>
      <c r="O168" s="57">
        <f t="shared" si="100"/>
        <v>0.524334640526961</v>
      </c>
      <c r="P168" s="59">
        <v>0.0302</v>
      </c>
      <c r="Q168" s="60">
        <f t="shared" si="82"/>
        <v>0.0257</v>
      </c>
      <c r="R168" s="61">
        <v>1000</v>
      </c>
      <c r="S168" s="59">
        <v>0.11613</v>
      </c>
      <c r="T168" s="59">
        <v>9.801</v>
      </c>
      <c r="U168" s="62">
        <v>4e-6</v>
      </c>
      <c r="V168" s="63"/>
      <c r="W168" s="63">
        <f t="shared" si="83"/>
        <v>2.2e-6</v>
      </c>
      <c r="X168" s="64">
        <v>0.001147</v>
      </c>
      <c r="Y168" s="64">
        <v>1.85e-5</v>
      </c>
      <c r="Z168" s="65"/>
      <c r="AA168" s="66">
        <f t="shared" si="110"/>
        <v>0.0017101520631579</v>
      </c>
      <c r="AB168" s="65">
        <f t="shared" si="84"/>
        <v>18.1266885212626</v>
      </c>
      <c r="AC168" s="65">
        <f t="shared" si="85"/>
        <v>44.8088866456813</v>
      </c>
      <c r="AD168" s="65">
        <f t="shared" si="86"/>
        <v>3.79658296628963</v>
      </c>
      <c r="AI168" s="63">
        <f t="shared" si="87"/>
        <v>136.000795561145</v>
      </c>
      <c r="AJ168" s="63"/>
      <c r="AK168" s="69">
        <f t="shared" si="101"/>
        <v>50.5502867839303</v>
      </c>
      <c r="AL168" s="69"/>
      <c r="AM168" s="69">
        <f t="shared" si="111"/>
        <v>0.0238896430580275</v>
      </c>
      <c r="AN168" s="69">
        <f t="shared" si="88"/>
        <v>8.1404964752403e-5</v>
      </c>
      <c r="AO168" s="65">
        <f t="shared" si="102"/>
        <v>0.0128691132137944</v>
      </c>
      <c r="AP168" s="68"/>
      <c r="AQ168" s="68"/>
      <c r="AR168" s="68">
        <f t="shared" si="89"/>
        <v>15.9190930454636</v>
      </c>
      <c r="AS168" s="68">
        <f t="shared" si="90"/>
        <v>22.5209481241401</v>
      </c>
      <c r="AT168" s="71">
        <f t="shared" si="91"/>
        <v>0.0201884312585959</v>
      </c>
      <c r="AU168" s="71"/>
      <c r="AV168" s="65"/>
      <c r="AW168" s="65">
        <f t="shared" si="103"/>
        <v>0.00854702218460568</v>
      </c>
      <c r="AX168" s="65">
        <f t="shared" si="112"/>
        <v>1.50568384354651</v>
      </c>
      <c r="AY168" s="65">
        <f t="shared" si="104"/>
        <v>3.65417690571494</v>
      </c>
      <c r="AZ168" s="69">
        <f t="shared" si="113"/>
        <v>0.00352175429538394</v>
      </c>
      <c r="BA168" s="69">
        <f t="shared" si="114"/>
        <v>4.14447163379415e-6</v>
      </c>
      <c r="BB168" s="72">
        <f t="shared" si="92"/>
        <v>14.8799121534497</v>
      </c>
      <c r="BC168" s="72">
        <f t="shared" si="93"/>
        <v>0.939250008183681</v>
      </c>
      <c r="BD168" s="72">
        <f t="shared" si="94"/>
        <v>0.165298328565694</v>
      </c>
      <c r="BE168" s="72">
        <f t="shared" si="95"/>
        <v>52.4020525782605</v>
      </c>
      <c r="BF168" s="1"/>
      <c r="BG168" s="81"/>
      <c r="BH168" s="81"/>
    </row>
    <row r="169" ht="25" customHeight="1" spans="1:60">
      <c r="A169" s="80" t="s">
        <v>142</v>
      </c>
      <c r="B169" s="80" t="s">
        <v>201</v>
      </c>
      <c r="C169" s="55">
        <v>0.245802383243155</v>
      </c>
      <c r="D169" s="55">
        <v>-0.18477706744952</v>
      </c>
      <c r="E169" s="55"/>
      <c r="F169" s="55">
        <v>1.94201384107647</v>
      </c>
      <c r="G169" s="56">
        <v>1</v>
      </c>
      <c r="H169" s="57">
        <f t="shared" si="108"/>
        <v>0.000185725163902457</v>
      </c>
      <c r="I169" s="57">
        <f t="shared" si="109"/>
        <v>0.000125</v>
      </c>
      <c r="J169" s="58">
        <f t="shared" si="96"/>
        <v>0.0235900461328655</v>
      </c>
      <c r="K169" s="58">
        <v>0</v>
      </c>
      <c r="L169" s="58">
        <f t="shared" si="97"/>
        <v>1.66636929980143</v>
      </c>
      <c r="M169" s="57">
        <f t="shared" si="98"/>
        <v>0.00223400786783507</v>
      </c>
      <c r="N169" s="57">
        <f t="shared" si="99"/>
        <v>0.0195573993907451</v>
      </c>
      <c r="O169" s="57">
        <f t="shared" si="100"/>
        <v>0.0661557008212477</v>
      </c>
      <c r="P169" s="59">
        <v>0.0302</v>
      </c>
      <c r="Q169" s="60">
        <f t="shared" si="82"/>
        <v>0.0302</v>
      </c>
      <c r="R169" s="61">
        <v>1000</v>
      </c>
      <c r="S169" s="59">
        <v>1.1616</v>
      </c>
      <c r="T169" s="59">
        <v>9.801</v>
      </c>
      <c r="U169" s="62">
        <v>4e-6</v>
      </c>
      <c r="V169" s="63"/>
      <c r="W169" s="63">
        <f t="shared" si="83"/>
        <v>4e-6</v>
      </c>
      <c r="X169" s="64">
        <v>0.001147</v>
      </c>
      <c r="Y169" s="64">
        <v>1.85e-5</v>
      </c>
      <c r="Z169" s="65"/>
      <c r="AA169" s="66">
        <f t="shared" si="110"/>
        <v>0.00194201384107647</v>
      </c>
      <c r="AB169" s="65">
        <f t="shared" si="84"/>
        <v>1.04071414923623</v>
      </c>
      <c r="AC169" s="65">
        <f t="shared" si="85"/>
        <v>7.77047472875209</v>
      </c>
      <c r="AD169" s="65">
        <f t="shared" si="86"/>
        <v>4.89584972917858</v>
      </c>
      <c r="AI169" s="63">
        <f t="shared" si="87"/>
        <v>53.1464612417633</v>
      </c>
      <c r="AJ169" s="63"/>
      <c r="AK169" s="69">
        <f t="shared" si="101"/>
        <v>3310.22730631579</v>
      </c>
      <c r="AL169" s="69"/>
      <c r="AM169" s="69">
        <f t="shared" si="111"/>
        <v>0.00933560707218208</v>
      </c>
      <c r="AN169" s="69">
        <f t="shared" si="88"/>
        <v>7.63909826334921e-5</v>
      </c>
      <c r="AO169" s="65">
        <f t="shared" si="102"/>
        <v>0.0155730977581764</v>
      </c>
      <c r="AP169" s="68"/>
      <c r="AQ169" s="68"/>
      <c r="AR169" s="68">
        <f t="shared" si="89"/>
        <v>19.2639219268642</v>
      </c>
      <c r="AS169" s="68">
        <f t="shared" si="90"/>
        <v>27.2529210768087</v>
      </c>
      <c r="AT169" s="71">
        <f t="shared" si="91"/>
        <v>0.018944963693106</v>
      </c>
      <c r="AU169" s="71"/>
      <c r="AV169" s="65"/>
      <c r="AW169" s="65">
        <f t="shared" si="103"/>
        <v>0.0721745705966076</v>
      </c>
      <c r="AX169" s="65">
        <f t="shared" si="112"/>
        <v>0.21576987059911</v>
      </c>
      <c r="AY169" s="65">
        <f t="shared" si="104"/>
        <v>35.0410037680907</v>
      </c>
      <c r="AZ169" s="69">
        <f t="shared" si="113"/>
        <v>0.000444424990255492</v>
      </c>
      <c r="BA169" s="69">
        <f t="shared" si="114"/>
        <v>9.26803691740645e-7</v>
      </c>
      <c r="BB169" s="72">
        <f t="shared" si="92"/>
        <v>18.0063942828914</v>
      </c>
      <c r="BC169" s="72">
        <f t="shared" si="93"/>
        <v>6.55426801919269</v>
      </c>
      <c r="BD169" s="72">
        <f t="shared" si="94"/>
        <v>0.670267998217823</v>
      </c>
      <c r="BE169" s="72">
        <f t="shared" si="95"/>
        <v>17.5621741871092</v>
      </c>
      <c r="BF169" s="1"/>
      <c r="BG169" s="81"/>
      <c r="BH169" s="81"/>
    </row>
    <row r="170" ht="25" customHeight="1" spans="1:60">
      <c r="A170" s="80" t="s">
        <v>152</v>
      </c>
      <c r="B170" s="80" t="s">
        <v>201</v>
      </c>
      <c r="C170" s="55">
        <v>0</v>
      </c>
      <c r="D170" s="55">
        <v>0</v>
      </c>
      <c r="E170" s="55"/>
      <c r="F170" s="55">
        <v>0</v>
      </c>
      <c r="G170" s="56">
        <v>0.6</v>
      </c>
      <c r="H170" s="57">
        <f t="shared" si="108"/>
        <v>0.000185725163902457</v>
      </c>
      <c r="I170" s="57">
        <f t="shared" si="109"/>
        <v>0.000125</v>
      </c>
      <c r="J170" s="58" t="e">
        <f t="shared" si="96"/>
        <v>#DIV/0!</v>
      </c>
      <c r="K170" s="58">
        <v>0</v>
      </c>
      <c r="L170" s="58" t="e">
        <f t="shared" si="97"/>
        <v>#DIV/0!</v>
      </c>
      <c r="M170" s="57" t="e">
        <f t="shared" si="98"/>
        <v>#DIV/0!</v>
      </c>
      <c r="N170" s="57" t="e">
        <f t="shared" si="99"/>
        <v>#DIV/0!</v>
      </c>
      <c r="O170" s="57" t="e">
        <f t="shared" si="100"/>
        <v>#DIV/0!</v>
      </c>
      <c r="P170" s="59">
        <v>0.0302</v>
      </c>
      <c r="Q170" s="60">
        <f t="shared" si="82"/>
        <v>0.0282</v>
      </c>
      <c r="R170" s="61">
        <v>1000</v>
      </c>
      <c r="S170" s="59">
        <v>0.69687</v>
      </c>
      <c r="T170" s="59">
        <v>9.801</v>
      </c>
      <c r="U170" s="62">
        <v>4e-6</v>
      </c>
      <c r="V170" s="63"/>
      <c r="W170" s="63">
        <f t="shared" si="83"/>
        <v>3.2e-6</v>
      </c>
      <c r="X170" s="64">
        <v>0.001147</v>
      </c>
      <c r="Y170" s="64">
        <v>1.85e-5</v>
      </c>
      <c r="Z170" s="65"/>
      <c r="AA170" s="66">
        <f t="shared" si="110"/>
        <v>0</v>
      </c>
      <c r="AB170" s="65">
        <f t="shared" si="84"/>
        <v>-2.03873598369011</v>
      </c>
      <c r="AC170" s="65">
        <f t="shared" si="85"/>
        <v>0</v>
      </c>
      <c r="AD170" s="65">
        <f t="shared" si="86"/>
        <v>0</v>
      </c>
      <c r="AI170" s="63">
        <f t="shared" si="87"/>
        <v>0</v>
      </c>
      <c r="AJ170" s="63"/>
      <c r="AK170" s="69" t="e">
        <f t="shared" si="101"/>
        <v>#DIV/0!</v>
      </c>
      <c r="AL170" s="69"/>
      <c r="AM170" s="69">
        <f t="shared" si="111"/>
        <v>0</v>
      </c>
      <c r="AN170" s="69" t="e">
        <f t="shared" si="88"/>
        <v>#DIV/0!</v>
      </c>
      <c r="AO170" s="65">
        <f t="shared" si="102"/>
        <v>0</v>
      </c>
      <c r="AP170" s="68"/>
      <c r="AQ170" s="68"/>
      <c r="AR170" s="68">
        <f t="shared" si="89"/>
        <v>0</v>
      </c>
      <c r="AS170" s="68">
        <f t="shared" si="90"/>
        <v>0</v>
      </c>
      <c r="AT170" s="71" t="e">
        <f t="shared" si="91"/>
        <v>#DIV/0!</v>
      </c>
      <c r="AU170" s="71"/>
      <c r="AV170" s="65"/>
      <c r="AW170" s="65" t="e">
        <f t="shared" si="103"/>
        <v>#DIV/0!</v>
      </c>
      <c r="AX170" s="65" t="e">
        <f t="shared" si="112"/>
        <v>#DIV/0!</v>
      </c>
      <c r="AY170" s="65" t="e">
        <f t="shared" si="104"/>
        <v>#DIV/0!</v>
      </c>
      <c r="AZ170" s="69" t="e">
        <f t="shared" si="113"/>
        <v>#DIV/0!</v>
      </c>
      <c r="BA170" s="69">
        <f t="shared" si="114"/>
        <v>0</v>
      </c>
      <c r="BB170" s="72" t="e">
        <f t="shared" si="92"/>
        <v>#DIV/0!</v>
      </c>
      <c r="BC170" s="72" t="e">
        <f t="shared" si="93"/>
        <v>#DIV/0!</v>
      </c>
      <c r="BD170" s="72" t="e">
        <f t="shared" si="94"/>
        <v>#DIV/0!</v>
      </c>
      <c r="BE170" s="72">
        <f t="shared" si="95"/>
        <v>0</v>
      </c>
      <c r="BF170" s="1" t="s">
        <v>150</v>
      </c>
      <c r="BG170" s="81"/>
      <c r="BH170" s="81"/>
    </row>
    <row r="171" ht="25" customHeight="1" spans="1:60">
      <c r="A171" s="80" t="s">
        <v>154</v>
      </c>
      <c r="B171" s="80" t="s">
        <v>201</v>
      </c>
      <c r="C171" s="55">
        <v>0.346971504519187</v>
      </c>
      <c r="D171" s="55">
        <v>3.35256836043831</v>
      </c>
      <c r="E171" s="55"/>
      <c r="F171" s="55">
        <v>2.24442544558445</v>
      </c>
      <c r="G171" s="56">
        <v>1</v>
      </c>
      <c r="H171" s="57">
        <f t="shared" si="108"/>
        <v>0.000185725163902457</v>
      </c>
      <c r="I171" s="57">
        <f t="shared" si="109"/>
        <v>0.000125</v>
      </c>
      <c r="J171" s="58">
        <f t="shared" si="96"/>
        <v>0.0287990983557215</v>
      </c>
      <c r="K171" s="58">
        <v>0</v>
      </c>
      <c r="L171" s="58">
        <f t="shared" si="97"/>
        <v>3.31911787782582</v>
      </c>
      <c r="M171" s="57">
        <f t="shared" si="98"/>
        <v>0.00240165781481168</v>
      </c>
      <c r="N171" s="57">
        <f t="shared" si="99"/>
        <v>0.0113408554416289</v>
      </c>
      <c r="O171" s="57">
        <f t="shared" si="100"/>
        <v>0.106077480448644</v>
      </c>
      <c r="P171" s="59">
        <v>0.0302</v>
      </c>
      <c r="Q171" s="60">
        <f t="shared" si="82"/>
        <v>0.0302</v>
      </c>
      <c r="R171" s="61">
        <v>1000</v>
      </c>
      <c r="S171" s="59">
        <v>1.1616</v>
      </c>
      <c r="T171" s="59">
        <v>9.801</v>
      </c>
      <c r="U171" s="62">
        <v>4e-6</v>
      </c>
      <c r="V171" s="63"/>
      <c r="W171" s="63">
        <f t="shared" si="83"/>
        <v>4e-6</v>
      </c>
      <c r="X171" s="64">
        <v>0.001147</v>
      </c>
      <c r="Y171" s="64">
        <v>1.85e-5</v>
      </c>
      <c r="Z171" s="65"/>
      <c r="AA171" s="66">
        <f t="shared" si="110"/>
        <v>0.00224442544558445</v>
      </c>
      <c r="AB171" s="65">
        <f t="shared" si="84"/>
        <v>4.09731014007687</v>
      </c>
      <c r="AC171" s="65">
        <f t="shared" si="85"/>
        <v>17.8943470098128</v>
      </c>
      <c r="AD171" s="65">
        <f t="shared" si="86"/>
        <v>6.53933829633019</v>
      </c>
      <c r="AI171" s="63">
        <f t="shared" si="87"/>
        <v>75.0208658419864</v>
      </c>
      <c r="AJ171" s="63"/>
      <c r="AK171" s="69">
        <f t="shared" si="101"/>
        <v>1661.27824218384</v>
      </c>
      <c r="AL171" s="69"/>
      <c r="AM171" s="69">
        <f t="shared" si="111"/>
        <v>0.0131780236981294</v>
      </c>
      <c r="AN171" s="69">
        <f t="shared" si="88"/>
        <v>7.10584393756592e-5</v>
      </c>
      <c r="AO171" s="65">
        <f t="shared" si="102"/>
        <v>0.0193488119681369</v>
      </c>
      <c r="AP171" s="68"/>
      <c r="AQ171" s="68"/>
      <c r="AR171" s="68">
        <f t="shared" si="89"/>
        <v>23.9344804045853</v>
      </c>
      <c r="AS171" s="68">
        <f t="shared" si="90"/>
        <v>33.8604209442396</v>
      </c>
      <c r="AT171" s="71">
        <f t="shared" si="91"/>
        <v>0.0176224929651635</v>
      </c>
      <c r="AU171" s="71"/>
      <c r="AV171" s="65"/>
      <c r="AW171" s="65">
        <f t="shared" si="103"/>
        <v>0.0483809614630032</v>
      </c>
      <c r="AX171" s="65">
        <f t="shared" si="112"/>
        <v>0.399926156550917</v>
      </c>
      <c r="AY171" s="65">
        <f t="shared" si="104"/>
        <v>27.1468652473512</v>
      </c>
      <c r="AZ171" s="69">
        <f t="shared" si="113"/>
        <v>0.000712745718219704</v>
      </c>
      <c r="BA171" s="69">
        <f t="shared" si="114"/>
        <v>2.8507673978336e-6</v>
      </c>
      <c r="BB171" s="72">
        <f t="shared" si="92"/>
        <v>22.3720638381583</v>
      </c>
      <c r="BC171" s="72">
        <f t="shared" si="93"/>
        <v>3.53618671649211</v>
      </c>
      <c r="BD171" s="72">
        <f t="shared" si="94"/>
        <v>0.107370411800219</v>
      </c>
      <c r="BE171" s="72">
        <f t="shared" si="95"/>
        <v>30.9730236024732</v>
      </c>
      <c r="BF171" s="1"/>
      <c r="BG171" s="81"/>
      <c r="BH171" s="81"/>
    </row>
    <row r="172" ht="25" customHeight="1" spans="1:60">
      <c r="A172" s="80" t="s">
        <v>161</v>
      </c>
      <c r="B172" s="80" t="s">
        <v>201</v>
      </c>
      <c r="C172" s="55">
        <v>0.284883047914437</v>
      </c>
      <c r="D172" s="55">
        <v>1.33566001486239</v>
      </c>
      <c r="E172" s="55"/>
      <c r="F172" s="55">
        <v>2.0470088526652</v>
      </c>
      <c r="G172" s="56">
        <v>0.1</v>
      </c>
      <c r="H172" s="57">
        <f t="shared" si="108"/>
        <v>0.000185725163902457</v>
      </c>
      <c r="I172" s="57">
        <f t="shared" si="109"/>
        <v>0.000125</v>
      </c>
      <c r="J172" s="58">
        <f t="shared" si="96"/>
        <v>0.0259336702803045</v>
      </c>
      <c r="K172" s="58">
        <v>0</v>
      </c>
      <c r="L172" s="58">
        <f t="shared" si="97"/>
        <v>2.23805042757989</v>
      </c>
      <c r="M172" s="57">
        <f t="shared" si="98"/>
        <v>0.00229360379376403</v>
      </c>
      <c r="N172" s="57">
        <f t="shared" si="99"/>
        <v>0.0153454056916813</v>
      </c>
      <c r="O172" s="57">
        <f t="shared" si="100"/>
        <v>0.0821101175959954</v>
      </c>
      <c r="P172" s="59">
        <v>0.0302</v>
      </c>
      <c r="Q172" s="60">
        <f t="shared" si="82"/>
        <v>0.0257</v>
      </c>
      <c r="R172" s="61">
        <v>1000</v>
      </c>
      <c r="S172" s="59">
        <v>0.11613</v>
      </c>
      <c r="T172" s="59">
        <v>9.801</v>
      </c>
      <c r="U172" s="62">
        <v>4e-6</v>
      </c>
      <c r="V172" s="63"/>
      <c r="W172" s="63">
        <f t="shared" si="83"/>
        <v>2.2e-6</v>
      </c>
      <c r="X172" s="64">
        <v>0.001147</v>
      </c>
      <c r="Y172" s="64">
        <v>1.85e-5</v>
      </c>
      <c r="Z172" s="65"/>
      <c r="AA172" s="66">
        <f t="shared" si="110"/>
        <v>0.0020470088526652</v>
      </c>
      <c r="AB172" s="65">
        <f t="shared" si="84"/>
        <v>2.09777527976654</v>
      </c>
      <c r="AC172" s="65">
        <f t="shared" si="85"/>
        <v>11.0021101286247</v>
      </c>
      <c r="AD172" s="65">
        <f t="shared" si="86"/>
        <v>5.43954882457774</v>
      </c>
      <c r="AI172" s="63">
        <f t="shared" si="87"/>
        <v>61.5963346842026</v>
      </c>
      <c r="AJ172" s="63"/>
      <c r="AK172" s="69">
        <f t="shared" si="101"/>
        <v>246.431818245124</v>
      </c>
      <c r="AL172" s="69"/>
      <c r="AM172" s="69">
        <f t="shared" si="111"/>
        <v>0.0108198958926443</v>
      </c>
      <c r="AN172" s="69">
        <f t="shared" si="88"/>
        <v>7.44060751463996e-5</v>
      </c>
      <c r="AO172" s="65">
        <f t="shared" si="102"/>
        <v>0.0168529568877997</v>
      </c>
      <c r="AP172" s="68"/>
      <c r="AQ172" s="68"/>
      <c r="AR172" s="68">
        <f t="shared" si="89"/>
        <v>20.8471076702082</v>
      </c>
      <c r="AS172" s="68">
        <f t="shared" si="90"/>
        <v>29.4926745536495</v>
      </c>
      <c r="AT172" s="71">
        <f t="shared" si="91"/>
        <v>0.0184527066363071</v>
      </c>
      <c r="AU172" s="71"/>
      <c r="AV172" s="65"/>
      <c r="AW172" s="65">
        <f t="shared" si="103"/>
        <v>0.0596977514088073</v>
      </c>
      <c r="AX172" s="65">
        <f t="shared" si="112"/>
        <v>0.282304718185974</v>
      </c>
      <c r="AY172" s="65">
        <f t="shared" si="104"/>
        <v>30.5504564045088</v>
      </c>
      <c r="AZ172" s="69">
        <f t="shared" si="113"/>
        <v>0.000551643375295449</v>
      </c>
      <c r="BA172" s="69">
        <f t="shared" si="114"/>
        <v>1.4579780660329e-6</v>
      </c>
      <c r="BB172" s="72">
        <f t="shared" si="92"/>
        <v>19.4862314015184</v>
      </c>
      <c r="BC172" s="72">
        <f t="shared" si="93"/>
        <v>5.00952860958368</v>
      </c>
      <c r="BD172" s="72">
        <f t="shared" si="94"/>
        <v>0.374555635479688</v>
      </c>
      <c r="BE172" s="72">
        <f t="shared" si="95"/>
        <v>21.8812077777801</v>
      </c>
      <c r="BF172" s="1"/>
      <c r="BG172" s="81"/>
      <c r="BH172" s="81"/>
    </row>
    <row r="173" ht="25" customHeight="1" spans="1:60">
      <c r="A173" s="80" t="s">
        <v>163</v>
      </c>
      <c r="B173" s="80" t="s">
        <v>201</v>
      </c>
      <c r="C173" s="55">
        <v>0.356139731595115</v>
      </c>
      <c r="D173" s="55">
        <v>3.18322739234805</v>
      </c>
      <c r="E173" s="55"/>
      <c r="F173" s="55">
        <v>2.06572978599415</v>
      </c>
      <c r="G173" s="56">
        <v>0.1</v>
      </c>
      <c r="H173" s="57">
        <f t="shared" si="108"/>
        <v>0.000185725163902457</v>
      </c>
      <c r="I173" s="57">
        <f t="shared" si="109"/>
        <v>0.000125</v>
      </c>
      <c r="J173" s="58">
        <f t="shared" si="96"/>
        <v>0.0321255779466569</v>
      </c>
      <c r="K173" s="58">
        <v>0</v>
      </c>
      <c r="L173" s="58">
        <f t="shared" si="97"/>
        <v>3.49757504949085</v>
      </c>
      <c r="M173" s="57">
        <f t="shared" si="98"/>
        <v>0.00230406800759919</v>
      </c>
      <c r="N173" s="57">
        <f t="shared" si="99"/>
        <v>0.00990872947441241</v>
      </c>
      <c r="O173" s="57">
        <f t="shared" si="100"/>
        <v>0.126580996033857</v>
      </c>
      <c r="P173" s="59">
        <v>0.0302</v>
      </c>
      <c r="Q173" s="60">
        <f t="shared" si="82"/>
        <v>0.0257</v>
      </c>
      <c r="R173" s="61">
        <v>1000</v>
      </c>
      <c r="S173" s="59">
        <v>0.11613</v>
      </c>
      <c r="T173" s="59">
        <v>9.801</v>
      </c>
      <c r="U173" s="62">
        <v>4e-6</v>
      </c>
      <c r="V173" s="63"/>
      <c r="W173" s="63">
        <f t="shared" si="83"/>
        <v>2.2e-6</v>
      </c>
      <c r="X173" s="64">
        <v>0.001147</v>
      </c>
      <c r="Y173" s="64">
        <v>1.85e-5</v>
      </c>
      <c r="Z173" s="65"/>
      <c r="AA173" s="66">
        <f t="shared" si="110"/>
        <v>0.00206572978599415</v>
      </c>
      <c r="AB173" s="65">
        <f t="shared" si="84"/>
        <v>4.42586689197964</v>
      </c>
      <c r="AC173" s="65">
        <f t="shared" si="85"/>
        <v>17.3515157394854</v>
      </c>
      <c r="AD173" s="65">
        <f t="shared" si="86"/>
        <v>5.53949865128933</v>
      </c>
      <c r="AI173" s="63">
        <f t="shared" si="87"/>
        <v>77.0031852097546</v>
      </c>
      <c r="AJ173" s="63"/>
      <c r="AK173" s="69">
        <f t="shared" si="101"/>
        <v>157.684549453387</v>
      </c>
      <c r="AL173" s="69"/>
      <c r="AM173" s="69">
        <f t="shared" si="111"/>
        <v>0.0135262341768078</v>
      </c>
      <c r="AN173" s="69">
        <f t="shared" si="88"/>
        <v>7.40681506240337e-5</v>
      </c>
      <c r="AO173" s="65">
        <f t="shared" si="102"/>
        <v>0.0170846779267655</v>
      </c>
      <c r="AP173" s="68"/>
      <c r="AQ173" s="68"/>
      <c r="AR173" s="68">
        <f t="shared" si="89"/>
        <v>21.133746595409</v>
      </c>
      <c r="AS173" s="68">
        <f t="shared" si="90"/>
        <v>29.8981863718397</v>
      </c>
      <c r="AT173" s="71">
        <f t="shared" si="91"/>
        <v>0.0183689013547604</v>
      </c>
      <c r="AU173" s="71"/>
      <c r="AV173" s="65"/>
      <c r="AW173" s="65">
        <f t="shared" si="103"/>
        <v>0.0389007446705805</v>
      </c>
      <c r="AX173" s="65">
        <f t="shared" si="112"/>
        <v>0.439186397881123</v>
      </c>
      <c r="AY173" s="65">
        <f t="shared" si="104"/>
        <v>20.0896067408428</v>
      </c>
      <c r="AZ173" s="69">
        <f t="shared" si="113"/>
        <v>0.000850423711482208</v>
      </c>
      <c r="BA173" s="69">
        <f t="shared" si="114"/>
        <v>2.34163932457212e-6</v>
      </c>
      <c r="BB173" s="72">
        <f t="shared" si="92"/>
        <v>19.7541588528227</v>
      </c>
      <c r="BC173" s="72">
        <f t="shared" si="93"/>
        <v>3.22007596135955</v>
      </c>
      <c r="BD173" s="72">
        <f t="shared" si="94"/>
        <v>0.225974650070406</v>
      </c>
      <c r="BE173" s="72">
        <f t="shared" si="95"/>
        <v>28.430513042064</v>
      </c>
      <c r="BF173" s="1"/>
      <c r="BG173" s="81"/>
      <c r="BH173" s="81"/>
    </row>
    <row r="174" ht="25" customHeight="1" spans="1:60">
      <c r="A174" s="85">
        <v>12</v>
      </c>
      <c r="B174" s="85" t="s">
        <v>205</v>
      </c>
      <c r="C174" s="55">
        <v>0.129183071561122</v>
      </c>
      <c r="D174" s="55">
        <v>-7.57144284928918</v>
      </c>
      <c r="E174" s="55"/>
      <c r="F174" s="55">
        <v>1.32624627183222</v>
      </c>
      <c r="G174" s="56">
        <v>1</v>
      </c>
      <c r="H174" s="57">
        <f t="shared" ref="H174:H200" si="115">0.001/11.95261</f>
        <v>8.36637353682585e-5</v>
      </c>
      <c r="I174" s="57">
        <f t="shared" ref="I174:I200" si="116">1/3000</f>
        <v>0.000333333333333333</v>
      </c>
      <c r="J174" s="58">
        <f t="shared" si="96"/>
        <v>0.00950871555243288</v>
      </c>
      <c r="K174" s="58">
        <v>0</v>
      </c>
      <c r="L174" s="58">
        <f t="shared" si="97"/>
        <v>0.234753402252584</v>
      </c>
      <c r="M174" s="57">
        <f t="shared" si="98"/>
        <v>0.00083164336389552</v>
      </c>
      <c r="N174" s="57">
        <f t="shared" si="99"/>
        <v>0.0236277666991322</v>
      </c>
      <c r="O174" s="57">
        <f t="shared" si="100"/>
        <v>0.0155586901623583</v>
      </c>
      <c r="P174" s="59">
        <v>0.0302</v>
      </c>
      <c r="Q174" s="60">
        <f t="shared" si="82"/>
        <v>0.0302</v>
      </c>
      <c r="R174" s="61">
        <v>1000</v>
      </c>
      <c r="S174" s="59">
        <v>1.1616</v>
      </c>
      <c r="T174" s="59">
        <v>9.801</v>
      </c>
      <c r="U174" s="62">
        <v>4e-6</v>
      </c>
      <c r="V174" s="63"/>
      <c r="W174" s="63">
        <f t="shared" si="83"/>
        <v>4e-6</v>
      </c>
      <c r="X174" s="64">
        <v>0.001147</v>
      </c>
      <c r="Y174" s="64">
        <v>1.85e-5</v>
      </c>
      <c r="Z174" s="65">
        <f t="shared" ref="Z174:Z191" si="117">AD174*(1+D174/9.801)-7.5*AA174+18*AM174</f>
        <v>0.597789780821188</v>
      </c>
      <c r="AA174" s="66">
        <f t="shared" si="110"/>
        <v>0.00132624627183222</v>
      </c>
      <c r="AB174" s="65">
        <f t="shared" si="84"/>
        <v>-1.18816177482335</v>
      </c>
      <c r="AC174" s="65">
        <f t="shared" si="85"/>
        <v>1.46574506865045</v>
      </c>
      <c r="AD174" s="65">
        <f t="shared" si="86"/>
        <v>2.28334633509303</v>
      </c>
      <c r="AI174" s="63">
        <f t="shared" si="87"/>
        <v>27.9314749321345</v>
      </c>
      <c r="AJ174" s="63"/>
      <c r="AK174" s="69">
        <f t="shared" si="101"/>
        <v>11984.4686238862</v>
      </c>
      <c r="AL174" s="69"/>
      <c r="AM174" s="69">
        <f t="shared" si="111"/>
        <v>0.00490639016823202</v>
      </c>
      <c r="AN174" s="69">
        <f t="shared" si="88"/>
        <v>9.24391979975054e-5</v>
      </c>
      <c r="AO174" s="65">
        <f t="shared" si="102"/>
        <v>0.00878886498039307</v>
      </c>
      <c r="AP174" s="68"/>
      <c r="AQ174" s="68"/>
      <c r="AR174" s="68">
        <f t="shared" si="89"/>
        <v>10.8718259807462</v>
      </c>
      <c r="AS174" s="68">
        <f t="shared" si="90"/>
        <v>15.3805137156879</v>
      </c>
      <c r="AT174" s="71">
        <f t="shared" si="91"/>
        <v>0.0229249211033813</v>
      </c>
      <c r="AU174" s="71"/>
      <c r="AV174" s="65"/>
      <c r="AW174" s="65">
        <f t="shared" si="103"/>
        <v>0.121867775813324</v>
      </c>
      <c r="AX174" s="65">
        <f t="shared" si="112"/>
        <v>0.0721180387656849</v>
      </c>
      <c r="AY174" s="65">
        <f t="shared" si="104"/>
        <v>40.4066708322263</v>
      </c>
      <c r="AZ174" s="69">
        <f t="shared" si="113"/>
        <v>0.000217510247673845</v>
      </c>
      <c r="BA174" s="69">
        <f t="shared" si="114"/>
        <v>8.15346769495046e-8</v>
      </c>
      <c r="BB174" s="72">
        <f t="shared" si="92"/>
        <v>10.1621251335795</v>
      </c>
      <c r="BC174" s="72">
        <f t="shared" si="93"/>
        <v>19.6097063450095</v>
      </c>
      <c r="BD174" s="72">
        <f t="shared" si="94"/>
        <v>7.11809137411605</v>
      </c>
      <c r="BE174" s="72">
        <f t="shared" si="95"/>
        <v>6.03243773883652</v>
      </c>
      <c r="BF174" s="1"/>
      <c r="BG174" s="81"/>
      <c r="BH174" s="81"/>
    </row>
    <row r="175" ht="25" customHeight="1" spans="1:60">
      <c r="A175" s="85">
        <v>13</v>
      </c>
      <c r="B175" s="85" t="s">
        <v>205</v>
      </c>
      <c r="C175" s="55">
        <v>0.155972329643723</v>
      </c>
      <c r="D175" s="55">
        <v>-8.83349254780775</v>
      </c>
      <c r="E175" s="55"/>
      <c r="F175" s="55">
        <v>1.33352465454805</v>
      </c>
      <c r="G175" s="56">
        <v>1</v>
      </c>
      <c r="H175" s="57">
        <f t="shared" si="115"/>
        <v>8.36637353682585e-5</v>
      </c>
      <c r="I175" s="57">
        <f t="shared" si="116"/>
        <v>0.000333333333333333</v>
      </c>
      <c r="J175" s="58">
        <f t="shared" si="96"/>
        <v>0.0114096426482957</v>
      </c>
      <c r="K175" s="58">
        <v>0</v>
      </c>
      <c r="L175" s="58">
        <f t="shared" si="97"/>
        <v>0.34200290058014</v>
      </c>
      <c r="M175" s="57">
        <f t="shared" si="98"/>
        <v>0.000833922253136187</v>
      </c>
      <c r="N175" s="57">
        <f t="shared" si="99"/>
        <v>0.0162904901603801</v>
      </c>
      <c r="O175" s="57">
        <f t="shared" si="100"/>
        <v>0.0224877012402565</v>
      </c>
      <c r="P175" s="59">
        <v>0.0302</v>
      </c>
      <c r="Q175" s="60">
        <f t="shared" si="82"/>
        <v>0.0302</v>
      </c>
      <c r="R175" s="61">
        <v>1000</v>
      </c>
      <c r="S175" s="59">
        <v>1.1616</v>
      </c>
      <c r="T175" s="59">
        <v>9.801</v>
      </c>
      <c r="U175" s="62">
        <v>4e-6</v>
      </c>
      <c r="V175" s="63"/>
      <c r="W175" s="63">
        <f t="shared" si="83"/>
        <v>4e-6</v>
      </c>
      <c r="X175" s="64">
        <v>0.001147</v>
      </c>
      <c r="Y175" s="64">
        <v>1.85e-5</v>
      </c>
      <c r="Z175" s="65">
        <f t="shared" si="117"/>
        <v>0.324509568501262</v>
      </c>
      <c r="AA175" s="66">
        <f t="shared" si="110"/>
        <v>0.00133352465454805</v>
      </c>
      <c r="AB175" s="65">
        <f t="shared" si="84"/>
        <v>-0.798808990087146</v>
      </c>
      <c r="AC175" s="65">
        <f t="shared" si="85"/>
        <v>2.14842016517725</v>
      </c>
      <c r="AD175" s="65">
        <f t="shared" si="86"/>
        <v>2.30847691788367</v>
      </c>
      <c r="AI175" s="63">
        <f t="shared" si="87"/>
        <v>33.7237469499942</v>
      </c>
      <c r="AJ175" s="63"/>
      <c r="AK175" s="69">
        <f t="shared" si="101"/>
        <v>8221.19364369178</v>
      </c>
      <c r="AL175" s="69"/>
      <c r="AM175" s="69">
        <f t="shared" si="111"/>
        <v>0.00592384973845531</v>
      </c>
      <c r="AN175" s="69">
        <f t="shared" si="88"/>
        <v>9.21865860868146e-5</v>
      </c>
      <c r="AO175" s="65">
        <f t="shared" si="102"/>
        <v>0.00886131352402156</v>
      </c>
      <c r="AP175" s="68"/>
      <c r="AQ175" s="68"/>
      <c r="AR175" s="68">
        <f t="shared" si="89"/>
        <v>10.9614448292147</v>
      </c>
      <c r="AS175" s="68">
        <f t="shared" si="90"/>
        <v>15.5072986670377</v>
      </c>
      <c r="AT175" s="71">
        <f t="shared" si="91"/>
        <v>0.02286227334953</v>
      </c>
      <c r="AU175" s="71"/>
      <c r="AV175" s="65"/>
      <c r="AW175" s="65">
        <f t="shared" si="103"/>
        <v>0.0845198517793067</v>
      </c>
      <c r="AX175" s="65">
        <f t="shared" si="112"/>
        <v>0.104842984665422</v>
      </c>
      <c r="AY175" s="65">
        <f t="shared" si="104"/>
        <v>28.1773265366131</v>
      </c>
      <c r="AZ175" s="69">
        <f t="shared" si="113"/>
        <v>0.000314483828425218</v>
      </c>
      <c r="BA175" s="69">
        <f t="shared" si="114"/>
        <v>1.20825021157823e-7</v>
      </c>
      <c r="BB175" s="72">
        <f t="shared" si="92"/>
        <v>10.2458937621499</v>
      </c>
      <c r="BC175" s="72">
        <f t="shared" si="93"/>
        <v>13.4888716387289</v>
      </c>
      <c r="BD175" s="72">
        <f t="shared" si="94"/>
        <v>4.83287502720681</v>
      </c>
      <c r="BE175" s="72">
        <f t="shared" si="95"/>
        <v>6.7653740009446</v>
      </c>
      <c r="BF175" s="1"/>
      <c r="BG175" s="81"/>
      <c r="BH175" s="81"/>
    </row>
    <row r="176" ht="25" customHeight="1" spans="1:60">
      <c r="A176" s="85">
        <v>14</v>
      </c>
      <c r="B176" s="85" t="s">
        <v>205</v>
      </c>
      <c r="C176" s="55">
        <v>0.152545020932436</v>
      </c>
      <c r="D176" s="55">
        <v>-7.89006587958481</v>
      </c>
      <c r="E176" s="55"/>
      <c r="F176" s="55">
        <v>1.34060010780647</v>
      </c>
      <c r="G176" s="56">
        <v>1</v>
      </c>
      <c r="H176" s="57">
        <f t="shared" si="115"/>
        <v>8.36637353682585e-5</v>
      </c>
      <c r="I176" s="57">
        <f t="shared" si="116"/>
        <v>0.000333333333333333</v>
      </c>
      <c r="J176" s="58">
        <f t="shared" si="96"/>
        <v>0.0110922858534976</v>
      </c>
      <c r="K176" s="58">
        <v>0</v>
      </c>
      <c r="L176" s="58">
        <f t="shared" si="97"/>
        <v>0.326944933852093</v>
      </c>
      <c r="M176" s="57">
        <f t="shared" si="98"/>
        <v>0.000836131650615014</v>
      </c>
      <c r="N176" s="57">
        <f t="shared" si="99"/>
        <v>0.0171142043010143</v>
      </c>
      <c r="O176" s="57">
        <f t="shared" si="100"/>
        <v>0.0213332818900151</v>
      </c>
      <c r="P176" s="59">
        <v>0.0302</v>
      </c>
      <c r="Q176" s="60">
        <f t="shared" si="82"/>
        <v>0.0302</v>
      </c>
      <c r="R176" s="61">
        <v>1000</v>
      </c>
      <c r="S176" s="59">
        <v>1.1616</v>
      </c>
      <c r="T176" s="59">
        <v>9.801</v>
      </c>
      <c r="U176" s="62">
        <v>4e-6</v>
      </c>
      <c r="V176" s="63"/>
      <c r="W176" s="63">
        <f t="shared" si="83"/>
        <v>4e-6</v>
      </c>
      <c r="X176" s="64">
        <v>0.001147</v>
      </c>
      <c r="Y176" s="64">
        <v>1.85e-5</v>
      </c>
      <c r="Z176" s="65">
        <f t="shared" si="117"/>
        <v>0.54911218190921</v>
      </c>
      <c r="AA176" s="66">
        <f t="shared" si="110"/>
        <v>0.00134060010780647</v>
      </c>
      <c r="AB176" s="65">
        <f t="shared" si="84"/>
        <v>-0.852702170679035</v>
      </c>
      <c r="AC176" s="65">
        <f t="shared" si="85"/>
        <v>2.06594319667637</v>
      </c>
      <c r="AD176" s="65">
        <f t="shared" si="86"/>
        <v>2.33303867143657</v>
      </c>
      <c r="AI176" s="63">
        <f t="shared" si="87"/>
        <v>32.9827072286348</v>
      </c>
      <c r="AJ176" s="63"/>
      <c r="AK176" s="69">
        <f t="shared" si="101"/>
        <v>8594.7633251459</v>
      </c>
      <c r="AL176" s="69"/>
      <c r="AM176" s="69">
        <f t="shared" si="111"/>
        <v>0.00579368009965245</v>
      </c>
      <c r="AN176" s="69">
        <f t="shared" si="88"/>
        <v>9.1942991898349e-5</v>
      </c>
      <c r="AO176" s="65">
        <f t="shared" si="102"/>
        <v>0.00893193190590882</v>
      </c>
      <c r="AP176" s="68"/>
      <c r="AQ176" s="68"/>
      <c r="AR176" s="68">
        <f t="shared" si="89"/>
        <v>11.0487997676092</v>
      </c>
      <c r="AS176" s="68">
        <f t="shared" si="90"/>
        <v>15.6308808353404</v>
      </c>
      <c r="AT176" s="71">
        <f t="shared" si="91"/>
        <v>0.0228018619907906</v>
      </c>
      <c r="AU176" s="71"/>
      <c r="AV176" s="65"/>
      <c r="AW176" s="65">
        <f t="shared" si="103"/>
        <v>0.0893005578791183</v>
      </c>
      <c r="AX176" s="65">
        <f t="shared" si="112"/>
        <v>0.100021009028852</v>
      </c>
      <c r="AY176" s="65">
        <f t="shared" si="104"/>
        <v>29.929084379981</v>
      </c>
      <c r="AZ176" s="69">
        <f t="shared" si="113"/>
        <v>0.000298436523901253</v>
      </c>
      <c r="BA176" s="69">
        <f t="shared" si="114"/>
        <v>1.17422801394432e-7</v>
      </c>
      <c r="BB176" s="72">
        <f t="shared" si="92"/>
        <v>10.3275462662071</v>
      </c>
      <c r="BC176" s="72">
        <f t="shared" si="93"/>
        <v>14.1391651224509</v>
      </c>
      <c r="BD176" s="72">
        <f t="shared" si="94"/>
        <v>5.00203620010066</v>
      </c>
      <c r="BE176" s="72">
        <f t="shared" si="95"/>
        <v>6.73202053954951</v>
      </c>
      <c r="BF176" s="1"/>
      <c r="BG176" s="81"/>
      <c r="BH176" s="81"/>
    </row>
    <row r="177" ht="25" customHeight="1" spans="1:60">
      <c r="A177" s="85">
        <v>15</v>
      </c>
      <c r="B177" s="85" t="s">
        <v>205</v>
      </c>
      <c r="C177" s="55">
        <v>0.149782007149404</v>
      </c>
      <c r="D177" s="55">
        <v>-7.01835498544799</v>
      </c>
      <c r="E177" s="55"/>
      <c r="F177" s="55">
        <v>1.34672573284728</v>
      </c>
      <c r="G177" s="56">
        <v>1</v>
      </c>
      <c r="H177" s="57">
        <f t="shared" si="115"/>
        <v>8.36637353682585e-5</v>
      </c>
      <c r="I177" s="57">
        <f t="shared" si="116"/>
        <v>0.000333333333333333</v>
      </c>
      <c r="J177" s="58">
        <f t="shared" si="96"/>
        <v>0.0108353372738866</v>
      </c>
      <c r="K177" s="58">
        <v>0</v>
      </c>
      <c r="L177" s="58">
        <f t="shared" si="97"/>
        <v>0.315048933971806</v>
      </c>
      <c r="M177" s="57">
        <f t="shared" si="98"/>
        <v>0.000838039748138791</v>
      </c>
      <c r="N177" s="57">
        <f t="shared" si="99"/>
        <v>0.0178263955305546</v>
      </c>
      <c r="O177" s="57">
        <f t="shared" si="100"/>
        <v>0.0204216129163307</v>
      </c>
      <c r="P177" s="59">
        <v>0.0302</v>
      </c>
      <c r="Q177" s="60">
        <f t="shared" si="82"/>
        <v>0.0302</v>
      </c>
      <c r="R177" s="61">
        <v>1000</v>
      </c>
      <c r="S177" s="59">
        <v>1.1616</v>
      </c>
      <c r="T177" s="59">
        <v>9.801</v>
      </c>
      <c r="U177" s="62">
        <v>4e-6</v>
      </c>
      <c r="V177" s="63"/>
      <c r="W177" s="63">
        <f t="shared" si="83"/>
        <v>4e-6</v>
      </c>
      <c r="X177" s="64">
        <v>0.001147</v>
      </c>
      <c r="Y177" s="64">
        <v>1.85e-5</v>
      </c>
      <c r="Z177" s="65">
        <f t="shared" si="117"/>
        <v>0.760747261456383</v>
      </c>
      <c r="AA177" s="66">
        <f t="shared" si="110"/>
        <v>0.00134672573284728</v>
      </c>
      <c r="AB177" s="65">
        <f t="shared" si="84"/>
        <v>-0.895277794816304</v>
      </c>
      <c r="AC177" s="65">
        <f t="shared" si="85"/>
        <v>2.00088212001439</v>
      </c>
      <c r="AD177" s="65">
        <f t="shared" si="86"/>
        <v>2.35440816230826</v>
      </c>
      <c r="AI177" s="63">
        <f t="shared" si="87"/>
        <v>32.3852988431144</v>
      </c>
      <c r="AJ177" s="63"/>
      <c r="AK177" s="69">
        <f t="shared" si="101"/>
        <v>8914.78150896826</v>
      </c>
      <c r="AL177" s="69"/>
      <c r="AM177" s="69">
        <f t="shared" si="111"/>
        <v>0.00568874047021081</v>
      </c>
      <c r="AN177" s="69">
        <f t="shared" si="88"/>
        <v>9.17336507596267e-5</v>
      </c>
      <c r="AO177" s="65">
        <f t="shared" si="102"/>
        <v>0.00899322100947417</v>
      </c>
      <c r="AP177" s="68"/>
      <c r="AQ177" s="68"/>
      <c r="AR177" s="68">
        <f t="shared" si="89"/>
        <v>11.1246143887195</v>
      </c>
      <c r="AS177" s="68">
        <f t="shared" si="90"/>
        <v>15.7381367665798</v>
      </c>
      <c r="AT177" s="71">
        <f t="shared" si="91"/>
        <v>0.0227499453883874</v>
      </c>
      <c r="AU177" s="71"/>
      <c r="AV177" s="65"/>
      <c r="AW177" s="65">
        <f t="shared" si="103"/>
        <v>0.0934739877571046</v>
      </c>
      <c r="AX177" s="65">
        <f t="shared" si="112"/>
        <v>0.0962109483639809</v>
      </c>
      <c r="AY177" s="65">
        <f t="shared" si="104"/>
        <v>31.4709561660861</v>
      </c>
      <c r="AZ177" s="69">
        <f t="shared" si="113"/>
        <v>0.000285762560311577</v>
      </c>
      <c r="BA177" s="69">
        <f t="shared" si="114"/>
        <v>1.14766564518766e-7</v>
      </c>
      <c r="BB177" s="72">
        <f t="shared" si="92"/>
        <v>10.3984117922045</v>
      </c>
      <c r="BC177" s="72">
        <f t="shared" si="93"/>
        <v>14.6990918021399</v>
      </c>
      <c r="BD177" s="72">
        <f t="shared" si="94"/>
        <v>5.14332332346968</v>
      </c>
      <c r="BE177" s="72">
        <f t="shared" si="95"/>
        <v>6.70969844463091</v>
      </c>
      <c r="BF177" s="1"/>
      <c r="BG177" s="81"/>
      <c r="BH177" s="81"/>
    </row>
    <row r="178" ht="25" customHeight="1" spans="1:60">
      <c r="A178" s="85">
        <v>16</v>
      </c>
      <c r="B178" s="85" t="s">
        <v>205</v>
      </c>
      <c r="C178" s="55">
        <v>0.167091710704399</v>
      </c>
      <c r="D178" s="55">
        <v>-9.21100308592932</v>
      </c>
      <c r="E178" s="55"/>
      <c r="F178" s="55">
        <v>1.37078087352064</v>
      </c>
      <c r="G178" s="56">
        <v>1</v>
      </c>
      <c r="H178" s="57">
        <f t="shared" si="115"/>
        <v>8.36637353682585e-5</v>
      </c>
      <c r="I178" s="57">
        <f t="shared" si="116"/>
        <v>0.000333333333333333</v>
      </c>
      <c r="J178" s="58">
        <f t="shared" si="96"/>
        <v>0.0118480300357497</v>
      </c>
      <c r="K178" s="58">
        <v>0</v>
      </c>
      <c r="L178" s="58">
        <f t="shared" si="97"/>
        <v>0.391311177253603</v>
      </c>
      <c r="M178" s="57">
        <f t="shared" si="98"/>
        <v>0.000845491131215134</v>
      </c>
      <c r="N178" s="57">
        <f t="shared" si="99"/>
        <v>0.0145608048181162</v>
      </c>
      <c r="O178" s="57">
        <f t="shared" si="100"/>
        <v>0.0247219066147509</v>
      </c>
      <c r="P178" s="59">
        <v>0.0302</v>
      </c>
      <c r="Q178" s="60">
        <f t="shared" si="82"/>
        <v>0.0302</v>
      </c>
      <c r="R178" s="61">
        <v>1000</v>
      </c>
      <c r="S178" s="59">
        <v>1.1616</v>
      </c>
      <c r="T178" s="59">
        <v>9.801</v>
      </c>
      <c r="U178" s="62">
        <v>4e-6</v>
      </c>
      <c r="V178" s="63"/>
      <c r="W178" s="63">
        <f t="shared" si="83"/>
        <v>4e-6</v>
      </c>
      <c r="X178" s="64">
        <v>0.001147</v>
      </c>
      <c r="Y178" s="64">
        <v>1.85e-5</v>
      </c>
      <c r="Z178" s="65">
        <f t="shared" si="117"/>
        <v>0.250788254191562</v>
      </c>
      <c r="AA178" s="66">
        <f t="shared" si="110"/>
        <v>0.00137078087352064</v>
      </c>
      <c r="AB178" s="65">
        <f t="shared" si="84"/>
        <v>-0.615716626599258</v>
      </c>
      <c r="AC178" s="65">
        <f t="shared" si="85"/>
        <v>2.53455021287435</v>
      </c>
      <c r="AD178" s="65">
        <f t="shared" si="86"/>
        <v>2.43926795121342</v>
      </c>
      <c r="AI178" s="63">
        <f t="shared" si="87"/>
        <v>36.1279374495998</v>
      </c>
      <c r="AJ178" s="63"/>
      <c r="AK178" s="69">
        <f t="shared" si="101"/>
        <v>7163.41620207471</v>
      </c>
      <c r="AL178" s="69"/>
      <c r="AM178" s="69">
        <f t="shared" si="111"/>
        <v>0.00634616530390548</v>
      </c>
      <c r="AN178" s="69">
        <f t="shared" si="88"/>
        <v>9.09251945292e-5</v>
      </c>
      <c r="AO178" s="65">
        <f t="shared" si="102"/>
        <v>0.00923524843270582</v>
      </c>
      <c r="AP178" s="68"/>
      <c r="AQ178" s="68"/>
      <c r="AR178" s="68">
        <f t="shared" si="89"/>
        <v>11.4240023112571</v>
      </c>
      <c r="AS178" s="68">
        <f t="shared" si="90"/>
        <v>16.1616847572352</v>
      </c>
      <c r="AT178" s="71">
        <f t="shared" si="91"/>
        <v>0.0225494482432416</v>
      </c>
      <c r="AU178" s="71"/>
      <c r="AV178" s="65"/>
      <c r="AW178" s="65">
        <f t="shared" si="103"/>
        <v>0.0778176313020156</v>
      </c>
      <c r="AX178" s="65">
        <f t="shared" si="112"/>
        <v>0.118678097472065</v>
      </c>
      <c r="AY178" s="65">
        <f t="shared" si="104"/>
        <v>26.667730152871</v>
      </c>
      <c r="AZ178" s="69">
        <f t="shared" si="113"/>
        <v>0.000346308005209493</v>
      </c>
      <c r="BA178" s="69">
        <f t="shared" si="114"/>
        <v>1.50616493553e-7</v>
      </c>
      <c r="BB178" s="72">
        <f t="shared" si="92"/>
        <v>10.6782560003161</v>
      </c>
      <c r="BC178" s="72">
        <f t="shared" si="93"/>
        <v>11.9163821505142</v>
      </c>
      <c r="BD178" s="72">
        <f t="shared" si="94"/>
        <v>3.99339655855338</v>
      </c>
      <c r="BE178" s="72">
        <f t="shared" si="95"/>
        <v>7.41308611530119</v>
      </c>
      <c r="BF178" s="1"/>
      <c r="BG178" s="81"/>
      <c r="BH178" s="81"/>
    </row>
    <row r="179" ht="25" customHeight="1" spans="1:60">
      <c r="A179" s="85">
        <v>17</v>
      </c>
      <c r="B179" s="85" t="s">
        <v>205</v>
      </c>
      <c r="C179" s="55">
        <v>0.216103289001669</v>
      </c>
      <c r="D179" s="55" t="s">
        <v>19</v>
      </c>
      <c r="E179" s="55"/>
      <c r="F179" s="55">
        <v>1.09341072557482</v>
      </c>
      <c r="G179" s="56">
        <v>1</v>
      </c>
      <c r="H179" s="57">
        <f t="shared" si="115"/>
        <v>8.36637353682585e-5</v>
      </c>
      <c r="I179" s="57">
        <f t="shared" si="116"/>
        <v>0.000333333333333333</v>
      </c>
      <c r="J179" s="58">
        <f t="shared" si="96"/>
        <v>0.0198317313168156</v>
      </c>
      <c r="K179" s="58">
        <v>0</v>
      </c>
      <c r="L179" s="58">
        <f t="shared" si="97"/>
        <v>0.672442889444709</v>
      </c>
      <c r="M179" s="57">
        <f t="shared" si="98"/>
        <v>0.00075512126951459</v>
      </c>
      <c r="N179" s="57">
        <f t="shared" si="99"/>
        <v>0.00707351509627267</v>
      </c>
      <c r="O179" s="57">
        <f t="shared" si="100"/>
        <v>0.0589234522579395</v>
      </c>
      <c r="P179" s="59">
        <v>0.0302</v>
      </c>
      <c r="Q179" s="60">
        <f t="shared" si="82"/>
        <v>0.0302</v>
      </c>
      <c r="R179" s="61">
        <v>1000</v>
      </c>
      <c r="S179" s="59">
        <v>1.1616</v>
      </c>
      <c r="T179" s="59">
        <v>9.801</v>
      </c>
      <c r="U179" s="62">
        <v>4e-6</v>
      </c>
      <c r="V179" s="63"/>
      <c r="W179" s="63">
        <f t="shared" si="83"/>
        <v>4e-6</v>
      </c>
      <c r="X179" s="64">
        <v>0.001147</v>
      </c>
      <c r="Y179" s="64">
        <v>1.85e-5</v>
      </c>
      <c r="Z179" s="65" t="e">
        <f t="shared" si="117"/>
        <v>#VALUE!</v>
      </c>
      <c r="AA179" s="66">
        <f t="shared" si="110"/>
        <v>0.00109341072557482</v>
      </c>
      <c r="AB179" s="65">
        <f t="shared" si="84"/>
        <v>0.34152046469617</v>
      </c>
      <c r="AC179" s="65">
        <f t="shared" si="85"/>
        <v>3.38165373458118</v>
      </c>
      <c r="AD179" s="65">
        <f t="shared" si="86"/>
        <v>1.55199421087085</v>
      </c>
      <c r="AI179" s="63">
        <f t="shared" si="87"/>
        <v>46.7250354598203</v>
      </c>
      <c r="AJ179" s="63"/>
      <c r="AK179" s="69">
        <f t="shared" si="101"/>
        <v>4282.59733330896</v>
      </c>
      <c r="AL179" s="69"/>
      <c r="AM179" s="69">
        <f t="shared" si="111"/>
        <v>0.00820763153923557</v>
      </c>
      <c r="AN179" s="69">
        <f t="shared" si="88"/>
        <v>0.000101806754334794</v>
      </c>
      <c r="AO179" s="65">
        <f t="shared" si="102"/>
        <v>0.00657917628279183</v>
      </c>
      <c r="AP179" s="68"/>
      <c r="AQ179" s="68"/>
      <c r="AR179" s="68">
        <f t="shared" si="89"/>
        <v>8.13844106181349</v>
      </c>
      <c r="AS179" s="68">
        <f t="shared" si="90"/>
        <v>11.5135584948857</v>
      </c>
      <c r="AT179" s="71">
        <f t="shared" si="91"/>
        <v>0.0252480750750289</v>
      </c>
      <c r="AU179" s="71"/>
      <c r="AV179" s="65"/>
      <c r="AW179" s="65">
        <f t="shared" si="103"/>
        <v>0.0296002685820563</v>
      </c>
      <c r="AX179" s="65">
        <f t="shared" si="112"/>
        <v>0.222267452221029</v>
      </c>
      <c r="AY179" s="65">
        <f t="shared" si="104"/>
        <v>8.09131278687894</v>
      </c>
      <c r="AZ179" s="69">
        <f t="shared" si="113"/>
        <v>0.000813116048790101</v>
      </c>
      <c r="BA179" s="69">
        <f t="shared" si="114"/>
        <v>1.27859015516281e-7</v>
      </c>
      <c r="BB179" s="72">
        <f t="shared" si="92"/>
        <v>7.60717257697805</v>
      </c>
      <c r="BC179" s="72">
        <f t="shared" si="93"/>
        <v>6.36266600548767</v>
      </c>
      <c r="BD179" s="72">
        <f t="shared" si="94"/>
        <v>3.51780889232044</v>
      </c>
      <c r="BE179" s="72">
        <f t="shared" si="95"/>
        <v>6.48564215632288</v>
      </c>
      <c r="BF179" s="1"/>
      <c r="BG179" s="81"/>
      <c r="BH179" s="81"/>
    </row>
    <row r="180" ht="25" customHeight="1" spans="1:60">
      <c r="A180" s="85">
        <v>18</v>
      </c>
      <c r="B180" s="85" t="s">
        <v>205</v>
      </c>
      <c r="C180" s="55">
        <v>0.295617121278977</v>
      </c>
      <c r="D180" s="55">
        <v>-20.7263391576132</v>
      </c>
      <c r="E180" s="55"/>
      <c r="F180" s="55">
        <v>1.1318119595143</v>
      </c>
      <c r="G180" s="56">
        <v>1</v>
      </c>
      <c r="H180" s="57">
        <f t="shared" si="115"/>
        <v>8.36637353682585e-5</v>
      </c>
      <c r="I180" s="57">
        <f t="shared" si="116"/>
        <v>0.000333333333333333</v>
      </c>
      <c r="J180" s="58">
        <f t="shared" si="96"/>
        <v>0.0260723723610648</v>
      </c>
      <c r="K180" s="58">
        <v>0</v>
      </c>
      <c r="L180" s="58">
        <f t="shared" si="97"/>
        <v>1.25276669792385</v>
      </c>
      <c r="M180" s="57">
        <f t="shared" si="98"/>
        <v>0.000768266997756684</v>
      </c>
      <c r="N180" s="57">
        <f t="shared" si="99"/>
        <v>0.00390086619984193</v>
      </c>
      <c r="O180" s="57">
        <f t="shared" si="100"/>
        <v>0.104438131631585</v>
      </c>
      <c r="P180" s="59">
        <v>0.0302</v>
      </c>
      <c r="Q180" s="60">
        <f t="shared" si="82"/>
        <v>0.0302</v>
      </c>
      <c r="R180" s="61">
        <v>1000</v>
      </c>
      <c r="S180" s="59">
        <v>1.1616</v>
      </c>
      <c r="T180" s="59">
        <v>9.801</v>
      </c>
      <c r="U180" s="62">
        <v>4e-6</v>
      </c>
      <c r="V180" s="63"/>
      <c r="W180" s="63">
        <f t="shared" si="83"/>
        <v>4e-6</v>
      </c>
      <c r="X180" s="64">
        <v>0.001147</v>
      </c>
      <c r="Y180" s="64">
        <v>1.85e-5</v>
      </c>
      <c r="Z180" s="65">
        <f t="shared" si="117"/>
        <v>-1.66007974786412</v>
      </c>
      <c r="AA180" s="66">
        <f t="shared" si="110"/>
        <v>0.0011318119595143</v>
      </c>
      <c r="AB180" s="65">
        <f t="shared" si="84"/>
        <v>2.41536607509018</v>
      </c>
      <c r="AC180" s="65">
        <f t="shared" si="85"/>
        <v>6.55022922572627</v>
      </c>
      <c r="AD180" s="65">
        <f t="shared" si="86"/>
        <v>1.66292244410169</v>
      </c>
      <c r="AI180" s="63">
        <f t="shared" si="87"/>
        <v>63.9172154116707</v>
      </c>
      <c r="AJ180" s="63"/>
      <c r="AK180" s="69">
        <f t="shared" si="101"/>
        <v>2288.60492730649</v>
      </c>
      <c r="AL180" s="69"/>
      <c r="AM180" s="69">
        <f t="shared" si="111"/>
        <v>0.0112275774207611</v>
      </c>
      <c r="AN180" s="69">
        <f t="shared" si="88"/>
        <v>0.000100064750669919</v>
      </c>
      <c r="AO180" s="65">
        <f t="shared" si="102"/>
        <v>0.00692879873885443</v>
      </c>
      <c r="AP180" s="68"/>
      <c r="AQ180" s="68"/>
      <c r="AR180" s="68">
        <f t="shared" si="89"/>
        <v>8.57092403996293</v>
      </c>
      <c r="AS180" s="68">
        <f t="shared" si="90"/>
        <v>12.1253977929953</v>
      </c>
      <c r="AT180" s="71">
        <f t="shared" si="91"/>
        <v>0.0248160581661398</v>
      </c>
      <c r="AU180" s="71"/>
      <c r="AV180" s="65"/>
      <c r="AW180" s="65">
        <f t="shared" si="103"/>
        <v>0.0169488851214061</v>
      </c>
      <c r="AX180" s="65">
        <f t="shared" si="112"/>
        <v>0.408805575660166</v>
      </c>
      <c r="AY180" s="65">
        <f t="shared" si="104"/>
        <v>4.79573772021034</v>
      </c>
      <c r="AZ180" s="69">
        <f t="shared" si="113"/>
        <v>0.00144478266808772</v>
      </c>
      <c r="BA180" s="69">
        <f t="shared" si="114"/>
        <v>2.65363151755402e-7</v>
      </c>
      <c r="BB180" s="72">
        <f t="shared" si="92"/>
        <v>8.01142354180044</v>
      </c>
      <c r="BC180" s="72">
        <f t="shared" si="93"/>
        <v>3.45937933965145</v>
      </c>
      <c r="BD180" s="72">
        <f t="shared" si="94"/>
        <v>1.78225138533258</v>
      </c>
      <c r="BE180" s="72">
        <f t="shared" si="95"/>
        <v>9.87607411392965</v>
      </c>
      <c r="BF180" s="1"/>
      <c r="BG180" s="81"/>
      <c r="BH180" s="81"/>
    </row>
    <row r="181" ht="25" customHeight="1" spans="1:60">
      <c r="A181" s="85">
        <v>19</v>
      </c>
      <c r="B181" s="85" t="s">
        <v>205</v>
      </c>
      <c r="C181" s="55">
        <v>0.287888028098087</v>
      </c>
      <c r="D181" s="55">
        <v>-19.2900540969776</v>
      </c>
      <c r="E181" s="55"/>
      <c r="F181" s="55">
        <v>1.12813617601754</v>
      </c>
      <c r="G181" s="56">
        <v>1</v>
      </c>
      <c r="H181" s="57">
        <f t="shared" si="115"/>
        <v>8.36637353682585e-5</v>
      </c>
      <c r="I181" s="57">
        <f t="shared" si="116"/>
        <v>0.000333333333333333</v>
      </c>
      <c r="J181" s="58">
        <f t="shared" si="96"/>
        <v>0.0254857686766615</v>
      </c>
      <c r="K181" s="58">
        <v>0</v>
      </c>
      <c r="L181" s="58">
        <f t="shared" si="97"/>
        <v>1.18860413510849</v>
      </c>
      <c r="M181" s="57">
        <f t="shared" si="98"/>
        <v>0.000767018433576176</v>
      </c>
      <c r="N181" s="57">
        <f t="shared" si="99"/>
        <v>0.00410094435367066</v>
      </c>
      <c r="O181" s="57">
        <f t="shared" si="100"/>
        <v>0.0995558082158091</v>
      </c>
      <c r="P181" s="59">
        <v>0.0302</v>
      </c>
      <c r="Q181" s="60">
        <f t="shared" si="82"/>
        <v>0.0302</v>
      </c>
      <c r="R181" s="61">
        <v>1000</v>
      </c>
      <c r="S181" s="59">
        <v>1.1616</v>
      </c>
      <c r="T181" s="59">
        <v>9.801</v>
      </c>
      <c r="U181" s="62">
        <v>4e-6</v>
      </c>
      <c r="V181" s="63"/>
      <c r="W181" s="63">
        <f t="shared" si="83"/>
        <v>4e-6</v>
      </c>
      <c r="X181" s="64">
        <v>0.001147</v>
      </c>
      <c r="Y181" s="64">
        <v>1.85e-5</v>
      </c>
      <c r="Z181" s="65">
        <f t="shared" si="117"/>
        <v>-1.4112029933397</v>
      </c>
      <c r="AA181" s="66">
        <f t="shared" si="110"/>
        <v>0.00112813617601754</v>
      </c>
      <c r="AB181" s="65">
        <f t="shared" si="84"/>
        <v>2.18550034262003</v>
      </c>
      <c r="AC181" s="65">
        <f t="shared" si="85"/>
        <v>6.19201199107086</v>
      </c>
      <c r="AD181" s="65">
        <f t="shared" si="86"/>
        <v>1.6521386438806</v>
      </c>
      <c r="AI181" s="63">
        <f t="shared" si="87"/>
        <v>62.2460601293161</v>
      </c>
      <c r="AJ181" s="63"/>
      <c r="AK181" s="69">
        <f t="shared" si="101"/>
        <v>2413.14148428687</v>
      </c>
      <c r="AL181" s="69"/>
      <c r="AM181" s="69">
        <f t="shared" si="111"/>
        <v>0.01093402543803</v>
      </c>
      <c r="AN181" s="69">
        <f t="shared" si="88"/>
        <v>0.000100227637581039</v>
      </c>
      <c r="AO181" s="65">
        <f t="shared" si="102"/>
        <v>0.00689507219012584</v>
      </c>
      <c r="AP181" s="68"/>
      <c r="AQ181" s="68"/>
      <c r="AR181" s="68">
        <f t="shared" si="89"/>
        <v>8.52920429918567</v>
      </c>
      <c r="AS181" s="68">
        <f t="shared" si="90"/>
        <v>12.0663763327202</v>
      </c>
      <c r="AT181" s="71">
        <f t="shared" si="91"/>
        <v>0.0248564541200978</v>
      </c>
      <c r="AU181" s="71"/>
      <c r="AV181" s="65"/>
      <c r="AW181" s="65">
        <f t="shared" si="103"/>
        <v>0.0177552825448473</v>
      </c>
      <c r="AX181" s="65">
        <f t="shared" si="112"/>
        <v>0.388339198360256</v>
      </c>
      <c r="AY181" s="65">
        <f t="shared" si="104"/>
        <v>5.00759413856375</v>
      </c>
      <c r="AZ181" s="69">
        <f t="shared" si="113"/>
        <v>0.00137692312901849</v>
      </c>
      <c r="BA181" s="69">
        <f t="shared" si="114"/>
        <v>2.49224309622715e-7</v>
      </c>
      <c r="BB181" s="72">
        <f t="shared" si="92"/>
        <v>7.97242721983301</v>
      </c>
      <c r="BC181" s="72">
        <f t="shared" si="93"/>
        <v>3.64169666195055</v>
      </c>
      <c r="BD181" s="72">
        <f t="shared" si="94"/>
        <v>1.88884044945399</v>
      </c>
      <c r="BE181" s="72">
        <f t="shared" si="95"/>
        <v>9.49628927883206</v>
      </c>
      <c r="BF181" s="1"/>
      <c r="BG181" s="81"/>
      <c r="BH181" s="81"/>
    </row>
    <row r="182" ht="25" customHeight="1" spans="1:60">
      <c r="A182" s="85">
        <v>20</v>
      </c>
      <c r="B182" s="85" t="s">
        <v>205</v>
      </c>
      <c r="C182" s="55">
        <v>0.184511896519853</v>
      </c>
      <c r="D182" s="55">
        <v>-17.4543543381341</v>
      </c>
      <c r="E182" s="55"/>
      <c r="F182" s="55">
        <v>1.14032099576215</v>
      </c>
      <c r="G182" s="56">
        <v>1</v>
      </c>
      <c r="H182" s="57">
        <f t="shared" si="115"/>
        <v>8.36637353682585e-5</v>
      </c>
      <c r="I182" s="57">
        <f t="shared" si="116"/>
        <v>0.000333333333333333</v>
      </c>
      <c r="J182" s="58">
        <f t="shared" si="96"/>
        <v>0.0161339181772052</v>
      </c>
      <c r="K182" s="58">
        <v>0</v>
      </c>
      <c r="L182" s="58">
        <f t="shared" si="97"/>
        <v>0.48758383456312</v>
      </c>
      <c r="M182" s="57">
        <f t="shared" si="98"/>
        <v>0.000771149530871597</v>
      </c>
      <c r="N182" s="57">
        <f t="shared" si="99"/>
        <v>0.010081866640469</v>
      </c>
      <c r="O182" s="57">
        <f t="shared" si="100"/>
        <v>0.0402104976665886</v>
      </c>
      <c r="P182" s="59">
        <v>0.0302</v>
      </c>
      <c r="Q182" s="60">
        <f t="shared" si="82"/>
        <v>0.0302</v>
      </c>
      <c r="R182" s="61">
        <v>1000</v>
      </c>
      <c r="S182" s="59">
        <v>1.1616</v>
      </c>
      <c r="T182" s="59">
        <v>9.801</v>
      </c>
      <c r="U182" s="62">
        <v>4e-6</v>
      </c>
      <c r="V182" s="63"/>
      <c r="W182" s="63">
        <f t="shared" si="83"/>
        <v>4e-6</v>
      </c>
      <c r="X182" s="64">
        <v>0.001147</v>
      </c>
      <c r="Y182" s="64">
        <v>1.85e-5</v>
      </c>
      <c r="Z182" s="65">
        <f t="shared" si="117"/>
        <v>-1.2005448837019</v>
      </c>
      <c r="AA182" s="66">
        <f t="shared" si="110"/>
        <v>0.00114032099576215</v>
      </c>
      <c r="AB182" s="65">
        <f t="shared" si="84"/>
        <v>-0.303535170369371</v>
      </c>
      <c r="AC182" s="65">
        <f t="shared" si="85"/>
        <v>2.57098130705514</v>
      </c>
      <c r="AD182" s="65">
        <f t="shared" si="86"/>
        <v>1.68802035378252</v>
      </c>
      <c r="AI182" s="63">
        <f t="shared" si="87"/>
        <v>39.8944641124006</v>
      </c>
      <c r="AJ182" s="63"/>
      <c r="AK182" s="69">
        <f t="shared" si="101"/>
        <v>5874.63989193412</v>
      </c>
      <c r="AL182" s="69"/>
      <c r="AM182" s="69">
        <f t="shared" si="111"/>
        <v>0.00700778626848581</v>
      </c>
      <c r="AN182" s="69">
        <f t="shared" si="88"/>
        <v>9.96907117242998e-5</v>
      </c>
      <c r="AO182" s="65">
        <f t="shared" si="102"/>
        <v>0.00700708215695756</v>
      </c>
      <c r="AP182" s="68"/>
      <c r="AQ182" s="68"/>
      <c r="AR182" s="68">
        <f t="shared" si="89"/>
        <v>8.6677606281565</v>
      </c>
      <c r="AS182" s="68">
        <f t="shared" si="90"/>
        <v>12.2623937746757</v>
      </c>
      <c r="AT182" s="71">
        <f t="shared" si="91"/>
        <v>0.0247232965076264</v>
      </c>
      <c r="AU182" s="71"/>
      <c r="AV182" s="65"/>
      <c r="AW182" s="65">
        <f t="shared" si="103"/>
        <v>0.0441628651705348</v>
      </c>
      <c r="AX182" s="65">
        <f t="shared" si="112"/>
        <v>0.15866457327666</v>
      </c>
      <c r="AY182" s="65">
        <f t="shared" si="104"/>
        <v>12.5899605967434</v>
      </c>
      <c r="AZ182" s="69">
        <f t="shared" si="113"/>
        <v>0.000556561087154636</v>
      </c>
      <c r="BA182" s="69">
        <f t="shared" si="114"/>
        <v>1.0572768457934e-7</v>
      </c>
      <c r="BB182" s="72">
        <f t="shared" si="92"/>
        <v>8.10193874398218</v>
      </c>
      <c r="BC182" s="72">
        <f t="shared" si="93"/>
        <v>8.91322828510157</v>
      </c>
      <c r="BD182" s="72">
        <f t="shared" si="94"/>
        <v>4.5212150164364</v>
      </c>
      <c r="BE182" s="72">
        <f t="shared" si="95"/>
        <v>5.94702201462017</v>
      </c>
      <c r="BF182" s="1"/>
      <c r="BG182" s="81"/>
      <c r="BH182" s="81"/>
    </row>
    <row r="183" ht="25" customHeight="1" spans="1:60">
      <c r="A183" s="85">
        <v>22</v>
      </c>
      <c r="B183" s="85" t="s">
        <v>205</v>
      </c>
      <c r="C183" s="55">
        <v>0.39138558386936</v>
      </c>
      <c r="D183" s="55">
        <v>-31.321014111829</v>
      </c>
      <c r="E183" s="55"/>
      <c r="F183" s="55">
        <v>1.101005519293</v>
      </c>
      <c r="G183" s="56">
        <v>1</v>
      </c>
      <c r="H183" s="57">
        <f t="shared" si="115"/>
        <v>8.36637353682585e-5</v>
      </c>
      <c r="I183" s="57">
        <f t="shared" si="116"/>
        <v>0.000333333333333333</v>
      </c>
      <c r="J183" s="58">
        <f t="shared" si="96"/>
        <v>0.0356320551892554</v>
      </c>
      <c r="K183" s="58">
        <v>0</v>
      </c>
      <c r="L183" s="58">
        <f t="shared" si="97"/>
        <v>2.20370265770166</v>
      </c>
      <c r="M183" s="57">
        <f t="shared" si="98"/>
        <v>0.000757739254602717</v>
      </c>
      <c r="N183" s="57">
        <f t="shared" si="99"/>
        <v>0.00217012656270265</v>
      </c>
      <c r="O183" s="57">
        <f t="shared" si="100"/>
        <v>0.191181946231915</v>
      </c>
      <c r="P183" s="59">
        <v>0.0302</v>
      </c>
      <c r="Q183" s="60">
        <f t="shared" si="82"/>
        <v>0.0302</v>
      </c>
      <c r="R183" s="61">
        <v>1000</v>
      </c>
      <c r="S183" s="59">
        <v>1.1616</v>
      </c>
      <c r="T183" s="59">
        <v>9.801</v>
      </c>
      <c r="U183" s="62">
        <v>4e-6</v>
      </c>
      <c r="V183" s="63"/>
      <c r="W183" s="63">
        <f t="shared" si="83"/>
        <v>4e-6</v>
      </c>
      <c r="X183" s="64">
        <v>0.001147</v>
      </c>
      <c r="Y183" s="64">
        <v>1.85e-5</v>
      </c>
      <c r="Z183" s="65">
        <f t="shared" si="117"/>
        <v>-3.1959009160989</v>
      </c>
      <c r="AA183" s="66">
        <f t="shared" si="110"/>
        <v>0.001101005519293</v>
      </c>
      <c r="AB183" s="65">
        <f t="shared" si="84"/>
        <v>5.76873981961059</v>
      </c>
      <c r="AC183" s="65">
        <f t="shared" si="85"/>
        <v>11.1692033723287</v>
      </c>
      <c r="AD183" s="65">
        <f t="shared" si="86"/>
        <v>1.57362928709765</v>
      </c>
      <c r="AI183" s="63">
        <f t="shared" si="87"/>
        <v>84.6239100258076</v>
      </c>
      <c r="AJ183" s="63"/>
      <c r="AK183" s="69">
        <f t="shared" si="101"/>
        <v>1305.6306769649</v>
      </c>
      <c r="AL183" s="69"/>
      <c r="AM183" s="69">
        <f t="shared" si="111"/>
        <v>0.0148648763145085</v>
      </c>
      <c r="AN183" s="69">
        <f t="shared" si="88"/>
        <v>0.000101455012540898</v>
      </c>
      <c r="AO183" s="65">
        <f t="shared" si="102"/>
        <v>0.00664784328064697</v>
      </c>
      <c r="AP183" s="68"/>
      <c r="AQ183" s="68"/>
      <c r="AR183" s="68">
        <f t="shared" si="89"/>
        <v>8.2233821381603</v>
      </c>
      <c r="AS183" s="68">
        <f t="shared" si="90"/>
        <v>11.6337257411322</v>
      </c>
      <c r="AT183" s="71">
        <f t="shared" si="91"/>
        <v>0.0251608431101427</v>
      </c>
      <c r="AU183" s="71"/>
      <c r="AV183" s="65"/>
      <c r="AW183" s="65">
        <f t="shared" si="103"/>
        <v>0.00914999987018247</v>
      </c>
      <c r="AX183" s="65">
        <f t="shared" si="112"/>
        <v>0.726540259558976</v>
      </c>
      <c r="AY183" s="65">
        <f t="shared" si="104"/>
        <v>2.51855008965028</v>
      </c>
      <c r="AZ183" s="69">
        <f t="shared" si="113"/>
        <v>0.00263955174366616</v>
      </c>
      <c r="BA183" s="69">
        <f t="shared" si="114"/>
        <v>4.28190228100053e-7</v>
      </c>
      <c r="BB183" s="72">
        <f t="shared" si="92"/>
        <v>7.68656879324806</v>
      </c>
      <c r="BC183" s="72">
        <f t="shared" si="93"/>
        <v>1.94650405640501</v>
      </c>
      <c r="BD183" s="72">
        <f t="shared" si="94"/>
        <v>1.06119846068605</v>
      </c>
      <c r="BE183" s="72">
        <f t="shared" si="95"/>
        <v>14.316461946524</v>
      </c>
      <c r="BF183" s="1"/>
      <c r="BG183" s="81"/>
      <c r="BH183" s="81"/>
    </row>
    <row r="184" ht="25" customHeight="1" spans="1:60">
      <c r="A184" s="85">
        <v>26</v>
      </c>
      <c r="B184" s="85" t="s">
        <v>205</v>
      </c>
      <c r="C184" s="55">
        <v>0.429410948981545</v>
      </c>
      <c r="D184" s="55">
        <v>-29.5445184707007</v>
      </c>
      <c r="E184" s="55"/>
      <c r="F184" s="55">
        <v>1.17622920609573</v>
      </c>
      <c r="G184" s="56">
        <v>1</v>
      </c>
      <c r="H184" s="57">
        <f t="shared" si="115"/>
        <v>8.36637353682585e-5</v>
      </c>
      <c r="I184" s="57">
        <f t="shared" si="116"/>
        <v>0.000333333333333333</v>
      </c>
      <c r="J184" s="58">
        <f t="shared" si="96"/>
        <v>0.0362370465068166</v>
      </c>
      <c r="K184" s="58">
        <v>0</v>
      </c>
      <c r="L184" s="58">
        <f t="shared" si="97"/>
        <v>2.63070375560115</v>
      </c>
      <c r="M184" s="57">
        <f t="shared" si="98"/>
        <v>0.000783197004592521</v>
      </c>
      <c r="N184" s="57">
        <f t="shared" si="99"/>
        <v>0.00191493407205866</v>
      </c>
      <c r="O184" s="57">
        <f t="shared" si="100"/>
        <v>0.207445190458803</v>
      </c>
      <c r="P184" s="59">
        <v>0.0302</v>
      </c>
      <c r="Q184" s="60">
        <f t="shared" si="82"/>
        <v>0.0302</v>
      </c>
      <c r="R184" s="61">
        <v>1000</v>
      </c>
      <c r="S184" s="59">
        <v>1.1616</v>
      </c>
      <c r="T184" s="59">
        <v>9.801</v>
      </c>
      <c r="U184" s="62">
        <v>4e-6</v>
      </c>
      <c r="V184" s="63"/>
      <c r="W184" s="63">
        <f t="shared" si="83"/>
        <v>4e-6</v>
      </c>
      <c r="X184" s="64">
        <v>0.001147</v>
      </c>
      <c r="Y184" s="64">
        <v>1.85e-5</v>
      </c>
      <c r="Z184" s="65">
        <f t="shared" si="117"/>
        <v>-3.33319949547159</v>
      </c>
      <c r="AA184" s="66">
        <f t="shared" si="110"/>
        <v>0.00117622920609573</v>
      </c>
      <c r="AB184" s="65">
        <f t="shared" si="84"/>
        <v>7.35951901657651</v>
      </c>
      <c r="AC184" s="65">
        <f t="shared" si="85"/>
        <v>14.3635317606801</v>
      </c>
      <c r="AD184" s="65">
        <f t="shared" si="86"/>
        <v>1.79600423030684</v>
      </c>
      <c r="AI184" s="63">
        <f t="shared" si="87"/>
        <v>92.8456105906043</v>
      </c>
      <c r="AJ184" s="63"/>
      <c r="AK184" s="69">
        <f t="shared" si="101"/>
        <v>1084.6353837134</v>
      </c>
      <c r="AL184" s="69"/>
      <c r="AM184" s="69">
        <f t="shared" si="111"/>
        <v>0.0163090847179415</v>
      </c>
      <c r="AN184" s="69">
        <f t="shared" si="88"/>
        <v>9.81572262504329e-5</v>
      </c>
      <c r="AO184" s="65">
        <f t="shared" si="102"/>
        <v>0.00734064914245526</v>
      </c>
      <c r="AP184" s="68"/>
      <c r="AQ184" s="68"/>
      <c r="AR184" s="68">
        <f t="shared" si="89"/>
        <v>9.08038298921715</v>
      </c>
      <c r="AS184" s="68">
        <f t="shared" si="90"/>
        <v>12.8461359992967</v>
      </c>
      <c r="AT184" s="71">
        <f t="shared" si="91"/>
        <v>0.0243429921101074</v>
      </c>
      <c r="AU184" s="71"/>
      <c r="AV184" s="65"/>
      <c r="AW184" s="65">
        <f t="shared" si="103"/>
        <v>0.00867539855894428</v>
      </c>
      <c r="AX184" s="65">
        <f t="shared" si="112"/>
        <v>0.846145464393344</v>
      </c>
      <c r="AY184" s="65">
        <f t="shared" si="104"/>
        <v>2.55106428988777</v>
      </c>
      <c r="AZ184" s="69">
        <f t="shared" si="113"/>
        <v>0.00287748496639346</v>
      </c>
      <c r="BA184" s="69">
        <f t="shared" si="114"/>
        <v>6.28464452105989e-7</v>
      </c>
      <c r="BB184" s="72">
        <f t="shared" si="92"/>
        <v>8.48762557096389</v>
      </c>
      <c r="BC184" s="72">
        <f t="shared" si="93"/>
        <v>1.67135985700406</v>
      </c>
      <c r="BD184" s="72">
        <f t="shared" si="94"/>
        <v>0.794233043060861</v>
      </c>
      <c r="BE184" s="72">
        <f t="shared" si="95"/>
        <v>17.9555402212938</v>
      </c>
      <c r="BF184" s="1"/>
      <c r="BG184" s="81"/>
      <c r="BH184" s="81"/>
    </row>
    <row r="185" ht="25" customHeight="1" spans="1:60">
      <c r="A185" s="85">
        <v>32</v>
      </c>
      <c r="B185" s="85" t="s">
        <v>205</v>
      </c>
      <c r="C185" s="55">
        <v>0.395006096345403</v>
      </c>
      <c r="D185" s="55">
        <v>-16.7691410433922</v>
      </c>
      <c r="E185" s="55"/>
      <c r="F185" s="55">
        <v>1.13947744614092</v>
      </c>
      <c r="G185" s="56">
        <v>1</v>
      </c>
      <c r="H185" s="57">
        <f t="shared" si="115"/>
        <v>8.36637353682585e-5</v>
      </c>
      <c r="I185" s="57">
        <f t="shared" si="116"/>
        <v>0.000333333333333333</v>
      </c>
      <c r="J185" s="58">
        <f t="shared" si="96"/>
        <v>0.034569112995489</v>
      </c>
      <c r="K185" s="58">
        <v>0</v>
      </c>
      <c r="L185" s="58">
        <f t="shared" si="97"/>
        <v>2.23485115484578</v>
      </c>
      <c r="M185" s="57">
        <f t="shared" si="98"/>
        <v>0.000770864250128899</v>
      </c>
      <c r="N185" s="57">
        <f t="shared" si="99"/>
        <v>0.00219830845158878</v>
      </c>
      <c r="O185" s="57">
        <f t="shared" si="100"/>
        <v>0.184502831239819</v>
      </c>
      <c r="P185" s="59">
        <v>0.0302</v>
      </c>
      <c r="Q185" s="60">
        <f t="shared" si="82"/>
        <v>0.0302</v>
      </c>
      <c r="R185" s="61">
        <v>1000</v>
      </c>
      <c r="S185" s="59">
        <v>1.1616</v>
      </c>
      <c r="T185" s="59">
        <v>9.801</v>
      </c>
      <c r="U185" s="62">
        <v>4e-6</v>
      </c>
      <c r="V185" s="63"/>
      <c r="W185" s="63">
        <f t="shared" si="83"/>
        <v>4e-6</v>
      </c>
      <c r="X185" s="64">
        <v>0.001147</v>
      </c>
      <c r="Y185" s="64">
        <v>1.85e-5</v>
      </c>
      <c r="Z185" s="65">
        <f t="shared" si="117"/>
        <v>-0.936847012546758</v>
      </c>
      <c r="AA185" s="66">
        <f t="shared" si="110"/>
        <v>0.00113947744614092</v>
      </c>
      <c r="AB185" s="65">
        <f t="shared" si="84"/>
        <v>5.91385403415055</v>
      </c>
      <c r="AC185" s="65">
        <f t="shared" si="85"/>
        <v>11.7743348628131</v>
      </c>
      <c r="AD185" s="65">
        <f t="shared" si="86"/>
        <v>1.68552385979283</v>
      </c>
      <c r="AI185" s="63">
        <f t="shared" si="87"/>
        <v>85.4067235341412</v>
      </c>
      <c r="AJ185" s="63"/>
      <c r="AK185" s="69">
        <f t="shared" si="101"/>
        <v>1281.80629148269</v>
      </c>
      <c r="AL185" s="69"/>
      <c r="AM185" s="69">
        <f t="shared" si="111"/>
        <v>0.0150023838578867</v>
      </c>
      <c r="AN185" s="69">
        <f t="shared" si="88"/>
        <v>9.97276051724991e-5</v>
      </c>
      <c r="AO185" s="65">
        <f t="shared" si="102"/>
        <v>0.00699930838765352</v>
      </c>
      <c r="AP185" s="68"/>
      <c r="AQ185" s="68"/>
      <c r="AR185" s="68">
        <f t="shared" si="89"/>
        <v>8.6581444755274</v>
      </c>
      <c r="AS185" s="68">
        <f t="shared" si="90"/>
        <v>12.2487896783937</v>
      </c>
      <c r="AT185" s="71">
        <f t="shared" si="91"/>
        <v>0.0247324460827798</v>
      </c>
      <c r="AU185" s="71"/>
      <c r="AV185" s="65"/>
      <c r="AW185" s="65">
        <f t="shared" si="103"/>
        <v>0.00962178428560067</v>
      </c>
      <c r="AX185" s="65">
        <f t="shared" si="112"/>
        <v>0.7274439105986</v>
      </c>
      <c r="AY185" s="65">
        <f t="shared" si="104"/>
        <v>2.74095154626877</v>
      </c>
      <c r="AZ185" s="69">
        <f t="shared" si="113"/>
        <v>0.00255360529710261</v>
      </c>
      <c r="BA185" s="69">
        <f t="shared" si="114"/>
        <v>4.83485452294105e-7</v>
      </c>
      <c r="BB185" s="72">
        <f t="shared" si="92"/>
        <v>8.09295032322438</v>
      </c>
      <c r="BC185" s="72">
        <f t="shared" si="93"/>
        <v>1.94408605497758</v>
      </c>
      <c r="BD185" s="72">
        <f t="shared" si="94"/>
        <v>0.98765258640147</v>
      </c>
      <c r="BE185" s="72">
        <f t="shared" si="95"/>
        <v>15.1453825823987</v>
      </c>
      <c r="BF185" s="1"/>
      <c r="BG185" s="81"/>
      <c r="BH185" s="81"/>
    </row>
    <row r="186" ht="25" customHeight="1" spans="1:60">
      <c r="A186" s="85">
        <v>33</v>
      </c>
      <c r="B186" s="85" t="s">
        <v>205</v>
      </c>
      <c r="C186" s="55">
        <v>0.398843632763255</v>
      </c>
      <c r="D186" s="55">
        <v>-27.6032969792246</v>
      </c>
      <c r="E186" s="55"/>
      <c r="F186" s="55">
        <v>1.13295312383379</v>
      </c>
      <c r="G186" s="56">
        <v>1</v>
      </c>
      <c r="H186" s="57">
        <f t="shared" si="115"/>
        <v>8.36637353682585e-5</v>
      </c>
      <c r="I186" s="57">
        <f t="shared" si="116"/>
        <v>0.000333333333333333</v>
      </c>
      <c r="J186" s="58">
        <f t="shared" si="96"/>
        <v>0.0351358836315856</v>
      </c>
      <c r="K186" s="58">
        <v>0</v>
      </c>
      <c r="L186" s="58">
        <f t="shared" si="97"/>
        <v>2.28013728632003</v>
      </c>
      <c r="M186" s="57">
        <f t="shared" si="98"/>
        <v>0.000768654207839953</v>
      </c>
      <c r="N186" s="57">
        <f t="shared" si="99"/>
        <v>0.0021449359511861</v>
      </c>
      <c r="O186" s="57">
        <f t="shared" si="100"/>
        <v>0.18980940709848</v>
      </c>
      <c r="P186" s="59">
        <v>0.0302</v>
      </c>
      <c r="Q186" s="60">
        <f t="shared" si="82"/>
        <v>0.0302</v>
      </c>
      <c r="R186" s="61">
        <v>1000</v>
      </c>
      <c r="S186" s="59">
        <v>1.1616</v>
      </c>
      <c r="T186" s="59">
        <v>9.801</v>
      </c>
      <c r="U186" s="62">
        <v>4e-6</v>
      </c>
      <c r="V186" s="63"/>
      <c r="W186" s="63">
        <f t="shared" si="83"/>
        <v>4e-6</v>
      </c>
      <c r="X186" s="64">
        <v>0.001147</v>
      </c>
      <c r="Y186" s="64">
        <v>1.85e-5</v>
      </c>
      <c r="Z186" s="65">
        <f t="shared" si="117"/>
        <v>-2.76241641343504</v>
      </c>
      <c r="AA186" s="66">
        <f t="shared" si="110"/>
        <v>0.00113295312383379</v>
      </c>
      <c r="AB186" s="65">
        <f t="shared" si="84"/>
        <v>6.06912555534099</v>
      </c>
      <c r="AC186" s="65">
        <f t="shared" si="85"/>
        <v>11.9354918465566</v>
      </c>
      <c r="AD186" s="65">
        <f t="shared" si="86"/>
        <v>1.66627746154534</v>
      </c>
      <c r="AI186" s="63">
        <f t="shared" si="87"/>
        <v>86.2364611380011</v>
      </c>
      <c r="AJ186" s="63"/>
      <c r="AK186" s="69">
        <f t="shared" si="101"/>
        <v>1257.25875674842</v>
      </c>
      <c r="AL186" s="69"/>
      <c r="AM186" s="69">
        <f t="shared" si="111"/>
        <v>0.0151481339993197</v>
      </c>
      <c r="AN186" s="69">
        <f t="shared" si="88"/>
        <v>0.000100014342983284</v>
      </c>
      <c r="AO186" s="65">
        <f t="shared" si="102"/>
        <v>0.00693928045874826</v>
      </c>
      <c r="AP186" s="68"/>
      <c r="AQ186" s="68"/>
      <c r="AR186" s="68">
        <f t="shared" si="89"/>
        <v>8.5838899274716</v>
      </c>
      <c r="AS186" s="68">
        <f t="shared" si="90"/>
        <v>12.1437408028095</v>
      </c>
      <c r="AT186" s="71">
        <f t="shared" si="91"/>
        <v>0.0248035570598544</v>
      </c>
      <c r="AU186" s="71"/>
      <c r="AV186" s="65"/>
      <c r="AW186" s="65">
        <f t="shared" si="103"/>
        <v>0.00932975633962425</v>
      </c>
      <c r="AX186" s="65">
        <f t="shared" si="112"/>
        <v>0.743779387814938</v>
      </c>
      <c r="AY186" s="65">
        <f t="shared" si="104"/>
        <v>2.64254414739635</v>
      </c>
      <c r="AZ186" s="69">
        <f t="shared" si="113"/>
        <v>0.0026259846843374</v>
      </c>
      <c r="BA186" s="69">
        <f t="shared" si="114"/>
        <v>4.84506674036147e-7</v>
      </c>
      <c r="BB186" s="72">
        <f t="shared" si="92"/>
        <v>8.02354303042767</v>
      </c>
      <c r="BC186" s="72">
        <f t="shared" si="93"/>
        <v>1.90138848365743</v>
      </c>
      <c r="BD186" s="72">
        <f t="shared" si="94"/>
        <v>0.977542042414899</v>
      </c>
      <c r="BE186" s="72">
        <f t="shared" si="95"/>
        <v>15.2680467696473</v>
      </c>
      <c r="BF186" s="1"/>
      <c r="BG186" s="81"/>
      <c r="BH186" s="81"/>
    </row>
    <row r="187" ht="25" customHeight="1" spans="1:60">
      <c r="A187" s="85">
        <v>37</v>
      </c>
      <c r="B187" s="85" t="s">
        <v>205</v>
      </c>
      <c r="C187" s="55">
        <v>0.318662680570048</v>
      </c>
      <c r="D187" s="55">
        <v>-21.0076644753185</v>
      </c>
      <c r="E187" s="55"/>
      <c r="F187" s="55">
        <v>1.12616383153143</v>
      </c>
      <c r="G187" s="56">
        <v>1</v>
      </c>
      <c r="H187" s="57">
        <f t="shared" si="115"/>
        <v>8.36637353682585e-5</v>
      </c>
      <c r="I187" s="57">
        <f t="shared" si="116"/>
        <v>0.000333333333333333</v>
      </c>
      <c r="J187" s="58">
        <f t="shared" si="96"/>
        <v>0.028266931877335</v>
      </c>
      <c r="K187" s="58">
        <v>0</v>
      </c>
      <c r="L187" s="58">
        <f t="shared" si="97"/>
        <v>1.45662883066006</v>
      </c>
      <c r="M187" s="57">
        <f t="shared" si="98"/>
        <v>0.000766347642932775</v>
      </c>
      <c r="N187" s="57">
        <f t="shared" si="99"/>
        <v>0.00334176079321551</v>
      </c>
      <c r="O187" s="57">
        <f t="shared" si="100"/>
        <v>0.122313901128499</v>
      </c>
      <c r="P187" s="59">
        <v>0.0302</v>
      </c>
      <c r="Q187" s="60">
        <f t="shared" si="82"/>
        <v>0.0302</v>
      </c>
      <c r="R187" s="61">
        <v>1000</v>
      </c>
      <c r="S187" s="59">
        <v>1.1616</v>
      </c>
      <c r="T187" s="59">
        <v>9.801</v>
      </c>
      <c r="U187" s="62">
        <v>4e-6</v>
      </c>
      <c r="V187" s="63"/>
      <c r="W187" s="63">
        <f t="shared" si="83"/>
        <v>4e-6</v>
      </c>
      <c r="X187" s="64">
        <v>0.001147</v>
      </c>
      <c r="Y187" s="64">
        <v>1.85e-5</v>
      </c>
      <c r="Z187" s="65">
        <f t="shared" si="117"/>
        <v>-1.67308443888342</v>
      </c>
      <c r="AA187" s="66">
        <f t="shared" si="110"/>
        <v>0.00112616383153143</v>
      </c>
      <c r="AB187" s="65">
        <f t="shared" si="84"/>
        <v>3.13689622773132</v>
      </c>
      <c r="AC187" s="65">
        <f t="shared" si="85"/>
        <v>7.57333273586413</v>
      </c>
      <c r="AD187" s="65">
        <f t="shared" si="86"/>
        <v>1.64636675554716</v>
      </c>
      <c r="AI187" s="63">
        <f t="shared" si="87"/>
        <v>68.9000390421725</v>
      </c>
      <c r="AJ187" s="63"/>
      <c r="AK187" s="69">
        <f t="shared" si="101"/>
        <v>1969.55260769022</v>
      </c>
      <c r="AL187" s="69"/>
      <c r="AM187" s="69">
        <f t="shared" si="111"/>
        <v>0.012102850815028</v>
      </c>
      <c r="AN187" s="69">
        <f t="shared" si="88"/>
        <v>0.000100315367689065</v>
      </c>
      <c r="AO187" s="65">
        <f t="shared" si="102"/>
        <v>0.00687699789362328</v>
      </c>
      <c r="AP187" s="68"/>
      <c r="AQ187" s="68"/>
      <c r="AR187" s="68">
        <f t="shared" si="89"/>
        <v>8.506846394412</v>
      </c>
      <c r="AS187" s="68">
        <f t="shared" si="90"/>
        <v>12.0347463138407</v>
      </c>
      <c r="AT187" s="71">
        <f t="shared" si="91"/>
        <v>0.0248782111868881</v>
      </c>
      <c r="AU187" s="71"/>
      <c r="AV187" s="65"/>
      <c r="AW187" s="65">
        <f t="shared" si="103"/>
        <v>0.0144408409918292</v>
      </c>
      <c r="AX187" s="65">
        <f t="shared" si="112"/>
        <v>0.476218656345178</v>
      </c>
      <c r="AY187" s="65">
        <f t="shared" si="104"/>
        <v>4.06568820547364</v>
      </c>
      <c r="AZ187" s="69">
        <f t="shared" si="113"/>
        <v>0.00169147203279503</v>
      </c>
      <c r="BA187" s="69">
        <f t="shared" si="114"/>
        <v>3.03756618438244e-7</v>
      </c>
      <c r="BB187" s="72">
        <f t="shared" si="92"/>
        <v>7.95152881450192</v>
      </c>
      <c r="BC187" s="72">
        <f t="shared" si="93"/>
        <v>2.96967274072528</v>
      </c>
      <c r="BD187" s="72">
        <f t="shared" si="94"/>
        <v>1.54585397172172</v>
      </c>
      <c r="BE187" s="72">
        <f t="shared" si="95"/>
        <v>10.8660662469585</v>
      </c>
      <c r="BF187" s="1" t="s">
        <v>111</v>
      </c>
      <c r="BG187" s="81"/>
      <c r="BH187" s="81"/>
    </row>
    <row r="188" ht="25" customHeight="1" spans="1:60">
      <c r="A188" s="85">
        <v>38</v>
      </c>
      <c r="B188" s="85" t="s">
        <v>205</v>
      </c>
      <c r="C188" s="55">
        <v>0.323598867697246</v>
      </c>
      <c r="D188" s="55">
        <v>-19.8305564934459</v>
      </c>
      <c r="E188" s="55"/>
      <c r="F188" s="55">
        <v>1.06171963077562</v>
      </c>
      <c r="G188" s="56">
        <v>1</v>
      </c>
      <c r="H188" s="57">
        <f t="shared" si="115"/>
        <v>8.36637353682585e-5</v>
      </c>
      <c r="I188" s="57">
        <f t="shared" si="116"/>
        <v>0.000333333333333333</v>
      </c>
      <c r="J188" s="58">
        <f t="shared" si="96"/>
        <v>0.0307217810609511</v>
      </c>
      <c r="K188" s="58">
        <v>0</v>
      </c>
      <c r="L188" s="58">
        <f t="shared" si="97"/>
        <v>1.51364219289006</v>
      </c>
      <c r="M188" s="57">
        <f t="shared" si="98"/>
        <v>0.000744097699858442</v>
      </c>
      <c r="N188" s="57">
        <f t="shared" si="99"/>
        <v>0.00307137509297173</v>
      </c>
      <c r="O188" s="57">
        <f t="shared" si="100"/>
        <v>0.138383573526187</v>
      </c>
      <c r="P188" s="59">
        <v>0.0302</v>
      </c>
      <c r="Q188" s="60">
        <f t="shared" si="82"/>
        <v>0.0302</v>
      </c>
      <c r="R188" s="61">
        <v>1000</v>
      </c>
      <c r="S188" s="59">
        <v>1.1616</v>
      </c>
      <c r="T188" s="59">
        <v>9.801</v>
      </c>
      <c r="U188" s="62">
        <v>4e-6</v>
      </c>
      <c r="V188" s="63"/>
      <c r="W188" s="63">
        <f t="shared" si="83"/>
        <v>4e-6</v>
      </c>
      <c r="X188" s="64">
        <v>0.001147</v>
      </c>
      <c r="Y188" s="64">
        <v>1.85e-5</v>
      </c>
      <c r="Z188" s="65">
        <f t="shared" si="117"/>
        <v>-1.28419438110158</v>
      </c>
      <c r="AA188" s="66">
        <f t="shared" si="110"/>
        <v>0.00106171963077562</v>
      </c>
      <c r="AB188" s="65">
        <f t="shared" si="84"/>
        <v>3.29848252675534</v>
      </c>
      <c r="AC188" s="65">
        <f t="shared" si="85"/>
        <v>7.3628658312843</v>
      </c>
      <c r="AD188" s="65">
        <f t="shared" si="86"/>
        <v>1.4633328844295</v>
      </c>
      <c r="AI188" s="63">
        <f t="shared" si="87"/>
        <v>69.9673227453505</v>
      </c>
      <c r="AJ188" s="63"/>
      <c r="AK188" s="69">
        <f t="shared" si="101"/>
        <v>1909.92366126673</v>
      </c>
      <c r="AL188" s="69"/>
      <c r="AM188" s="69">
        <f t="shared" si="111"/>
        <v>0.0122903278559186</v>
      </c>
      <c r="AN188" s="69">
        <f t="shared" si="88"/>
        <v>0.000103314988869169</v>
      </c>
      <c r="AO188" s="65">
        <f t="shared" si="102"/>
        <v>0.00629522561698756</v>
      </c>
      <c r="AP188" s="68"/>
      <c r="AQ188" s="68"/>
      <c r="AR188" s="68">
        <f t="shared" si="89"/>
        <v>7.78719408821361</v>
      </c>
      <c r="AS188" s="68">
        <f t="shared" si="90"/>
        <v>11.0166448297282</v>
      </c>
      <c r="AT188" s="71">
        <f t="shared" si="91"/>
        <v>0.025622117239554</v>
      </c>
      <c r="AU188" s="71"/>
      <c r="AV188" s="65"/>
      <c r="AW188" s="65">
        <f t="shared" si="103"/>
        <v>0.0124467926250138</v>
      </c>
      <c r="AX188" s="65">
        <f t="shared" si="112"/>
        <v>0.505770908750927</v>
      </c>
      <c r="AY188" s="65">
        <f t="shared" si="104"/>
        <v>3.30375101754258</v>
      </c>
      <c r="AZ188" s="69">
        <f t="shared" si="113"/>
        <v>0.00190547822265072</v>
      </c>
      <c r="BA188" s="69">
        <f t="shared" si="114"/>
        <v>2.62483580970042e-7</v>
      </c>
      <c r="BB188" s="72">
        <f t="shared" si="92"/>
        <v>7.27885461964186</v>
      </c>
      <c r="BC188" s="72">
        <f t="shared" si="93"/>
        <v>2.79615442071529</v>
      </c>
      <c r="BD188" s="72">
        <f t="shared" si="94"/>
        <v>1.63976018411775</v>
      </c>
      <c r="BE188" s="72">
        <f t="shared" si="95"/>
        <v>10.2895316001433</v>
      </c>
      <c r="BF188" s="1" t="s">
        <v>112</v>
      </c>
      <c r="BG188" s="81"/>
      <c r="BH188" s="81"/>
    </row>
    <row r="189" ht="25" customHeight="1" spans="1:60">
      <c r="A189" s="85">
        <v>40</v>
      </c>
      <c r="B189" s="85" t="s">
        <v>205</v>
      </c>
      <c r="C189" s="55">
        <v>0.33654226678617</v>
      </c>
      <c r="D189" s="55">
        <v>-21.0228869351141</v>
      </c>
      <c r="E189" s="55"/>
      <c r="F189" s="55">
        <v>1.14326017302198</v>
      </c>
      <c r="G189" s="56">
        <v>1</v>
      </c>
      <c r="H189" s="57">
        <f t="shared" si="115"/>
        <v>8.36637353682585e-5</v>
      </c>
      <c r="I189" s="57">
        <f t="shared" si="116"/>
        <v>0.000333333333333333</v>
      </c>
      <c r="J189" s="58">
        <f t="shared" si="96"/>
        <v>0.0293407929589018</v>
      </c>
      <c r="K189" s="58">
        <v>0</v>
      </c>
      <c r="L189" s="58">
        <f t="shared" si="97"/>
        <v>1.62158320744734</v>
      </c>
      <c r="M189" s="57">
        <f t="shared" si="98"/>
        <v>0.000772142710225348</v>
      </c>
      <c r="N189" s="57">
        <f t="shared" si="99"/>
        <v>0.00303760592330512</v>
      </c>
      <c r="O189" s="57">
        <f t="shared" si="100"/>
        <v>0.133233767789266</v>
      </c>
      <c r="P189" s="59">
        <v>0.0302</v>
      </c>
      <c r="Q189" s="60">
        <f t="shared" si="82"/>
        <v>0.0302</v>
      </c>
      <c r="R189" s="61">
        <v>1000</v>
      </c>
      <c r="S189" s="59">
        <v>1.1616</v>
      </c>
      <c r="T189" s="59">
        <v>9.801</v>
      </c>
      <c r="U189" s="62">
        <v>4e-6</v>
      </c>
      <c r="V189" s="63"/>
      <c r="W189" s="63">
        <f t="shared" si="83"/>
        <v>4e-6</v>
      </c>
      <c r="X189" s="64">
        <v>0.001147</v>
      </c>
      <c r="Y189" s="64">
        <v>1.85e-5</v>
      </c>
      <c r="Z189" s="65">
        <f t="shared" si="117"/>
        <v>-1.72121486101656</v>
      </c>
      <c r="AA189" s="66">
        <f t="shared" si="110"/>
        <v>0.00114326017302198</v>
      </c>
      <c r="AB189" s="65">
        <f t="shared" si="84"/>
        <v>3.73398049610467</v>
      </c>
      <c r="AC189" s="65">
        <f t="shared" si="85"/>
        <v>8.57526122054116</v>
      </c>
      <c r="AD189" s="65">
        <f t="shared" si="86"/>
        <v>1.69673331276319</v>
      </c>
      <c r="AI189" s="63">
        <f t="shared" si="87"/>
        <v>72.7658955213341</v>
      </c>
      <c r="AJ189" s="63"/>
      <c r="AK189" s="69">
        <f t="shared" si="101"/>
        <v>1765.8376180659</v>
      </c>
      <c r="AL189" s="69"/>
      <c r="AM189" s="69">
        <f t="shared" si="111"/>
        <v>0.0127819198676734</v>
      </c>
      <c r="AN189" s="69">
        <f t="shared" si="88"/>
        <v>9.95624831529048e-5</v>
      </c>
      <c r="AO189" s="65">
        <f t="shared" si="102"/>
        <v>0.00703419073671757</v>
      </c>
      <c r="AP189" s="68"/>
      <c r="AQ189" s="68"/>
      <c r="AR189" s="68">
        <f t="shared" si="89"/>
        <v>8.70129394131964</v>
      </c>
      <c r="AS189" s="68">
        <f t="shared" si="90"/>
        <v>12.3098337892558</v>
      </c>
      <c r="AT189" s="71">
        <f t="shared" si="91"/>
        <v>0.0246914958219204</v>
      </c>
      <c r="AU189" s="71"/>
      <c r="AV189" s="65"/>
      <c r="AW189" s="65">
        <f t="shared" si="103"/>
        <v>0.0133432819696062</v>
      </c>
      <c r="AX189" s="65">
        <f t="shared" si="112"/>
        <v>0.527170957845326</v>
      </c>
      <c r="AY189" s="65">
        <f t="shared" si="104"/>
        <v>3.81371071331327</v>
      </c>
      <c r="AZ189" s="69">
        <f t="shared" si="113"/>
        <v>0.00184444790533324</v>
      </c>
      <c r="BA189" s="69">
        <f t="shared" si="114"/>
        <v>3.54464762650041e-7</v>
      </c>
      <c r="BB189" s="72">
        <f t="shared" si="92"/>
        <v>8.1332830393297</v>
      </c>
      <c r="BC189" s="72">
        <f t="shared" si="93"/>
        <v>2.68264695034287</v>
      </c>
      <c r="BD189" s="72">
        <f t="shared" si="94"/>
        <v>1.35349035743324</v>
      </c>
      <c r="BE189" s="72">
        <f t="shared" si="95"/>
        <v>11.9687278460675</v>
      </c>
      <c r="BF189" s="1"/>
      <c r="BG189" s="81"/>
      <c r="BH189" s="81"/>
    </row>
    <row r="190" ht="25" customHeight="1" spans="1:60">
      <c r="A190" s="85">
        <v>42</v>
      </c>
      <c r="B190" s="85" t="s">
        <v>205</v>
      </c>
      <c r="C190" s="55">
        <v>0.369274360911998</v>
      </c>
      <c r="D190" s="55">
        <v>-22.4770707152993</v>
      </c>
      <c r="E190" s="55"/>
      <c r="F190" s="55">
        <v>1.12194285224198</v>
      </c>
      <c r="G190" s="56">
        <v>1</v>
      </c>
      <c r="H190" s="57">
        <f t="shared" si="115"/>
        <v>8.36637353682585e-5</v>
      </c>
      <c r="I190" s="57">
        <f t="shared" si="116"/>
        <v>0.000333333333333333</v>
      </c>
      <c r="J190" s="58">
        <f t="shared" si="96"/>
        <v>0.0328981330404979</v>
      </c>
      <c r="K190" s="58">
        <v>0</v>
      </c>
      <c r="L190" s="58">
        <f t="shared" si="97"/>
        <v>1.95700636600347</v>
      </c>
      <c r="M190" s="57">
        <f t="shared" si="98"/>
        <v>0.000764910119294739</v>
      </c>
      <c r="N190" s="57">
        <f t="shared" si="99"/>
        <v>0.00248000148140364</v>
      </c>
      <c r="O190" s="57">
        <f t="shared" si="100"/>
        <v>0.165224454057451</v>
      </c>
      <c r="P190" s="59">
        <v>0.0302</v>
      </c>
      <c r="Q190" s="60">
        <f t="shared" si="82"/>
        <v>0.0302</v>
      </c>
      <c r="R190" s="61">
        <v>1000</v>
      </c>
      <c r="S190" s="59">
        <v>1.1616</v>
      </c>
      <c r="T190" s="59">
        <v>9.801</v>
      </c>
      <c r="U190" s="62">
        <v>4e-6</v>
      </c>
      <c r="V190" s="63"/>
      <c r="W190" s="63">
        <f t="shared" si="83"/>
        <v>4e-6</v>
      </c>
      <c r="X190" s="64">
        <v>0.001147</v>
      </c>
      <c r="Y190" s="64">
        <v>1.85e-5</v>
      </c>
      <c r="Z190" s="65">
        <f t="shared" si="117"/>
        <v>-1.86935065881762</v>
      </c>
      <c r="AA190" s="66">
        <f t="shared" si="110"/>
        <v>0.00112194285224198</v>
      </c>
      <c r="AB190" s="65">
        <f t="shared" si="84"/>
        <v>4.91149610738861</v>
      </c>
      <c r="AC190" s="65">
        <f t="shared" si="85"/>
        <v>10.1319280992112</v>
      </c>
      <c r="AD190" s="65">
        <f t="shared" si="86"/>
        <v>1.63404837615802</v>
      </c>
      <c r="AI190" s="63">
        <f t="shared" si="87"/>
        <v>79.8431050620536</v>
      </c>
      <c r="AJ190" s="63"/>
      <c r="AK190" s="69">
        <f t="shared" si="101"/>
        <v>1466.66755654608</v>
      </c>
      <c r="AL190" s="69"/>
      <c r="AM190" s="69">
        <f t="shared" si="111"/>
        <v>0.0140250891379491</v>
      </c>
      <c r="AN190" s="69">
        <f t="shared" si="88"/>
        <v>0.000100503894038336</v>
      </c>
      <c r="AO190" s="65">
        <f t="shared" si="102"/>
        <v>0.00683837058890459</v>
      </c>
      <c r="AP190" s="68"/>
      <c r="AQ190" s="68"/>
      <c r="AR190" s="68">
        <f t="shared" si="89"/>
        <v>8.45906441847498</v>
      </c>
      <c r="AS190" s="68">
        <f t="shared" si="90"/>
        <v>11.967148530583</v>
      </c>
      <c r="AT190" s="71">
        <f t="shared" si="91"/>
        <v>0.0249249657215073</v>
      </c>
      <c r="AU190" s="71"/>
      <c r="AV190" s="65"/>
      <c r="AW190" s="65">
        <f t="shared" si="103"/>
        <v>0.0106732063888272</v>
      </c>
      <c r="AX190" s="65">
        <f t="shared" si="112"/>
        <v>0.64070442749641</v>
      </c>
      <c r="AY190" s="65">
        <f t="shared" si="104"/>
        <v>2.99368190461204</v>
      </c>
      <c r="AZ190" s="69">
        <f t="shared" si="113"/>
        <v>0.00228426760317102</v>
      </c>
      <c r="BA190" s="69">
        <f t="shared" si="114"/>
        <v>4.03337992381623e-7</v>
      </c>
      <c r="BB190" s="72">
        <f t="shared" si="92"/>
        <v>7.90686599342093</v>
      </c>
      <c r="BC190" s="72">
        <f t="shared" si="93"/>
        <v>2.20727920969614</v>
      </c>
      <c r="BD190" s="72">
        <f t="shared" si="94"/>
        <v>1.1579141830465</v>
      </c>
      <c r="BE190" s="72">
        <f t="shared" si="95"/>
        <v>13.4000248515272</v>
      </c>
      <c r="BF190" s="1"/>
      <c r="BG190" s="81"/>
      <c r="BH190" s="81"/>
    </row>
    <row r="191" ht="25" customHeight="1" spans="1:60">
      <c r="A191" s="85">
        <v>43</v>
      </c>
      <c r="B191" s="85" t="s">
        <v>205</v>
      </c>
      <c r="C191" s="55">
        <v>0.373369233219633</v>
      </c>
      <c r="D191" s="55">
        <v>-25.6284967317138</v>
      </c>
      <c r="E191" s="55"/>
      <c r="F191" s="55">
        <v>1.07188403177389</v>
      </c>
      <c r="G191" s="56">
        <v>1</v>
      </c>
      <c r="H191" s="57">
        <f t="shared" si="115"/>
        <v>8.36637353682585e-5</v>
      </c>
      <c r="I191" s="57">
        <f t="shared" si="116"/>
        <v>0.000333333333333333</v>
      </c>
      <c r="J191" s="58">
        <f t="shared" si="96"/>
        <v>0.0350589162362506</v>
      </c>
      <c r="K191" s="58">
        <v>0</v>
      </c>
      <c r="L191" s="58">
        <f t="shared" si="97"/>
        <v>2.01251525375117</v>
      </c>
      <c r="M191" s="57">
        <f t="shared" si="98"/>
        <v>0.000747651035144906</v>
      </c>
      <c r="N191" s="57">
        <f t="shared" si="99"/>
        <v>0.00232717024379169</v>
      </c>
      <c r="O191" s="57">
        <f t="shared" si="100"/>
        <v>0.181481342894285</v>
      </c>
      <c r="P191" s="59">
        <v>0.0302</v>
      </c>
      <c r="Q191" s="60">
        <f t="shared" si="82"/>
        <v>0.0302</v>
      </c>
      <c r="R191" s="61">
        <v>1000</v>
      </c>
      <c r="S191" s="59">
        <v>1.1616</v>
      </c>
      <c r="T191" s="59">
        <v>9.801</v>
      </c>
      <c r="U191" s="62">
        <v>4e-6</v>
      </c>
      <c r="V191" s="63"/>
      <c r="W191" s="63">
        <f t="shared" si="83"/>
        <v>4e-6</v>
      </c>
      <c r="X191" s="64">
        <v>0.001147</v>
      </c>
      <c r="Y191" s="64">
        <v>1.85e-5</v>
      </c>
      <c r="Z191" s="65">
        <f t="shared" si="117"/>
        <v>-2.16136702907349</v>
      </c>
      <c r="AA191" s="66">
        <f t="shared" si="110"/>
        <v>0.00107188403177389</v>
      </c>
      <c r="AB191" s="65">
        <f t="shared" si="84"/>
        <v>5.06649257466956</v>
      </c>
      <c r="AC191" s="65">
        <f t="shared" si="85"/>
        <v>9.89573164790353</v>
      </c>
      <c r="AD191" s="65">
        <f t="shared" si="86"/>
        <v>1.49148551464658</v>
      </c>
      <c r="AI191" s="63">
        <f t="shared" si="87"/>
        <v>80.728482858299</v>
      </c>
      <c r="AJ191" s="63"/>
      <c r="AK191" s="69">
        <f t="shared" si="101"/>
        <v>1434.67304882926</v>
      </c>
      <c r="AL191" s="69"/>
      <c r="AM191" s="69">
        <f t="shared" si="111"/>
        <v>0.0141806129305602</v>
      </c>
      <c r="AN191" s="69">
        <f t="shared" si="88"/>
        <v>0.000102823967285151</v>
      </c>
      <c r="AO191" s="65">
        <f t="shared" si="102"/>
        <v>0.00638584290141627</v>
      </c>
      <c r="AP191" s="68"/>
      <c r="AQ191" s="68"/>
      <c r="AR191" s="68">
        <f t="shared" si="89"/>
        <v>7.89928766905193</v>
      </c>
      <c r="AS191" s="68">
        <f t="shared" si="90"/>
        <v>11.1752250774785</v>
      </c>
      <c r="AT191" s="71">
        <f t="shared" si="91"/>
        <v>0.0255003438867176</v>
      </c>
      <c r="AU191" s="71"/>
      <c r="AV191" s="65"/>
      <c r="AW191" s="65">
        <f t="shared" si="103"/>
        <v>0.00952950390293836</v>
      </c>
      <c r="AX191" s="65">
        <f t="shared" si="112"/>
        <v>0.670112837610281</v>
      </c>
      <c r="AY191" s="65">
        <f t="shared" si="104"/>
        <v>2.55363076607165</v>
      </c>
      <c r="AZ191" s="69">
        <f t="shared" si="113"/>
        <v>0.00250069155896013</v>
      </c>
      <c r="BA191" s="69">
        <f t="shared" si="114"/>
        <v>3.59566375887138e-7</v>
      </c>
      <c r="BB191" s="72">
        <f t="shared" si="92"/>
        <v>7.38363085476256</v>
      </c>
      <c r="BC191" s="72">
        <f t="shared" si="93"/>
        <v>2.11041108750637</v>
      </c>
      <c r="BD191" s="72">
        <f t="shared" si="94"/>
        <v>1.21436487955418</v>
      </c>
      <c r="BE191" s="72">
        <f t="shared" si="95"/>
        <v>12.8787026771967</v>
      </c>
      <c r="BF191" s="1"/>
      <c r="BG191" s="81"/>
      <c r="BH191" s="81"/>
    </row>
    <row r="192" ht="25" customHeight="1" spans="1:60">
      <c r="A192" s="85">
        <v>70</v>
      </c>
      <c r="B192" s="85" t="s">
        <v>205</v>
      </c>
      <c r="C192" s="55">
        <v>0</v>
      </c>
      <c r="D192" s="55">
        <v>0</v>
      </c>
      <c r="E192" s="55"/>
      <c r="F192" s="55">
        <v>0</v>
      </c>
      <c r="G192" s="56">
        <v>1</v>
      </c>
      <c r="H192" s="57">
        <f t="shared" si="115"/>
        <v>8.36637353682585e-5</v>
      </c>
      <c r="I192" s="57">
        <f t="shared" si="116"/>
        <v>0.000333333333333333</v>
      </c>
      <c r="J192" s="58" t="e">
        <f t="shared" si="96"/>
        <v>#DIV/0!</v>
      </c>
      <c r="K192" s="58">
        <v>0</v>
      </c>
      <c r="L192" s="58" t="e">
        <f t="shared" si="97"/>
        <v>#DIV/0!</v>
      </c>
      <c r="M192" s="57" t="e">
        <f t="shared" si="98"/>
        <v>#DIV/0!</v>
      </c>
      <c r="N192" s="57" t="e">
        <f t="shared" si="99"/>
        <v>#DIV/0!</v>
      </c>
      <c r="O192" s="57" t="e">
        <f t="shared" si="100"/>
        <v>#DIV/0!</v>
      </c>
      <c r="P192" s="59">
        <v>0.0302</v>
      </c>
      <c r="Q192" s="60">
        <f t="shared" si="82"/>
        <v>0.0302</v>
      </c>
      <c r="R192" s="61">
        <v>1000</v>
      </c>
      <c r="S192" s="59">
        <v>1.1616</v>
      </c>
      <c r="T192" s="59">
        <v>9.801</v>
      </c>
      <c r="U192" s="62">
        <v>4e-6</v>
      </c>
      <c r="V192" s="63"/>
      <c r="W192" s="63">
        <f t="shared" si="83"/>
        <v>4e-6</v>
      </c>
      <c r="X192" s="64">
        <v>0.001147</v>
      </c>
      <c r="Y192" s="64">
        <v>1.85e-5</v>
      </c>
      <c r="Z192" s="65"/>
      <c r="AA192" s="66">
        <f t="shared" si="110"/>
        <v>0</v>
      </c>
      <c r="AB192" s="65">
        <f t="shared" si="84"/>
        <v>-2.03873598369011</v>
      </c>
      <c r="AC192" s="65">
        <f t="shared" si="85"/>
        <v>0</v>
      </c>
      <c r="AD192" s="65">
        <f t="shared" si="86"/>
        <v>0</v>
      </c>
      <c r="AI192" s="63">
        <f t="shared" si="87"/>
        <v>0</v>
      </c>
      <c r="AJ192" s="63"/>
      <c r="AK192" s="69" t="e">
        <f t="shared" si="101"/>
        <v>#DIV/0!</v>
      </c>
      <c r="AL192" s="69"/>
      <c r="AM192" s="69">
        <f t="shared" si="111"/>
        <v>0</v>
      </c>
      <c r="AN192" s="69" t="e">
        <f t="shared" si="88"/>
        <v>#DIV/0!</v>
      </c>
      <c r="AO192" s="65">
        <f t="shared" si="102"/>
        <v>0</v>
      </c>
      <c r="AP192" s="68"/>
      <c r="AQ192" s="68"/>
      <c r="AR192" s="68">
        <f t="shared" si="89"/>
        <v>0</v>
      </c>
      <c r="AS192" s="68">
        <f t="shared" si="90"/>
        <v>0</v>
      </c>
      <c r="AT192" s="71" t="e">
        <f t="shared" si="91"/>
        <v>#DIV/0!</v>
      </c>
      <c r="AU192" s="71"/>
      <c r="AV192" s="65"/>
      <c r="AW192" s="65" t="e">
        <f t="shared" si="103"/>
        <v>#DIV/0!</v>
      </c>
      <c r="AX192" s="65" t="e">
        <f t="shared" si="112"/>
        <v>#DIV/0!</v>
      </c>
      <c r="AY192" s="65" t="e">
        <f t="shared" si="104"/>
        <v>#DIV/0!</v>
      </c>
      <c r="AZ192" s="69" t="e">
        <f t="shared" si="113"/>
        <v>#DIV/0!</v>
      </c>
      <c r="BA192" s="69">
        <f t="shared" si="114"/>
        <v>0</v>
      </c>
      <c r="BB192" s="72" t="e">
        <f t="shared" si="92"/>
        <v>#DIV/0!</v>
      </c>
      <c r="BC192" s="72" t="e">
        <f t="shared" si="93"/>
        <v>#DIV/0!</v>
      </c>
      <c r="BD192" s="72" t="e">
        <f t="shared" si="94"/>
        <v>#DIV/0!</v>
      </c>
      <c r="BE192" s="72">
        <f t="shared" si="95"/>
        <v>0</v>
      </c>
      <c r="BF192" s="21" t="s">
        <v>104</v>
      </c>
      <c r="BG192" s="81"/>
      <c r="BH192" s="81"/>
    </row>
    <row r="193" ht="25" customHeight="1" spans="1:60">
      <c r="A193" s="85">
        <v>74</v>
      </c>
      <c r="B193" s="85" t="s">
        <v>205</v>
      </c>
      <c r="C193" s="55">
        <v>0.292575394561062</v>
      </c>
      <c r="D193" s="55">
        <v>-5.70375347275431</v>
      </c>
      <c r="E193" s="55"/>
      <c r="F193" s="55">
        <v>1.55695324585881</v>
      </c>
      <c r="G193" s="56">
        <v>1</v>
      </c>
      <c r="H193" s="57">
        <f t="shared" si="115"/>
        <v>8.36637353682585e-5</v>
      </c>
      <c r="I193" s="57">
        <f t="shared" si="116"/>
        <v>0.000333333333333333</v>
      </c>
      <c r="J193" s="58">
        <f t="shared" si="96"/>
        <v>0.0179799011092587</v>
      </c>
      <c r="K193" s="58">
        <v>0</v>
      </c>
      <c r="L193" s="58">
        <f t="shared" si="97"/>
        <v>1.18395759614703</v>
      </c>
      <c r="M193" s="57">
        <f t="shared" si="98"/>
        <v>0.000901078907842349</v>
      </c>
      <c r="N193" s="57">
        <f t="shared" si="99"/>
        <v>0.00534598541877889</v>
      </c>
      <c r="O193" s="57">
        <f t="shared" si="100"/>
        <v>0.0621649705745254</v>
      </c>
      <c r="P193" s="59">
        <v>0.0302</v>
      </c>
      <c r="Q193" s="60">
        <f t="shared" si="82"/>
        <v>0.0302</v>
      </c>
      <c r="R193" s="61">
        <v>1000</v>
      </c>
      <c r="S193" s="59">
        <v>1.1616</v>
      </c>
      <c r="T193" s="59">
        <v>9.801</v>
      </c>
      <c r="U193" s="62">
        <v>4e-6</v>
      </c>
      <c r="V193" s="63"/>
      <c r="W193" s="63">
        <f t="shared" si="83"/>
        <v>4e-6</v>
      </c>
      <c r="X193" s="64">
        <v>0.001147</v>
      </c>
      <c r="Y193" s="64">
        <v>1.85e-5</v>
      </c>
      <c r="Z193" s="65"/>
      <c r="AA193" s="66">
        <f t="shared" si="110"/>
        <v>0.00155695324585881</v>
      </c>
      <c r="AB193" s="65">
        <f t="shared" si="84"/>
        <v>2.32417744661372</v>
      </c>
      <c r="AC193" s="65">
        <f t="shared" si="85"/>
        <v>8.82620931709272</v>
      </c>
      <c r="AD193" s="65">
        <f t="shared" si="86"/>
        <v>3.14683940653703</v>
      </c>
      <c r="AI193" s="63">
        <f t="shared" si="87"/>
        <v>63.2595447699594</v>
      </c>
      <c r="AJ193" s="63"/>
      <c r="AK193" s="69">
        <f t="shared" si="101"/>
        <v>2336.43873097447</v>
      </c>
      <c r="AL193" s="69"/>
      <c r="AM193" s="69">
        <f t="shared" si="111"/>
        <v>0.011112052237137</v>
      </c>
      <c r="AN193" s="69">
        <f t="shared" si="88"/>
        <v>8.53159971999917e-5</v>
      </c>
      <c r="AO193" s="65">
        <f t="shared" si="102"/>
        <v>0.0111791783633599</v>
      </c>
      <c r="AP193" s="68"/>
      <c r="AQ193" s="68"/>
      <c r="AR193" s="68">
        <f t="shared" si="89"/>
        <v>13.8286436354762</v>
      </c>
      <c r="AS193" s="68">
        <f t="shared" si="90"/>
        <v>19.5635621358798</v>
      </c>
      <c r="AT193" s="71">
        <f t="shared" si="91"/>
        <v>0.021158367305598</v>
      </c>
      <c r="AU193" s="71"/>
      <c r="AV193" s="65"/>
      <c r="AW193" s="65">
        <f t="shared" si="103"/>
        <v>0.0327436650777013</v>
      </c>
      <c r="AX193" s="65">
        <f t="shared" si="112"/>
        <v>0.341414998499145</v>
      </c>
      <c r="AY193" s="65">
        <f t="shared" si="104"/>
        <v>12.7450889060102</v>
      </c>
      <c r="AZ193" s="69">
        <f t="shared" si="113"/>
        <v>0.000877136161685631</v>
      </c>
      <c r="BA193" s="69">
        <f t="shared" si="114"/>
        <v>6.76645076489761e-7</v>
      </c>
      <c r="BB193" s="72">
        <f t="shared" si="92"/>
        <v>12.9259249826349</v>
      </c>
      <c r="BC193" s="72">
        <f t="shared" si="93"/>
        <v>4.14221275746512</v>
      </c>
      <c r="BD193" s="72">
        <f t="shared" si="94"/>
        <v>0.986416804104724</v>
      </c>
      <c r="BE193" s="72">
        <f t="shared" si="95"/>
        <v>15.1198881301668</v>
      </c>
      <c r="BF193" s="1"/>
      <c r="BG193" s="81"/>
      <c r="BH193" s="81"/>
    </row>
    <row r="194" ht="25" customHeight="1" spans="1:60">
      <c r="A194" s="85">
        <v>75</v>
      </c>
      <c r="B194" s="85" t="s">
        <v>205</v>
      </c>
      <c r="C194" s="55">
        <v>0.262009821995388</v>
      </c>
      <c r="D194" s="55">
        <v>-9.43979277525855</v>
      </c>
      <c r="E194" s="55"/>
      <c r="F194" s="55">
        <v>1.64278088898173</v>
      </c>
      <c r="G194" s="56">
        <v>1</v>
      </c>
      <c r="H194" s="57">
        <f t="shared" si="115"/>
        <v>8.36637353682585e-5</v>
      </c>
      <c r="I194" s="57">
        <f t="shared" si="116"/>
        <v>0.000333333333333333</v>
      </c>
      <c r="J194" s="58">
        <f t="shared" si="96"/>
        <v>0.0151661604044695</v>
      </c>
      <c r="K194" s="58">
        <v>0</v>
      </c>
      <c r="L194" s="58">
        <f t="shared" si="97"/>
        <v>0.94458670805014</v>
      </c>
      <c r="M194" s="57">
        <f t="shared" si="98"/>
        <v>0.000925581912894993</v>
      </c>
      <c r="N194" s="57">
        <f t="shared" si="99"/>
        <v>0.00700895770469227</v>
      </c>
      <c r="O194" s="57">
        <f t="shared" si="100"/>
        <v>0.045870006040688</v>
      </c>
      <c r="P194" s="59">
        <v>0.0302</v>
      </c>
      <c r="Q194" s="60">
        <f t="shared" si="82"/>
        <v>0.0302</v>
      </c>
      <c r="R194" s="61">
        <v>1000</v>
      </c>
      <c r="S194" s="59">
        <v>1.1616</v>
      </c>
      <c r="T194" s="59">
        <v>9.801</v>
      </c>
      <c r="U194" s="62">
        <v>4e-6</v>
      </c>
      <c r="V194" s="63"/>
      <c r="W194" s="63">
        <f t="shared" si="83"/>
        <v>4e-6</v>
      </c>
      <c r="X194" s="64">
        <v>0.001147</v>
      </c>
      <c r="Y194" s="64">
        <v>1.85e-5</v>
      </c>
      <c r="Z194" s="65"/>
      <c r="AA194" s="66">
        <f t="shared" si="110"/>
        <v>0.00164278088898173</v>
      </c>
      <c r="AB194" s="65">
        <f t="shared" si="84"/>
        <v>1.46020116320361</v>
      </c>
      <c r="AC194" s="65">
        <f t="shared" si="85"/>
        <v>7.4685765857068</v>
      </c>
      <c r="AD194" s="65">
        <f t="shared" si="86"/>
        <v>3.50334349817808</v>
      </c>
      <c r="AI194" s="63">
        <f t="shared" si="87"/>
        <v>56.6507723233271</v>
      </c>
      <c r="AJ194" s="63"/>
      <c r="AK194" s="69">
        <f t="shared" si="101"/>
        <v>2913.3646849016</v>
      </c>
      <c r="AL194" s="69"/>
      <c r="AM194" s="69">
        <f t="shared" si="111"/>
        <v>0.00995116774267252</v>
      </c>
      <c r="AN194" s="69">
        <f t="shared" si="88"/>
        <v>8.30574198862625e-5</v>
      </c>
      <c r="AO194" s="65">
        <f t="shared" si="102"/>
        <v>0.0121161876648085</v>
      </c>
      <c r="AP194" s="68"/>
      <c r="AQ194" s="68"/>
      <c r="AR194" s="68">
        <f t="shared" si="89"/>
        <v>14.9877241413681</v>
      </c>
      <c r="AS194" s="68">
        <f t="shared" si="90"/>
        <v>21.2033284134149</v>
      </c>
      <c r="AT194" s="71">
        <f t="shared" si="91"/>
        <v>0.0205982401317931</v>
      </c>
      <c r="AU194" s="71"/>
      <c r="AV194" s="65"/>
      <c r="AW194" s="65">
        <f t="shared" si="103"/>
        <v>0.0454543953944548</v>
      </c>
      <c r="AX194" s="65">
        <f t="shared" si="112"/>
        <v>0.266557008616302</v>
      </c>
      <c r="AY194" s="65">
        <f t="shared" si="104"/>
        <v>18.6679030185574</v>
      </c>
      <c r="AZ194" s="69">
        <f t="shared" si="113"/>
        <v>0.000649038494187808</v>
      </c>
      <c r="BA194" s="69">
        <f t="shared" si="114"/>
        <v>6.3743027050021e-7</v>
      </c>
      <c r="BB194" s="72">
        <f t="shared" si="92"/>
        <v>14.0093419874348</v>
      </c>
      <c r="BC194" s="72">
        <f t="shared" si="93"/>
        <v>5.3054825671787</v>
      </c>
      <c r="BD194" s="72">
        <f t="shared" si="94"/>
        <v>1.07025922703146</v>
      </c>
      <c r="BE194" s="72">
        <f t="shared" si="95"/>
        <v>14.475263582063</v>
      </c>
      <c r="BF194" s="1"/>
      <c r="BG194" s="81"/>
      <c r="BH194" s="81"/>
    </row>
    <row r="195" ht="25" customHeight="1" spans="1:60">
      <c r="A195" s="85">
        <v>76</v>
      </c>
      <c r="B195" s="85" t="s">
        <v>205</v>
      </c>
      <c r="C195" s="55">
        <v>0.256032383688495</v>
      </c>
      <c r="D195" s="55">
        <v>-7.26758885584294</v>
      </c>
      <c r="E195" s="55"/>
      <c r="F195" s="55">
        <v>1.58578062913444</v>
      </c>
      <c r="G195" s="56">
        <v>1</v>
      </c>
      <c r="H195" s="57">
        <f t="shared" si="115"/>
        <v>8.36637353682585e-5</v>
      </c>
      <c r="I195" s="57">
        <f t="shared" si="116"/>
        <v>0.000333333333333333</v>
      </c>
      <c r="J195" s="58">
        <f t="shared" si="96"/>
        <v>0.0154150724119697</v>
      </c>
      <c r="K195" s="58">
        <v>0</v>
      </c>
      <c r="L195" s="58">
        <f t="shared" si="97"/>
        <v>0.905042079230814</v>
      </c>
      <c r="M195" s="57">
        <f t="shared" si="98"/>
        <v>0.000909382500328657</v>
      </c>
      <c r="N195" s="57">
        <f t="shared" si="99"/>
        <v>0.00710156109971021</v>
      </c>
      <c r="O195" s="57">
        <f t="shared" si="100"/>
        <v>0.0462684315249391</v>
      </c>
      <c r="P195" s="59">
        <v>0.0302</v>
      </c>
      <c r="Q195" s="60">
        <f t="shared" si="82"/>
        <v>0.0302</v>
      </c>
      <c r="R195" s="61">
        <v>1000</v>
      </c>
      <c r="S195" s="59">
        <v>1.1616</v>
      </c>
      <c r="T195" s="59">
        <v>9.801</v>
      </c>
      <c r="U195" s="62">
        <v>4e-6</v>
      </c>
      <c r="V195" s="63"/>
      <c r="W195" s="63">
        <f t="shared" si="83"/>
        <v>4e-6</v>
      </c>
      <c r="X195" s="64">
        <v>0.001147</v>
      </c>
      <c r="Y195" s="64">
        <v>1.85e-5</v>
      </c>
      <c r="Z195" s="65"/>
      <c r="AA195" s="66">
        <f t="shared" si="110"/>
        <v>0.00158578062913444</v>
      </c>
      <c r="AB195" s="65">
        <f t="shared" si="84"/>
        <v>1.30237418436354</v>
      </c>
      <c r="AC195" s="65">
        <f t="shared" si="85"/>
        <v>6.88423933298256</v>
      </c>
      <c r="AD195" s="65">
        <f t="shared" si="86"/>
        <v>3.26444724461408</v>
      </c>
      <c r="AI195" s="63">
        <f t="shared" si="87"/>
        <v>55.3583532299449</v>
      </c>
      <c r="AJ195" s="63"/>
      <c r="AK195" s="69">
        <f t="shared" si="101"/>
        <v>3050.98587167775</v>
      </c>
      <c r="AL195" s="69"/>
      <c r="AM195" s="69">
        <f t="shared" si="111"/>
        <v>0.00972414384406304</v>
      </c>
      <c r="AN195" s="69">
        <f t="shared" si="88"/>
        <v>8.45369748710425e-5</v>
      </c>
      <c r="AO195" s="65">
        <f t="shared" si="102"/>
        <v>0.0114910890773841</v>
      </c>
      <c r="AP195" s="68"/>
      <c r="AQ195" s="68"/>
      <c r="AR195" s="68">
        <f t="shared" si="89"/>
        <v>14.2144771887242</v>
      </c>
      <c r="AS195" s="68">
        <f t="shared" si="90"/>
        <v>20.1094058854222</v>
      </c>
      <c r="AT195" s="71">
        <f t="shared" si="91"/>
        <v>0.0209651697680185</v>
      </c>
      <c r="AU195" s="71"/>
      <c r="AV195" s="65"/>
      <c r="AW195" s="65">
        <f t="shared" si="103"/>
        <v>0.0443555698976663</v>
      </c>
      <c r="AX195" s="65">
        <f t="shared" si="112"/>
        <v>0.259067555752197</v>
      </c>
      <c r="AY195" s="65">
        <f t="shared" si="104"/>
        <v>17.5845508844845</v>
      </c>
      <c r="AZ195" s="69">
        <f t="shared" si="113"/>
        <v>0.000653476403967937</v>
      </c>
      <c r="BA195" s="69">
        <f t="shared" si="114"/>
        <v>5.47491950350285e-7</v>
      </c>
      <c r="BB195" s="72">
        <f t="shared" si="92"/>
        <v>13.2865717457254</v>
      </c>
      <c r="BC195" s="72">
        <f t="shared" si="93"/>
        <v>5.45886017362134</v>
      </c>
      <c r="BD195" s="72">
        <f t="shared" si="94"/>
        <v>1.23050711938305</v>
      </c>
      <c r="BE195" s="72">
        <f t="shared" si="95"/>
        <v>13.4131338222107</v>
      </c>
      <c r="BF195" s="1"/>
      <c r="BG195" s="81"/>
      <c r="BH195" s="81"/>
    </row>
    <row r="196" ht="25" customHeight="1" spans="1:60">
      <c r="A196" s="85">
        <v>100</v>
      </c>
      <c r="B196" s="85" t="s">
        <v>205</v>
      </c>
      <c r="C196" s="55">
        <v>0</v>
      </c>
      <c r="D196" s="55">
        <v>0</v>
      </c>
      <c r="E196" s="55"/>
      <c r="F196" s="55">
        <v>0</v>
      </c>
      <c r="G196" s="56">
        <v>1</v>
      </c>
      <c r="H196" s="57">
        <f t="shared" si="115"/>
        <v>8.36637353682585e-5</v>
      </c>
      <c r="I196" s="57">
        <f t="shared" si="116"/>
        <v>0.000333333333333333</v>
      </c>
      <c r="J196" s="58" t="e">
        <f t="shared" si="96"/>
        <v>#DIV/0!</v>
      </c>
      <c r="K196" s="58">
        <v>0</v>
      </c>
      <c r="L196" s="58" t="e">
        <f t="shared" si="97"/>
        <v>#DIV/0!</v>
      </c>
      <c r="M196" s="57" t="e">
        <f t="shared" si="98"/>
        <v>#DIV/0!</v>
      </c>
      <c r="N196" s="57" t="e">
        <f t="shared" si="99"/>
        <v>#DIV/0!</v>
      </c>
      <c r="O196" s="57" t="e">
        <f t="shared" si="100"/>
        <v>#DIV/0!</v>
      </c>
      <c r="P196" s="59">
        <v>0.0302</v>
      </c>
      <c r="Q196" s="60">
        <f t="shared" ref="Q196:Q218" si="118">0.0252+0.005*G196</f>
        <v>0.0302</v>
      </c>
      <c r="R196" s="61">
        <v>1000</v>
      </c>
      <c r="S196" s="59">
        <v>1.1616</v>
      </c>
      <c r="T196" s="59">
        <v>9.801</v>
      </c>
      <c r="U196" s="62">
        <v>4e-6</v>
      </c>
      <c r="V196" s="63"/>
      <c r="W196" s="63">
        <f t="shared" ref="W196:W218" si="119">0.000002+0.000002*G196</f>
        <v>4e-6</v>
      </c>
      <c r="X196" s="64">
        <v>0.001147</v>
      </c>
      <c r="Y196" s="64">
        <v>1.85e-5</v>
      </c>
      <c r="Z196" s="65"/>
      <c r="AA196" s="66">
        <f t="shared" si="110"/>
        <v>0</v>
      </c>
      <c r="AB196" s="65">
        <f t="shared" ref="AB196:AB218" si="120">(C196^2-0.2^2)/(2*9.81)*1000</f>
        <v>-2.03873598369011</v>
      </c>
      <c r="AC196" s="65">
        <f t="shared" ref="AC196:AC218" si="121">R196*2*AA196*C196^2/P196</f>
        <v>0</v>
      </c>
      <c r="AD196" s="65">
        <f t="shared" ref="AD196:AD218" si="122">R196*T196*(AA196*2)^2/P196</f>
        <v>0</v>
      </c>
      <c r="AI196" s="63">
        <f t="shared" ref="AI196:AI218" si="123">R196*C196*U196/Y196</f>
        <v>0</v>
      </c>
      <c r="AJ196" s="63"/>
      <c r="AK196" s="69" t="e">
        <f t="shared" si="101"/>
        <v>#DIV/0!</v>
      </c>
      <c r="AL196" s="69"/>
      <c r="AM196" s="69">
        <f t="shared" si="111"/>
        <v>0</v>
      </c>
      <c r="AN196" s="69" t="e">
        <f t="shared" ref="AN196:AN218" si="124">Y196/SQRT(R196*P196*AA196)</f>
        <v>#DIV/0!</v>
      </c>
      <c r="AO196" s="65">
        <f t="shared" si="102"/>
        <v>0</v>
      </c>
      <c r="AP196" s="68"/>
      <c r="AQ196" s="68"/>
      <c r="AR196" s="68">
        <f t="shared" ref="AR196:AR218" si="125">1.237*AO196*1000</f>
        <v>0</v>
      </c>
      <c r="AS196" s="68">
        <f t="shared" ref="AS196:AS218" si="126">1.75*1000*AO196</f>
        <v>0</v>
      </c>
      <c r="AT196" s="71" t="e">
        <f t="shared" ref="AT196:AT218" si="127">X196/Y196*4*AN196</f>
        <v>#DIV/0!</v>
      </c>
      <c r="AU196" s="71"/>
      <c r="AV196" s="65"/>
      <c r="AW196" s="65" t="e">
        <f t="shared" si="103"/>
        <v>#DIV/0!</v>
      </c>
      <c r="AX196" s="65" t="e">
        <f t="shared" si="112"/>
        <v>#DIV/0!</v>
      </c>
      <c r="AY196" s="65" t="e">
        <f t="shared" si="104"/>
        <v>#DIV/0!</v>
      </c>
      <c r="AZ196" s="69" t="e">
        <f t="shared" si="113"/>
        <v>#DIV/0!</v>
      </c>
      <c r="BA196" s="69">
        <f t="shared" si="114"/>
        <v>0</v>
      </c>
      <c r="BB196" s="72" t="e">
        <f t="shared" ref="BB196:BB218" si="128">AN196*(AA196)^2/(U196)^2</f>
        <v>#DIV/0!</v>
      </c>
      <c r="BC196" s="72" t="e">
        <f t="shared" ref="BC196:BC218" si="129">((AA196*2)^2)*(AN196)/(SQRT(2)*AC196*((U196)^2))</f>
        <v>#DIV/0!</v>
      </c>
      <c r="BD196" s="72" t="e">
        <f t="shared" ref="BD196:BD218" si="130">(15-2*AD196)/(AC196)</f>
        <v>#DIV/0!</v>
      </c>
      <c r="BE196" s="72">
        <f t="shared" ref="BE196:BE218" si="131">AC196+2*AD196</f>
        <v>0</v>
      </c>
      <c r="BF196" s="21" t="s">
        <v>104</v>
      </c>
      <c r="BG196" s="81"/>
      <c r="BH196" s="81"/>
    </row>
    <row r="197" ht="25" customHeight="1" spans="1:60">
      <c r="A197" s="85">
        <v>101</v>
      </c>
      <c r="B197" s="85" t="s">
        <v>205</v>
      </c>
      <c r="C197" s="55">
        <v>0</v>
      </c>
      <c r="D197" s="55">
        <v>0</v>
      </c>
      <c r="E197" s="55"/>
      <c r="F197" s="55">
        <v>0</v>
      </c>
      <c r="G197" s="56">
        <v>1</v>
      </c>
      <c r="H197" s="57">
        <f t="shared" si="115"/>
        <v>8.36637353682585e-5</v>
      </c>
      <c r="I197" s="57">
        <f t="shared" si="116"/>
        <v>0.000333333333333333</v>
      </c>
      <c r="J197" s="58" t="e">
        <f t="shared" ref="J197:J218" si="132">C197*SQRT((H197/AA197)^2+(I197/AO197)^2)</f>
        <v>#DIV/0!</v>
      </c>
      <c r="K197" s="58">
        <v>0</v>
      </c>
      <c r="L197" s="58" t="e">
        <f t="shared" ref="L197:L218" si="133">AC197*SQRT((H197/AA197)^2+(2*J197/C197)^2)</f>
        <v>#DIV/0!</v>
      </c>
      <c r="M197" s="57" t="e">
        <f t="shared" ref="M197:M218" si="134">AO197*1.5*H197/AA197</f>
        <v>#DIV/0!</v>
      </c>
      <c r="N197" s="57" t="e">
        <f t="shared" ref="N197:N218" si="135">AW197*SQRT((2*H197/AA197)^2+(2*J197/C197)^2)</f>
        <v>#DIV/0!</v>
      </c>
      <c r="O197" s="57" t="e">
        <f t="shared" ref="O197:O218" si="136">AX197*SQRT((M197/AO197)^2+(N197/AW197)^2)</f>
        <v>#DIV/0!</v>
      </c>
      <c r="P197" s="59">
        <v>0.0302</v>
      </c>
      <c r="Q197" s="60">
        <f t="shared" si="118"/>
        <v>0.0302</v>
      </c>
      <c r="R197" s="61">
        <v>1000</v>
      </c>
      <c r="S197" s="59">
        <v>1.1616</v>
      </c>
      <c r="T197" s="59">
        <v>9.801</v>
      </c>
      <c r="U197" s="62">
        <v>4e-6</v>
      </c>
      <c r="V197" s="63"/>
      <c r="W197" s="63">
        <f t="shared" si="119"/>
        <v>4e-6</v>
      </c>
      <c r="X197" s="64">
        <v>0.001147</v>
      </c>
      <c r="Y197" s="64">
        <v>1.85e-5</v>
      </c>
      <c r="Z197" s="65"/>
      <c r="AA197" s="66">
        <f t="shared" si="110"/>
        <v>0</v>
      </c>
      <c r="AB197" s="65">
        <f t="shared" si="120"/>
        <v>-2.03873598369011</v>
      </c>
      <c r="AC197" s="65">
        <f t="shared" si="121"/>
        <v>0</v>
      </c>
      <c r="AD197" s="65">
        <f t="shared" si="122"/>
        <v>0</v>
      </c>
      <c r="AI197" s="63">
        <f t="shared" si="123"/>
        <v>0</v>
      </c>
      <c r="AJ197" s="63"/>
      <c r="AK197" s="69" t="e">
        <f t="shared" ref="AK197:AK218" si="137">G197*1*10^5/(0.5*R197*C197^2)</f>
        <v>#DIV/0!</v>
      </c>
      <c r="AL197" s="69"/>
      <c r="AM197" s="69">
        <f t="shared" si="111"/>
        <v>0</v>
      </c>
      <c r="AN197" s="69" t="e">
        <f t="shared" si="124"/>
        <v>#DIV/0!</v>
      </c>
      <c r="AO197" s="65">
        <f t="shared" ref="AO197:AO218" si="138">SQRT(R197*(AA197^3)/P197)</f>
        <v>0</v>
      </c>
      <c r="AP197" s="68"/>
      <c r="AQ197" s="68"/>
      <c r="AR197" s="68">
        <f t="shared" si="125"/>
        <v>0</v>
      </c>
      <c r="AS197" s="68">
        <f t="shared" si="126"/>
        <v>0</v>
      </c>
      <c r="AT197" s="71" t="e">
        <f t="shared" si="127"/>
        <v>#DIV/0!</v>
      </c>
      <c r="AU197" s="71"/>
      <c r="AV197" s="65"/>
      <c r="AW197" s="65" t="e">
        <f t="shared" ref="AW197:AW218" si="139">Y197*(AA197)^2/(R197*(C197*U197)^2)</f>
        <v>#DIV/0!</v>
      </c>
      <c r="AX197" s="65" t="e">
        <f t="shared" si="112"/>
        <v>#DIV/0!</v>
      </c>
      <c r="AY197" s="65" t="e">
        <f t="shared" ref="AY197:AY218" si="140">Y197*(AA197)^3/(R197*(C197)^2*(U197)^3)</f>
        <v>#DIV/0!</v>
      </c>
      <c r="AZ197" s="69" t="e">
        <f t="shared" si="113"/>
        <v>#DIV/0!</v>
      </c>
      <c r="BA197" s="69">
        <f t="shared" si="114"/>
        <v>0</v>
      </c>
      <c r="BB197" s="72" t="e">
        <f t="shared" si="128"/>
        <v>#DIV/0!</v>
      </c>
      <c r="BC197" s="72" t="e">
        <f t="shared" si="129"/>
        <v>#DIV/0!</v>
      </c>
      <c r="BD197" s="72" t="e">
        <f t="shared" si="130"/>
        <v>#DIV/0!</v>
      </c>
      <c r="BE197" s="72">
        <f t="shared" si="131"/>
        <v>0</v>
      </c>
      <c r="BF197" s="21" t="s">
        <v>104</v>
      </c>
      <c r="BG197" s="81"/>
      <c r="BH197" s="81"/>
    </row>
    <row r="198" ht="25" customHeight="1" spans="1:60">
      <c r="A198" s="85">
        <v>102</v>
      </c>
      <c r="B198" s="85" t="s">
        <v>205</v>
      </c>
      <c r="C198" s="55">
        <v>0</v>
      </c>
      <c r="D198" s="55">
        <v>0</v>
      </c>
      <c r="E198" s="55"/>
      <c r="F198" s="55">
        <v>0</v>
      </c>
      <c r="G198" s="56">
        <v>1</v>
      </c>
      <c r="H198" s="57">
        <f t="shared" si="115"/>
        <v>8.36637353682585e-5</v>
      </c>
      <c r="I198" s="57">
        <f t="shared" si="116"/>
        <v>0.000333333333333333</v>
      </c>
      <c r="J198" s="58" t="e">
        <f t="shared" si="132"/>
        <v>#DIV/0!</v>
      </c>
      <c r="K198" s="58">
        <v>0</v>
      </c>
      <c r="L198" s="58" t="e">
        <f t="shared" si="133"/>
        <v>#DIV/0!</v>
      </c>
      <c r="M198" s="57" t="e">
        <f t="shared" si="134"/>
        <v>#DIV/0!</v>
      </c>
      <c r="N198" s="57" t="e">
        <f t="shared" si="135"/>
        <v>#DIV/0!</v>
      </c>
      <c r="O198" s="57" t="e">
        <f t="shared" si="136"/>
        <v>#DIV/0!</v>
      </c>
      <c r="P198" s="59">
        <v>0.0302</v>
      </c>
      <c r="Q198" s="60">
        <f t="shared" si="118"/>
        <v>0.0302</v>
      </c>
      <c r="R198" s="61">
        <v>1000</v>
      </c>
      <c r="S198" s="59">
        <v>1.1616</v>
      </c>
      <c r="T198" s="59">
        <v>9.801</v>
      </c>
      <c r="U198" s="62">
        <v>4e-6</v>
      </c>
      <c r="V198" s="63"/>
      <c r="W198" s="63">
        <f t="shared" si="119"/>
        <v>4e-6</v>
      </c>
      <c r="X198" s="64">
        <v>0.001147</v>
      </c>
      <c r="Y198" s="64">
        <v>1.85e-5</v>
      </c>
      <c r="Z198" s="65"/>
      <c r="AA198" s="66">
        <f t="shared" si="110"/>
        <v>0</v>
      </c>
      <c r="AB198" s="65">
        <f t="shared" si="120"/>
        <v>-2.03873598369011</v>
      </c>
      <c r="AC198" s="65">
        <f t="shared" si="121"/>
        <v>0</v>
      </c>
      <c r="AD198" s="65">
        <f t="shared" si="122"/>
        <v>0</v>
      </c>
      <c r="AI198" s="63">
        <f t="shared" si="123"/>
        <v>0</v>
      </c>
      <c r="AJ198" s="63"/>
      <c r="AK198" s="69" t="e">
        <f t="shared" si="137"/>
        <v>#DIV/0!</v>
      </c>
      <c r="AL198" s="69"/>
      <c r="AM198" s="69">
        <f t="shared" si="111"/>
        <v>0</v>
      </c>
      <c r="AN198" s="69" t="e">
        <f t="shared" si="124"/>
        <v>#DIV/0!</v>
      </c>
      <c r="AO198" s="65">
        <f t="shared" si="138"/>
        <v>0</v>
      </c>
      <c r="AP198" s="68"/>
      <c r="AQ198" s="68"/>
      <c r="AR198" s="68">
        <f t="shared" si="125"/>
        <v>0</v>
      </c>
      <c r="AS198" s="68">
        <f t="shared" si="126"/>
        <v>0</v>
      </c>
      <c r="AT198" s="71" t="e">
        <f t="shared" si="127"/>
        <v>#DIV/0!</v>
      </c>
      <c r="AU198" s="71"/>
      <c r="AV198" s="65"/>
      <c r="AW198" s="65" t="e">
        <f t="shared" si="139"/>
        <v>#DIV/0!</v>
      </c>
      <c r="AX198" s="65" t="e">
        <f t="shared" si="112"/>
        <v>#DIV/0!</v>
      </c>
      <c r="AY198" s="65" t="e">
        <f t="shared" si="140"/>
        <v>#DIV/0!</v>
      </c>
      <c r="AZ198" s="69" t="e">
        <f t="shared" si="113"/>
        <v>#DIV/0!</v>
      </c>
      <c r="BA198" s="69">
        <f t="shared" si="114"/>
        <v>0</v>
      </c>
      <c r="BB198" s="72" t="e">
        <f t="shared" si="128"/>
        <v>#DIV/0!</v>
      </c>
      <c r="BC198" s="72" t="e">
        <f t="shared" si="129"/>
        <v>#DIV/0!</v>
      </c>
      <c r="BD198" s="72" t="e">
        <f t="shared" si="130"/>
        <v>#DIV/0!</v>
      </c>
      <c r="BE198" s="72">
        <f t="shared" si="131"/>
        <v>0</v>
      </c>
      <c r="BF198" s="21" t="s">
        <v>104</v>
      </c>
      <c r="BG198" s="81"/>
      <c r="BH198" s="81"/>
    </row>
    <row r="199" ht="25" customHeight="1" spans="1:60">
      <c r="A199" s="85">
        <v>104</v>
      </c>
      <c r="B199" s="85" t="s">
        <v>205</v>
      </c>
      <c r="C199" s="55">
        <v>0</v>
      </c>
      <c r="D199" s="55">
        <v>0</v>
      </c>
      <c r="E199" s="55"/>
      <c r="F199" s="55">
        <v>0</v>
      </c>
      <c r="G199" s="56">
        <v>1</v>
      </c>
      <c r="H199" s="57">
        <f t="shared" si="115"/>
        <v>8.36637353682585e-5</v>
      </c>
      <c r="I199" s="57">
        <f t="shared" si="116"/>
        <v>0.000333333333333333</v>
      </c>
      <c r="J199" s="58" t="e">
        <f t="shared" si="132"/>
        <v>#DIV/0!</v>
      </c>
      <c r="K199" s="58">
        <v>0</v>
      </c>
      <c r="L199" s="58" t="e">
        <f t="shared" si="133"/>
        <v>#DIV/0!</v>
      </c>
      <c r="M199" s="57" t="e">
        <f t="shared" si="134"/>
        <v>#DIV/0!</v>
      </c>
      <c r="N199" s="57" t="e">
        <f t="shared" si="135"/>
        <v>#DIV/0!</v>
      </c>
      <c r="O199" s="57" t="e">
        <f t="shared" si="136"/>
        <v>#DIV/0!</v>
      </c>
      <c r="P199" s="59">
        <v>0.0302</v>
      </c>
      <c r="Q199" s="60">
        <f t="shared" si="118"/>
        <v>0.0302</v>
      </c>
      <c r="R199" s="61">
        <v>1000</v>
      </c>
      <c r="S199" s="59">
        <v>1.1616</v>
      </c>
      <c r="T199" s="59">
        <v>9.801</v>
      </c>
      <c r="U199" s="62">
        <v>4e-6</v>
      </c>
      <c r="V199" s="63"/>
      <c r="W199" s="63">
        <f t="shared" si="119"/>
        <v>4e-6</v>
      </c>
      <c r="X199" s="64">
        <v>0.001147</v>
      </c>
      <c r="Y199" s="64">
        <v>1.85e-5</v>
      </c>
      <c r="Z199" s="65"/>
      <c r="AA199" s="66">
        <f t="shared" si="110"/>
        <v>0</v>
      </c>
      <c r="AB199" s="65">
        <f t="shared" si="120"/>
        <v>-2.03873598369011</v>
      </c>
      <c r="AC199" s="65">
        <f t="shared" si="121"/>
        <v>0</v>
      </c>
      <c r="AD199" s="65">
        <f t="shared" si="122"/>
        <v>0</v>
      </c>
      <c r="AI199" s="63">
        <f t="shared" si="123"/>
        <v>0</v>
      </c>
      <c r="AJ199" s="63"/>
      <c r="AK199" s="69" t="e">
        <f t="shared" si="137"/>
        <v>#DIV/0!</v>
      </c>
      <c r="AL199" s="69"/>
      <c r="AM199" s="69">
        <f t="shared" si="111"/>
        <v>0</v>
      </c>
      <c r="AN199" s="69" t="e">
        <f t="shared" si="124"/>
        <v>#DIV/0!</v>
      </c>
      <c r="AO199" s="65">
        <f t="shared" si="138"/>
        <v>0</v>
      </c>
      <c r="AP199" s="68"/>
      <c r="AQ199" s="68"/>
      <c r="AR199" s="68">
        <f t="shared" si="125"/>
        <v>0</v>
      </c>
      <c r="AS199" s="68">
        <f t="shared" si="126"/>
        <v>0</v>
      </c>
      <c r="AT199" s="71" t="e">
        <f t="shared" si="127"/>
        <v>#DIV/0!</v>
      </c>
      <c r="AU199" s="71"/>
      <c r="AV199" s="65"/>
      <c r="AW199" s="65" t="e">
        <f t="shared" si="139"/>
        <v>#DIV/0!</v>
      </c>
      <c r="AX199" s="65" t="e">
        <f t="shared" si="112"/>
        <v>#DIV/0!</v>
      </c>
      <c r="AY199" s="65" t="e">
        <f t="shared" si="140"/>
        <v>#DIV/0!</v>
      </c>
      <c r="AZ199" s="69" t="e">
        <f t="shared" si="113"/>
        <v>#DIV/0!</v>
      </c>
      <c r="BA199" s="69">
        <f t="shared" si="114"/>
        <v>0</v>
      </c>
      <c r="BB199" s="72" t="e">
        <f t="shared" si="128"/>
        <v>#DIV/0!</v>
      </c>
      <c r="BC199" s="72" t="e">
        <f t="shared" si="129"/>
        <v>#DIV/0!</v>
      </c>
      <c r="BD199" s="72" t="e">
        <f t="shared" si="130"/>
        <v>#DIV/0!</v>
      </c>
      <c r="BE199" s="72">
        <f t="shared" si="131"/>
        <v>0</v>
      </c>
      <c r="BF199" s="21" t="s">
        <v>104</v>
      </c>
      <c r="BG199" s="81"/>
      <c r="BH199" s="81"/>
    </row>
    <row r="200" ht="25" customHeight="1" spans="1:60">
      <c r="A200" s="85">
        <v>105</v>
      </c>
      <c r="B200" s="85" t="s">
        <v>205</v>
      </c>
      <c r="C200" s="55">
        <v>0</v>
      </c>
      <c r="D200" s="55">
        <v>0</v>
      </c>
      <c r="E200" s="55"/>
      <c r="F200" s="55">
        <v>0</v>
      </c>
      <c r="G200" s="56">
        <v>1</v>
      </c>
      <c r="H200" s="57">
        <f t="shared" si="115"/>
        <v>8.36637353682585e-5</v>
      </c>
      <c r="I200" s="57">
        <f t="shared" si="116"/>
        <v>0.000333333333333333</v>
      </c>
      <c r="J200" s="58" t="e">
        <f t="shared" si="132"/>
        <v>#DIV/0!</v>
      </c>
      <c r="K200" s="58">
        <v>0</v>
      </c>
      <c r="L200" s="58" t="e">
        <f t="shared" si="133"/>
        <v>#DIV/0!</v>
      </c>
      <c r="M200" s="57" t="e">
        <f t="shared" si="134"/>
        <v>#DIV/0!</v>
      </c>
      <c r="N200" s="57" t="e">
        <f t="shared" si="135"/>
        <v>#DIV/0!</v>
      </c>
      <c r="O200" s="57" t="e">
        <f t="shared" si="136"/>
        <v>#DIV/0!</v>
      </c>
      <c r="P200" s="59">
        <v>0.0302</v>
      </c>
      <c r="Q200" s="60">
        <f t="shared" si="118"/>
        <v>0.0302</v>
      </c>
      <c r="R200" s="61">
        <v>1000</v>
      </c>
      <c r="S200" s="59">
        <v>1.1616</v>
      </c>
      <c r="T200" s="59">
        <v>9.801</v>
      </c>
      <c r="U200" s="62">
        <v>4e-6</v>
      </c>
      <c r="V200" s="63"/>
      <c r="W200" s="63">
        <f t="shared" si="119"/>
        <v>4e-6</v>
      </c>
      <c r="X200" s="64">
        <v>0.001147</v>
      </c>
      <c r="Y200" s="64">
        <v>1.85e-5</v>
      </c>
      <c r="Z200" s="65"/>
      <c r="AA200" s="66">
        <f t="shared" si="110"/>
        <v>0</v>
      </c>
      <c r="AB200" s="65">
        <f t="shared" si="120"/>
        <v>-2.03873598369011</v>
      </c>
      <c r="AC200" s="65">
        <f t="shared" si="121"/>
        <v>0</v>
      </c>
      <c r="AD200" s="65">
        <f t="shared" si="122"/>
        <v>0</v>
      </c>
      <c r="AI200" s="63">
        <f t="shared" si="123"/>
        <v>0</v>
      </c>
      <c r="AJ200" s="63"/>
      <c r="AK200" s="69" t="e">
        <f t="shared" si="137"/>
        <v>#DIV/0!</v>
      </c>
      <c r="AL200" s="69"/>
      <c r="AM200" s="69">
        <f t="shared" si="111"/>
        <v>0</v>
      </c>
      <c r="AN200" s="69" t="e">
        <f t="shared" si="124"/>
        <v>#DIV/0!</v>
      </c>
      <c r="AO200" s="65">
        <f t="shared" si="138"/>
        <v>0</v>
      </c>
      <c r="AP200" s="68"/>
      <c r="AQ200" s="68"/>
      <c r="AR200" s="68">
        <f t="shared" si="125"/>
        <v>0</v>
      </c>
      <c r="AS200" s="68">
        <f t="shared" si="126"/>
        <v>0</v>
      </c>
      <c r="AT200" s="71" t="e">
        <f t="shared" si="127"/>
        <v>#DIV/0!</v>
      </c>
      <c r="AU200" s="71"/>
      <c r="AV200" s="65"/>
      <c r="AW200" s="65" t="e">
        <f t="shared" si="139"/>
        <v>#DIV/0!</v>
      </c>
      <c r="AX200" s="65" t="e">
        <f t="shared" si="112"/>
        <v>#DIV/0!</v>
      </c>
      <c r="AY200" s="65" t="e">
        <f t="shared" si="140"/>
        <v>#DIV/0!</v>
      </c>
      <c r="AZ200" s="69" t="e">
        <f t="shared" si="113"/>
        <v>#DIV/0!</v>
      </c>
      <c r="BA200" s="69">
        <f t="shared" si="114"/>
        <v>0</v>
      </c>
      <c r="BB200" s="72" t="e">
        <f t="shared" si="128"/>
        <v>#DIV/0!</v>
      </c>
      <c r="BC200" s="72" t="e">
        <f t="shared" si="129"/>
        <v>#DIV/0!</v>
      </c>
      <c r="BD200" s="72" t="e">
        <f t="shared" si="130"/>
        <v>#DIV/0!</v>
      </c>
      <c r="BE200" s="72">
        <f t="shared" si="131"/>
        <v>0</v>
      </c>
      <c r="BF200" s="21" t="s">
        <v>104</v>
      </c>
      <c r="BG200" s="81"/>
      <c r="BH200" s="81"/>
    </row>
    <row r="201" ht="25" customHeight="1" spans="1:60">
      <c r="A201" s="85">
        <v>167</v>
      </c>
      <c r="B201" s="85" t="s">
        <v>205</v>
      </c>
      <c r="C201" s="55">
        <v>0</v>
      </c>
      <c r="D201" s="55">
        <v>0</v>
      </c>
      <c r="E201" s="55"/>
      <c r="F201" s="55">
        <v>0</v>
      </c>
      <c r="G201" s="56">
        <v>1</v>
      </c>
      <c r="H201" s="57">
        <f t="shared" ref="H201:H216" si="141">0.001/5.3843</f>
        <v>0.000185725163902457</v>
      </c>
      <c r="I201" s="57">
        <f t="shared" ref="I201:I216" si="142">1/8000</f>
        <v>0.000125</v>
      </c>
      <c r="J201" s="58" t="e">
        <f t="shared" si="132"/>
        <v>#DIV/0!</v>
      </c>
      <c r="K201" s="58">
        <v>0</v>
      </c>
      <c r="L201" s="58" t="e">
        <f t="shared" si="133"/>
        <v>#DIV/0!</v>
      </c>
      <c r="M201" s="57" t="e">
        <f t="shared" si="134"/>
        <v>#DIV/0!</v>
      </c>
      <c r="N201" s="57" t="e">
        <f t="shared" si="135"/>
        <v>#DIV/0!</v>
      </c>
      <c r="O201" s="57" t="e">
        <f t="shared" si="136"/>
        <v>#DIV/0!</v>
      </c>
      <c r="P201" s="59">
        <v>0.0302</v>
      </c>
      <c r="Q201" s="60">
        <f t="shared" si="118"/>
        <v>0.0302</v>
      </c>
      <c r="R201" s="61">
        <v>1000</v>
      </c>
      <c r="S201" s="59">
        <v>1.1616</v>
      </c>
      <c r="T201" s="59">
        <v>9.801</v>
      </c>
      <c r="U201" s="62">
        <v>4e-6</v>
      </c>
      <c r="V201" s="63"/>
      <c r="W201" s="63">
        <f t="shared" si="119"/>
        <v>4e-6</v>
      </c>
      <c r="X201" s="64">
        <v>0.001147</v>
      </c>
      <c r="Y201" s="64">
        <v>1.85e-5</v>
      </c>
      <c r="Z201" s="65"/>
      <c r="AA201" s="66">
        <f t="shared" si="110"/>
        <v>0</v>
      </c>
      <c r="AB201" s="65">
        <f t="shared" si="120"/>
        <v>-2.03873598369011</v>
      </c>
      <c r="AC201" s="65">
        <f t="shared" si="121"/>
        <v>0</v>
      </c>
      <c r="AD201" s="65">
        <f t="shared" si="122"/>
        <v>0</v>
      </c>
      <c r="AI201" s="63">
        <f t="shared" si="123"/>
        <v>0</v>
      </c>
      <c r="AJ201" s="63"/>
      <c r="AK201" s="69" t="e">
        <f t="shared" si="137"/>
        <v>#DIV/0!</v>
      </c>
      <c r="AL201" s="69"/>
      <c r="AM201" s="69">
        <f t="shared" si="111"/>
        <v>0</v>
      </c>
      <c r="AN201" s="69" t="e">
        <f t="shared" si="124"/>
        <v>#DIV/0!</v>
      </c>
      <c r="AO201" s="65">
        <f t="shared" si="138"/>
        <v>0</v>
      </c>
      <c r="AP201" s="68"/>
      <c r="AQ201" s="68"/>
      <c r="AR201" s="68">
        <f t="shared" si="125"/>
        <v>0</v>
      </c>
      <c r="AS201" s="68">
        <f t="shared" si="126"/>
        <v>0</v>
      </c>
      <c r="AT201" s="71" t="e">
        <f t="shared" si="127"/>
        <v>#DIV/0!</v>
      </c>
      <c r="AU201" s="71"/>
      <c r="AV201" s="65"/>
      <c r="AW201" s="65" t="e">
        <f t="shared" si="139"/>
        <v>#DIV/0!</v>
      </c>
      <c r="AX201" s="65" t="e">
        <f t="shared" si="112"/>
        <v>#DIV/0!</v>
      </c>
      <c r="AY201" s="65" t="e">
        <f t="shared" si="140"/>
        <v>#DIV/0!</v>
      </c>
      <c r="AZ201" s="69" t="e">
        <f t="shared" si="113"/>
        <v>#DIV/0!</v>
      </c>
      <c r="BA201" s="69">
        <f t="shared" si="114"/>
        <v>0</v>
      </c>
      <c r="BB201" s="72" t="e">
        <f t="shared" si="128"/>
        <v>#DIV/0!</v>
      </c>
      <c r="BC201" s="72" t="e">
        <f t="shared" si="129"/>
        <v>#DIV/0!</v>
      </c>
      <c r="BD201" s="72" t="e">
        <f t="shared" si="130"/>
        <v>#DIV/0!</v>
      </c>
      <c r="BE201" s="72">
        <f t="shared" si="131"/>
        <v>0</v>
      </c>
      <c r="BF201" s="1" t="s">
        <v>104</v>
      </c>
      <c r="BG201" s="81"/>
      <c r="BH201" s="81"/>
    </row>
    <row r="202" ht="25" customHeight="1" spans="1:60">
      <c r="A202" s="85">
        <v>170</v>
      </c>
      <c r="B202" s="85" t="s">
        <v>205</v>
      </c>
      <c r="C202" s="55">
        <v>0.333973755212428</v>
      </c>
      <c r="D202" s="55">
        <v>-87.5013155840955</v>
      </c>
      <c r="E202" s="55"/>
      <c r="F202" s="55">
        <v>2.10038405506903</v>
      </c>
      <c r="G202" s="56">
        <v>0.3</v>
      </c>
      <c r="H202" s="57">
        <f t="shared" si="141"/>
        <v>0.000185725163902457</v>
      </c>
      <c r="I202" s="57">
        <f t="shared" si="142"/>
        <v>0.000125</v>
      </c>
      <c r="J202" s="58">
        <f t="shared" si="132"/>
        <v>0.029627437459648</v>
      </c>
      <c r="K202" s="58">
        <v>0</v>
      </c>
      <c r="L202" s="58">
        <f t="shared" si="133"/>
        <v>3.07561511185787</v>
      </c>
      <c r="M202" s="57">
        <f t="shared" si="134"/>
        <v>0.00232331391859062</v>
      </c>
      <c r="N202" s="57">
        <f t="shared" si="135"/>
        <v>0.0114563829662716</v>
      </c>
      <c r="O202" s="57">
        <f t="shared" si="136"/>
        <v>0.10856886495469</v>
      </c>
      <c r="P202" s="59">
        <v>0.0302</v>
      </c>
      <c r="Q202" s="60">
        <f t="shared" si="118"/>
        <v>0.0267</v>
      </c>
      <c r="R202" s="61">
        <v>1000</v>
      </c>
      <c r="S202" s="59">
        <v>0.3484</v>
      </c>
      <c r="T202" s="59">
        <v>9.801</v>
      </c>
      <c r="U202" s="62">
        <v>4e-6</v>
      </c>
      <c r="V202" s="63"/>
      <c r="W202" s="63">
        <f t="shared" si="119"/>
        <v>2.6e-6</v>
      </c>
      <c r="X202" s="64">
        <v>0.001147</v>
      </c>
      <c r="Y202" s="64">
        <v>1.85e-5</v>
      </c>
      <c r="Z202" s="65"/>
      <c r="AA202" s="66">
        <f t="shared" si="110"/>
        <v>0.00210038405506903</v>
      </c>
      <c r="AB202" s="65">
        <f t="shared" si="120"/>
        <v>3.64620128290983</v>
      </c>
      <c r="AC202" s="65">
        <f t="shared" si="121"/>
        <v>15.5148094154257</v>
      </c>
      <c r="AD202" s="65">
        <f t="shared" si="122"/>
        <v>5.72691665765607</v>
      </c>
      <c r="AI202" s="63">
        <f t="shared" si="123"/>
        <v>72.210541667552</v>
      </c>
      <c r="AJ202" s="63"/>
      <c r="AK202" s="69">
        <f t="shared" si="137"/>
        <v>537.930997673817</v>
      </c>
      <c r="AL202" s="69"/>
      <c r="AM202" s="69">
        <f t="shared" si="111"/>
        <v>0.0126843674579025</v>
      </c>
      <c r="AN202" s="69">
        <f t="shared" si="124"/>
        <v>7.34545835021721e-5</v>
      </c>
      <c r="AO202" s="65">
        <f t="shared" si="138"/>
        <v>0.0175163896551666</v>
      </c>
      <c r="AP202" s="68"/>
      <c r="AQ202" s="68"/>
      <c r="AR202" s="68">
        <f t="shared" si="125"/>
        <v>21.6677740034411</v>
      </c>
      <c r="AS202" s="68">
        <f t="shared" si="126"/>
        <v>30.6536818965416</v>
      </c>
      <c r="AT202" s="71">
        <f t="shared" si="127"/>
        <v>0.0182167367085387</v>
      </c>
      <c r="AU202" s="71"/>
      <c r="AV202" s="65"/>
      <c r="AW202" s="65">
        <f t="shared" si="139"/>
        <v>0.0457324524525056</v>
      </c>
      <c r="AX202" s="65">
        <f t="shared" si="112"/>
        <v>0.383018813026873</v>
      </c>
      <c r="AY202" s="65">
        <f t="shared" si="140"/>
        <v>24.0139284826113</v>
      </c>
      <c r="AZ202" s="69">
        <f t="shared" si="113"/>
        <v>0.000729426243933822</v>
      </c>
      <c r="BA202" s="69">
        <f t="shared" si="114"/>
        <v>2.16460885839151e-6</v>
      </c>
      <c r="BB202" s="72">
        <f t="shared" si="128"/>
        <v>20.2533255387864</v>
      </c>
      <c r="BC202" s="72">
        <f t="shared" si="129"/>
        <v>3.69228224378073</v>
      </c>
      <c r="BD202" s="72">
        <f t="shared" si="130"/>
        <v>0.228566564353801</v>
      </c>
      <c r="BE202" s="72">
        <f t="shared" si="131"/>
        <v>26.9686427307378</v>
      </c>
      <c r="BF202" s="1" t="s">
        <v>147</v>
      </c>
      <c r="BG202" s="81"/>
      <c r="BH202" s="81"/>
    </row>
    <row r="203" ht="25" customHeight="1" spans="1:60">
      <c r="A203" s="85">
        <v>171</v>
      </c>
      <c r="B203" s="85" t="s">
        <v>205</v>
      </c>
      <c r="C203" s="55">
        <v>0.19843083897035</v>
      </c>
      <c r="D203" s="55">
        <v>80.7053067559417</v>
      </c>
      <c r="E203" s="55"/>
      <c r="F203" s="55">
        <v>1.95190937335312</v>
      </c>
      <c r="G203" s="56">
        <v>0.3</v>
      </c>
      <c r="H203" s="57">
        <f t="shared" si="141"/>
        <v>0.000185725163902457</v>
      </c>
      <c r="I203" s="57">
        <f t="shared" si="142"/>
        <v>0.000125</v>
      </c>
      <c r="J203" s="58">
        <f t="shared" si="132"/>
        <v>0.0189468422849538</v>
      </c>
      <c r="K203" s="58">
        <v>0</v>
      </c>
      <c r="L203" s="58">
        <f t="shared" si="133"/>
        <v>1.0859535393915</v>
      </c>
      <c r="M203" s="57">
        <f t="shared" si="134"/>
        <v>0.00223969232971806</v>
      </c>
      <c r="N203" s="57">
        <f t="shared" si="135"/>
        <v>0.0301625747582004</v>
      </c>
      <c r="O203" s="57">
        <f t="shared" si="136"/>
        <v>0.0427857768567246</v>
      </c>
      <c r="P203" s="59">
        <v>0.0302</v>
      </c>
      <c r="Q203" s="60">
        <f t="shared" si="118"/>
        <v>0.0267</v>
      </c>
      <c r="R203" s="61">
        <v>1000</v>
      </c>
      <c r="S203" s="59">
        <v>0.3484</v>
      </c>
      <c r="T203" s="59">
        <v>9.801</v>
      </c>
      <c r="U203" s="62">
        <v>4e-6</v>
      </c>
      <c r="V203" s="63"/>
      <c r="W203" s="63">
        <f t="shared" si="119"/>
        <v>2.6e-6</v>
      </c>
      <c r="X203" s="64">
        <v>0.001147</v>
      </c>
      <c r="Y203" s="64">
        <v>1.85e-5</v>
      </c>
      <c r="Z203" s="65"/>
      <c r="AA203" s="66">
        <f t="shared" si="110"/>
        <v>0.00195190937335312</v>
      </c>
      <c r="AB203" s="65">
        <f t="shared" si="120"/>
        <v>-0.0318655527789519</v>
      </c>
      <c r="AC203" s="65">
        <f t="shared" si="121"/>
        <v>5.0898037752343</v>
      </c>
      <c r="AD203" s="65">
        <f t="shared" si="122"/>
        <v>4.94587045399771</v>
      </c>
      <c r="AI203" s="63">
        <f t="shared" si="123"/>
        <v>42.9039651827784</v>
      </c>
      <c r="AJ203" s="63"/>
      <c r="AK203" s="69">
        <f t="shared" si="137"/>
        <v>1523.81734686615</v>
      </c>
      <c r="AL203" s="69"/>
      <c r="AM203" s="69">
        <f t="shared" si="111"/>
        <v>0.00753642954632422</v>
      </c>
      <c r="AN203" s="69">
        <f t="shared" si="124"/>
        <v>7.619709813283e-5</v>
      </c>
      <c r="AO203" s="65">
        <f t="shared" si="138"/>
        <v>0.015692278346298</v>
      </c>
      <c r="AP203" s="68"/>
      <c r="AQ203" s="68"/>
      <c r="AR203" s="68">
        <f t="shared" si="125"/>
        <v>19.4113483143707</v>
      </c>
      <c r="AS203" s="68">
        <f t="shared" si="126"/>
        <v>27.4614871060215</v>
      </c>
      <c r="AT203" s="71">
        <f t="shared" si="127"/>
        <v>0.0188968803369418</v>
      </c>
      <c r="AU203" s="71"/>
      <c r="AV203" s="65"/>
      <c r="AW203" s="65">
        <f t="shared" si="139"/>
        <v>0.111880064428359</v>
      </c>
      <c r="AX203" s="65">
        <f t="shared" si="112"/>
        <v>0.14025982579181</v>
      </c>
      <c r="AY203" s="65">
        <f t="shared" si="140"/>
        <v>54.5949366122661</v>
      </c>
      <c r="AZ203" s="69">
        <f t="shared" si="113"/>
        <v>0.000287431020531167</v>
      </c>
      <c r="BA203" s="69">
        <f t="shared" si="114"/>
        <v>6.13275901690307e-7</v>
      </c>
      <c r="BB203" s="72">
        <f t="shared" si="128"/>
        <v>18.1441968379071</v>
      </c>
      <c r="BC203" s="72">
        <f t="shared" si="129"/>
        <v>10.0828127682993</v>
      </c>
      <c r="BD203" s="72">
        <f t="shared" si="130"/>
        <v>1.00362593875624</v>
      </c>
      <c r="BE203" s="72">
        <f t="shared" si="131"/>
        <v>14.9815446832297</v>
      </c>
      <c r="BF203" s="1"/>
      <c r="BG203" s="81"/>
      <c r="BH203" s="81"/>
    </row>
    <row r="204" ht="25" customHeight="1" spans="1:60">
      <c r="A204" s="85">
        <v>173</v>
      </c>
      <c r="B204" s="85" t="s">
        <v>205</v>
      </c>
      <c r="C204" s="55">
        <v>0</v>
      </c>
      <c r="D204" s="55">
        <v>0</v>
      </c>
      <c r="E204" s="55"/>
      <c r="F204" s="55">
        <v>0</v>
      </c>
      <c r="G204" s="56">
        <v>0.1</v>
      </c>
      <c r="H204" s="57">
        <f t="shared" si="141"/>
        <v>0.000185725163902457</v>
      </c>
      <c r="I204" s="57">
        <f t="shared" si="142"/>
        <v>0.000125</v>
      </c>
      <c r="J204" s="58" t="e">
        <f t="shared" si="132"/>
        <v>#DIV/0!</v>
      </c>
      <c r="K204" s="58">
        <v>0</v>
      </c>
      <c r="L204" s="58" t="e">
        <f t="shared" si="133"/>
        <v>#DIV/0!</v>
      </c>
      <c r="M204" s="57" t="e">
        <f t="shared" si="134"/>
        <v>#DIV/0!</v>
      </c>
      <c r="N204" s="57" t="e">
        <f t="shared" si="135"/>
        <v>#DIV/0!</v>
      </c>
      <c r="O204" s="57" t="e">
        <f t="shared" si="136"/>
        <v>#DIV/0!</v>
      </c>
      <c r="P204" s="59">
        <v>0.0302</v>
      </c>
      <c r="Q204" s="60">
        <f t="shared" si="118"/>
        <v>0.0257</v>
      </c>
      <c r="R204" s="61">
        <v>1000</v>
      </c>
      <c r="S204" s="59">
        <v>0.11613</v>
      </c>
      <c r="T204" s="59">
        <v>9.801</v>
      </c>
      <c r="U204" s="62">
        <v>4e-6</v>
      </c>
      <c r="V204" s="63"/>
      <c r="W204" s="63">
        <f t="shared" si="119"/>
        <v>2.2e-6</v>
      </c>
      <c r="X204" s="64">
        <v>0.001147</v>
      </c>
      <c r="Y204" s="64">
        <v>1.85e-5</v>
      </c>
      <c r="Z204" s="65"/>
      <c r="AA204" s="66">
        <f t="shared" si="110"/>
        <v>0</v>
      </c>
      <c r="AB204" s="65">
        <f t="shared" si="120"/>
        <v>-2.03873598369011</v>
      </c>
      <c r="AC204" s="65">
        <f t="shared" si="121"/>
        <v>0</v>
      </c>
      <c r="AD204" s="65">
        <f t="shared" si="122"/>
        <v>0</v>
      </c>
      <c r="AI204" s="63">
        <f t="shared" si="123"/>
        <v>0</v>
      </c>
      <c r="AJ204" s="63"/>
      <c r="AK204" s="69" t="e">
        <f t="shared" si="137"/>
        <v>#DIV/0!</v>
      </c>
      <c r="AL204" s="69"/>
      <c r="AM204" s="69">
        <f t="shared" si="111"/>
        <v>0</v>
      </c>
      <c r="AN204" s="69" t="e">
        <f t="shared" si="124"/>
        <v>#DIV/0!</v>
      </c>
      <c r="AO204" s="65">
        <f t="shared" si="138"/>
        <v>0</v>
      </c>
      <c r="AP204" s="68"/>
      <c r="AQ204" s="68"/>
      <c r="AR204" s="68">
        <f t="shared" si="125"/>
        <v>0</v>
      </c>
      <c r="AS204" s="68">
        <f t="shared" si="126"/>
        <v>0</v>
      </c>
      <c r="AT204" s="71" t="e">
        <f t="shared" si="127"/>
        <v>#DIV/0!</v>
      </c>
      <c r="AU204" s="71"/>
      <c r="AV204" s="65"/>
      <c r="AW204" s="65" t="e">
        <f t="shared" si="139"/>
        <v>#DIV/0!</v>
      </c>
      <c r="AX204" s="65" t="e">
        <f t="shared" si="112"/>
        <v>#DIV/0!</v>
      </c>
      <c r="AY204" s="65" t="e">
        <f t="shared" si="140"/>
        <v>#DIV/0!</v>
      </c>
      <c r="AZ204" s="69" t="e">
        <f t="shared" si="113"/>
        <v>#DIV/0!</v>
      </c>
      <c r="BA204" s="69">
        <f t="shared" si="114"/>
        <v>0</v>
      </c>
      <c r="BB204" s="72" t="e">
        <f t="shared" si="128"/>
        <v>#DIV/0!</v>
      </c>
      <c r="BC204" s="72" t="e">
        <f t="shared" si="129"/>
        <v>#DIV/0!</v>
      </c>
      <c r="BD204" s="72" t="e">
        <f t="shared" si="130"/>
        <v>#DIV/0!</v>
      </c>
      <c r="BE204" s="72">
        <f t="shared" si="131"/>
        <v>0</v>
      </c>
      <c r="BF204" s="1" t="s">
        <v>104</v>
      </c>
      <c r="BG204" s="81"/>
      <c r="BH204" s="81"/>
    </row>
    <row r="205" ht="25" customHeight="1" spans="1:60">
      <c r="A205" s="85">
        <v>176</v>
      </c>
      <c r="B205" s="85" t="s">
        <v>205</v>
      </c>
      <c r="C205" s="55">
        <v>0.319934093981665</v>
      </c>
      <c r="D205" s="55">
        <v>34.1505928589061</v>
      </c>
      <c r="E205" s="55"/>
      <c r="F205" s="55">
        <v>1.98588852214468</v>
      </c>
      <c r="G205" s="56">
        <v>0.6</v>
      </c>
      <c r="H205" s="57">
        <f t="shared" si="141"/>
        <v>0.000185725163902457</v>
      </c>
      <c r="I205" s="57">
        <f t="shared" si="142"/>
        <v>0.000125</v>
      </c>
      <c r="J205" s="58">
        <f t="shared" si="132"/>
        <v>0.0300239009487968</v>
      </c>
      <c r="K205" s="58">
        <v>0</v>
      </c>
      <c r="L205" s="58">
        <f t="shared" si="133"/>
        <v>2.82288533849585</v>
      </c>
      <c r="M205" s="57">
        <f t="shared" si="134"/>
        <v>0.00225910267970616</v>
      </c>
      <c r="N205" s="57">
        <f t="shared" si="135"/>
        <v>0.0118045094164223</v>
      </c>
      <c r="O205" s="57">
        <f t="shared" si="136"/>
        <v>0.108380006553343</v>
      </c>
      <c r="P205" s="59">
        <v>0.0302</v>
      </c>
      <c r="Q205" s="60">
        <f t="shared" si="118"/>
        <v>0.0282</v>
      </c>
      <c r="R205" s="61">
        <v>1000</v>
      </c>
      <c r="S205" s="59">
        <v>0.69687</v>
      </c>
      <c r="T205" s="59">
        <v>9.801</v>
      </c>
      <c r="U205" s="62">
        <v>4e-6</v>
      </c>
      <c r="V205" s="63"/>
      <c r="W205" s="63">
        <f t="shared" si="119"/>
        <v>3.2e-6</v>
      </c>
      <c r="X205" s="64">
        <v>0.001147</v>
      </c>
      <c r="Y205" s="64">
        <v>1.85e-5</v>
      </c>
      <c r="Z205" s="65"/>
      <c r="AA205" s="66">
        <f t="shared" si="110"/>
        <v>0.00198588852214468</v>
      </c>
      <c r="AB205" s="65">
        <f t="shared" si="120"/>
        <v>3.17827851640514</v>
      </c>
      <c r="AC205" s="65">
        <f t="shared" si="121"/>
        <v>13.461670782126</v>
      </c>
      <c r="AD205" s="65">
        <f t="shared" si="122"/>
        <v>5.11956626921921</v>
      </c>
      <c r="AI205" s="63">
        <f t="shared" si="123"/>
        <v>69.1749392392789</v>
      </c>
      <c r="AJ205" s="63"/>
      <c r="AK205" s="69">
        <f t="shared" si="137"/>
        <v>1172.35785926197</v>
      </c>
      <c r="AL205" s="69"/>
      <c r="AM205" s="69">
        <f t="shared" si="111"/>
        <v>0.0121511392648003</v>
      </c>
      <c r="AN205" s="69">
        <f t="shared" si="124"/>
        <v>7.55424079515814e-5</v>
      </c>
      <c r="AO205" s="65">
        <f t="shared" si="138"/>
        <v>0.0161038170154511</v>
      </c>
      <c r="AP205" s="68"/>
      <c r="AQ205" s="68"/>
      <c r="AR205" s="68">
        <f t="shared" si="125"/>
        <v>19.920421648113</v>
      </c>
      <c r="AS205" s="68">
        <f t="shared" si="126"/>
        <v>28.1816797770395</v>
      </c>
      <c r="AT205" s="71">
        <f t="shared" si="127"/>
        <v>0.0187345171719922</v>
      </c>
      <c r="AU205" s="71"/>
      <c r="AV205" s="65"/>
      <c r="AW205" s="65">
        <f t="shared" si="139"/>
        <v>0.0445492534256238</v>
      </c>
      <c r="AX205" s="65">
        <f t="shared" si="112"/>
        <v>0.361483431867986</v>
      </c>
      <c r="AY205" s="65">
        <f t="shared" si="140"/>
        <v>22.1174627620152</v>
      </c>
      <c r="AZ205" s="69">
        <f t="shared" si="113"/>
        <v>0.000728104176719039</v>
      </c>
      <c r="BA205" s="69">
        <f t="shared" si="114"/>
        <v>1.67897510870969e-6</v>
      </c>
      <c r="BB205" s="72">
        <f t="shared" si="128"/>
        <v>18.6200384241154</v>
      </c>
      <c r="BC205" s="72">
        <f t="shared" si="129"/>
        <v>3.91225001672986</v>
      </c>
      <c r="BD205" s="72">
        <f t="shared" si="130"/>
        <v>0.353660963680893</v>
      </c>
      <c r="BE205" s="72">
        <f t="shared" si="131"/>
        <v>23.7008033205644</v>
      </c>
      <c r="BF205" s="1"/>
      <c r="BG205" s="81"/>
      <c r="BH205" s="81"/>
    </row>
    <row r="206" ht="25" customHeight="1" spans="1:60">
      <c r="A206" s="85">
        <v>185</v>
      </c>
      <c r="B206" s="85" t="s">
        <v>205</v>
      </c>
      <c r="C206" s="55">
        <v>0</v>
      </c>
      <c r="D206" s="55">
        <v>0</v>
      </c>
      <c r="E206" s="55"/>
      <c r="F206" s="55">
        <v>0</v>
      </c>
      <c r="G206" s="56">
        <v>1</v>
      </c>
      <c r="H206" s="57">
        <f t="shared" si="141"/>
        <v>0.000185725163902457</v>
      </c>
      <c r="I206" s="57">
        <f t="shared" si="142"/>
        <v>0.000125</v>
      </c>
      <c r="J206" s="58" t="e">
        <f t="shared" si="132"/>
        <v>#DIV/0!</v>
      </c>
      <c r="K206" s="58">
        <v>0</v>
      </c>
      <c r="L206" s="58" t="e">
        <f t="shared" si="133"/>
        <v>#DIV/0!</v>
      </c>
      <c r="M206" s="57" t="e">
        <f t="shared" si="134"/>
        <v>#DIV/0!</v>
      </c>
      <c r="N206" s="57" t="e">
        <f t="shared" si="135"/>
        <v>#DIV/0!</v>
      </c>
      <c r="O206" s="57" t="e">
        <f t="shared" si="136"/>
        <v>#DIV/0!</v>
      </c>
      <c r="P206" s="59">
        <v>0.0302</v>
      </c>
      <c r="Q206" s="60">
        <f t="shared" si="118"/>
        <v>0.0302</v>
      </c>
      <c r="R206" s="61">
        <v>1000</v>
      </c>
      <c r="S206" s="59">
        <v>1.1616</v>
      </c>
      <c r="T206" s="59">
        <v>9.801</v>
      </c>
      <c r="U206" s="62">
        <v>4e-6</v>
      </c>
      <c r="V206" s="63"/>
      <c r="W206" s="63">
        <f t="shared" si="119"/>
        <v>4e-6</v>
      </c>
      <c r="X206" s="64">
        <v>0.001147</v>
      </c>
      <c r="Y206" s="64">
        <v>1.85e-5</v>
      </c>
      <c r="Z206" s="65"/>
      <c r="AA206" s="66">
        <f t="shared" si="110"/>
        <v>0</v>
      </c>
      <c r="AB206" s="65">
        <f t="shared" si="120"/>
        <v>-2.03873598369011</v>
      </c>
      <c r="AC206" s="65">
        <f t="shared" si="121"/>
        <v>0</v>
      </c>
      <c r="AD206" s="65">
        <f t="shared" si="122"/>
        <v>0</v>
      </c>
      <c r="AI206" s="63">
        <f t="shared" si="123"/>
        <v>0</v>
      </c>
      <c r="AJ206" s="63"/>
      <c r="AK206" s="69" t="e">
        <f t="shared" si="137"/>
        <v>#DIV/0!</v>
      </c>
      <c r="AL206" s="69"/>
      <c r="AM206" s="69">
        <f t="shared" si="111"/>
        <v>0</v>
      </c>
      <c r="AN206" s="69" t="e">
        <f t="shared" si="124"/>
        <v>#DIV/0!</v>
      </c>
      <c r="AO206" s="65">
        <f t="shared" si="138"/>
        <v>0</v>
      </c>
      <c r="AP206" s="68"/>
      <c r="AQ206" s="68"/>
      <c r="AR206" s="68">
        <f t="shared" si="125"/>
        <v>0</v>
      </c>
      <c r="AS206" s="68">
        <f t="shared" si="126"/>
        <v>0</v>
      </c>
      <c r="AT206" s="71" t="e">
        <f t="shared" si="127"/>
        <v>#DIV/0!</v>
      </c>
      <c r="AU206" s="71"/>
      <c r="AV206" s="65"/>
      <c r="AW206" s="65" t="e">
        <f t="shared" si="139"/>
        <v>#DIV/0!</v>
      </c>
      <c r="AX206" s="65" t="e">
        <f t="shared" si="112"/>
        <v>#DIV/0!</v>
      </c>
      <c r="AY206" s="65" t="e">
        <f t="shared" si="140"/>
        <v>#DIV/0!</v>
      </c>
      <c r="AZ206" s="69" t="e">
        <f t="shared" si="113"/>
        <v>#DIV/0!</v>
      </c>
      <c r="BA206" s="69">
        <f t="shared" si="114"/>
        <v>0</v>
      </c>
      <c r="BB206" s="72" t="e">
        <f t="shared" si="128"/>
        <v>#DIV/0!</v>
      </c>
      <c r="BC206" s="72" t="e">
        <f t="shared" si="129"/>
        <v>#DIV/0!</v>
      </c>
      <c r="BD206" s="72" t="e">
        <f t="shared" si="130"/>
        <v>#DIV/0!</v>
      </c>
      <c r="BE206" s="72">
        <f t="shared" si="131"/>
        <v>0</v>
      </c>
      <c r="BF206" s="21" t="s">
        <v>164</v>
      </c>
      <c r="BG206" s="81"/>
      <c r="BH206" s="81"/>
    </row>
    <row r="207" ht="25" customHeight="1" spans="1:60">
      <c r="A207" s="85">
        <v>186</v>
      </c>
      <c r="B207" s="85" t="s">
        <v>205</v>
      </c>
      <c r="C207" s="55">
        <v>0.326471137634583</v>
      </c>
      <c r="D207" s="55">
        <v>10.637605277877</v>
      </c>
      <c r="E207" s="55"/>
      <c r="F207" s="55">
        <v>2.08421197263709</v>
      </c>
      <c r="G207" s="56">
        <v>1</v>
      </c>
      <c r="H207" s="57">
        <f t="shared" si="141"/>
        <v>0.000185725163902457</v>
      </c>
      <c r="I207" s="57">
        <f t="shared" si="142"/>
        <v>0.000125</v>
      </c>
      <c r="J207" s="58">
        <f t="shared" si="132"/>
        <v>0.0291873235148996</v>
      </c>
      <c r="K207" s="58">
        <v>0</v>
      </c>
      <c r="L207" s="58">
        <f t="shared" si="133"/>
        <v>2.93904086873218</v>
      </c>
      <c r="M207" s="57">
        <f t="shared" si="134"/>
        <v>0.00231435236042489</v>
      </c>
      <c r="N207" s="57">
        <f t="shared" si="135"/>
        <v>0.0118968301188619</v>
      </c>
      <c r="O207" s="57">
        <f t="shared" si="136"/>
        <v>0.10495659048271</v>
      </c>
      <c r="P207" s="59">
        <v>0.0302</v>
      </c>
      <c r="Q207" s="60">
        <f t="shared" si="118"/>
        <v>0.0302</v>
      </c>
      <c r="R207" s="61">
        <v>1000</v>
      </c>
      <c r="S207" s="59">
        <v>1.1616</v>
      </c>
      <c r="T207" s="59">
        <v>9.801</v>
      </c>
      <c r="U207" s="62">
        <v>4e-6</v>
      </c>
      <c r="V207" s="63"/>
      <c r="W207" s="63">
        <f t="shared" si="119"/>
        <v>4e-6</v>
      </c>
      <c r="X207" s="64">
        <v>0.001147</v>
      </c>
      <c r="Y207" s="64">
        <v>1.85e-5</v>
      </c>
      <c r="Z207" s="65"/>
      <c r="AA207" s="66">
        <f t="shared" si="110"/>
        <v>0.00208421197263709</v>
      </c>
      <c r="AB207" s="65">
        <f t="shared" si="120"/>
        <v>3.39364952642298</v>
      </c>
      <c r="AC207" s="65">
        <f t="shared" si="121"/>
        <v>14.711417622086</v>
      </c>
      <c r="AD207" s="65">
        <f t="shared" si="122"/>
        <v>5.63906642370967</v>
      </c>
      <c r="AI207" s="63">
        <f t="shared" si="123"/>
        <v>70.5883540831531</v>
      </c>
      <c r="AJ207" s="63"/>
      <c r="AK207" s="69">
        <f t="shared" si="137"/>
        <v>1876.46475005754</v>
      </c>
      <c r="AL207" s="69"/>
      <c r="AM207" s="69">
        <f t="shared" si="111"/>
        <v>0.0123994170485717</v>
      </c>
      <c r="AN207" s="69">
        <f t="shared" si="124"/>
        <v>7.37390118951215e-5</v>
      </c>
      <c r="AO207" s="65">
        <f t="shared" si="138"/>
        <v>0.0173144762118569</v>
      </c>
      <c r="AP207" s="68"/>
      <c r="AQ207" s="68"/>
      <c r="AR207" s="68">
        <f t="shared" si="125"/>
        <v>21.418007074067</v>
      </c>
      <c r="AS207" s="68">
        <f t="shared" si="126"/>
        <v>30.3003333707495</v>
      </c>
      <c r="AT207" s="71">
        <f t="shared" si="127"/>
        <v>0.0182872749499901</v>
      </c>
      <c r="AU207" s="71"/>
      <c r="AV207" s="65"/>
      <c r="AW207" s="65">
        <f t="shared" si="139"/>
        <v>0.0471244108025014</v>
      </c>
      <c r="AX207" s="65">
        <f t="shared" si="112"/>
        <v>0.367420534644389</v>
      </c>
      <c r="AY207" s="65">
        <f t="shared" si="140"/>
        <v>24.5543152995105</v>
      </c>
      <c r="AZ207" s="69">
        <f t="shared" si="113"/>
        <v>0.000705150031701436</v>
      </c>
      <c r="BA207" s="69">
        <f t="shared" si="114"/>
        <v>2.02103510814259e-6</v>
      </c>
      <c r="BB207" s="72">
        <f t="shared" si="128"/>
        <v>20.0198631199595</v>
      </c>
      <c r="BC207" s="72">
        <f t="shared" si="129"/>
        <v>3.84903245470984</v>
      </c>
      <c r="BD207" s="72">
        <f t="shared" si="130"/>
        <v>0.252991740713898</v>
      </c>
      <c r="BE207" s="72">
        <f t="shared" si="131"/>
        <v>25.9895504695054</v>
      </c>
      <c r="BF207" s="1" t="s">
        <v>147</v>
      </c>
      <c r="BG207" s="81"/>
      <c r="BH207" s="81"/>
    </row>
    <row r="208" ht="25" customHeight="1" spans="1:60">
      <c r="A208" s="85" t="s">
        <v>143</v>
      </c>
      <c r="B208" s="85" t="s">
        <v>205</v>
      </c>
      <c r="C208" s="55">
        <v>0.273122522425324</v>
      </c>
      <c r="D208" s="55">
        <v>10.1863754622152</v>
      </c>
      <c r="E208" s="55"/>
      <c r="F208" s="55">
        <v>2.0854487318719</v>
      </c>
      <c r="G208" s="56">
        <v>1</v>
      </c>
      <c r="H208" s="57">
        <f t="shared" si="141"/>
        <v>0.000185725163902457</v>
      </c>
      <c r="I208" s="57">
        <f t="shared" si="142"/>
        <v>0.000125</v>
      </c>
      <c r="J208" s="58">
        <f t="shared" si="132"/>
        <v>0.0244032979764448</v>
      </c>
      <c r="K208" s="58">
        <v>0</v>
      </c>
      <c r="L208" s="58">
        <f t="shared" si="133"/>
        <v>2.05698155207554</v>
      </c>
      <c r="M208" s="57">
        <f t="shared" si="134"/>
        <v>0.00231503892018953</v>
      </c>
      <c r="N208" s="57">
        <f t="shared" si="135"/>
        <v>0.0170083829660617</v>
      </c>
      <c r="O208" s="57">
        <f t="shared" si="136"/>
        <v>0.0733919424708386</v>
      </c>
      <c r="P208" s="59">
        <v>0.0302</v>
      </c>
      <c r="Q208" s="60">
        <f t="shared" si="118"/>
        <v>0.0302</v>
      </c>
      <c r="R208" s="61">
        <v>1000</v>
      </c>
      <c r="S208" s="59">
        <v>1.1616</v>
      </c>
      <c r="T208" s="59">
        <v>9.801</v>
      </c>
      <c r="U208" s="62">
        <v>4e-6</v>
      </c>
      <c r="V208" s="63"/>
      <c r="W208" s="63">
        <f t="shared" si="119"/>
        <v>4e-6</v>
      </c>
      <c r="X208" s="64">
        <v>0.001147</v>
      </c>
      <c r="Y208" s="64">
        <v>1.85e-5</v>
      </c>
      <c r="Z208" s="65"/>
      <c r="AA208" s="66">
        <f t="shared" si="110"/>
        <v>0.0020854487318719</v>
      </c>
      <c r="AB208" s="65">
        <f t="shared" si="120"/>
        <v>1.76329828012088</v>
      </c>
      <c r="AC208" s="65">
        <f t="shared" si="121"/>
        <v>10.3023808355658</v>
      </c>
      <c r="AD208" s="65">
        <f t="shared" si="122"/>
        <v>5.64576078760546</v>
      </c>
      <c r="AI208" s="63">
        <f t="shared" si="123"/>
        <v>59.0535183622322</v>
      </c>
      <c r="AJ208" s="63"/>
      <c r="AK208" s="69">
        <f t="shared" si="137"/>
        <v>2681.11206031922</v>
      </c>
      <c r="AL208" s="69"/>
      <c r="AM208" s="69">
        <f t="shared" si="111"/>
        <v>0.0103732295768823</v>
      </c>
      <c r="AN208" s="69">
        <f t="shared" si="124"/>
        <v>7.37171434771828e-5</v>
      </c>
      <c r="AO208" s="65">
        <f t="shared" si="138"/>
        <v>0.0173298899617751</v>
      </c>
      <c r="AP208" s="68"/>
      <c r="AQ208" s="68"/>
      <c r="AR208" s="68">
        <f t="shared" si="125"/>
        <v>21.4370738827158</v>
      </c>
      <c r="AS208" s="68">
        <f t="shared" si="126"/>
        <v>30.3273074331064</v>
      </c>
      <c r="AT208" s="71">
        <f t="shared" si="127"/>
        <v>0.0182818515823413</v>
      </c>
      <c r="AU208" s="71"/>
      <c r="AV208" s="65"/>
      <c r="AW208" s="65">
        <f t="shared" si="139"/>
        <v>0.0674117733232278</v>
      </c>
      <c r="AX208" s="65">
        <f t="shared" si="112"/>
        <v>0.257075123638734</v>
      </c>
      <c r="AY208" s="65">
        <f t="shared" si="140"/>
        <v>35.1459492975403</v>
      </c>
      <c r="AZ208" s="69">
        <f t="shared" si="113"/>
        <v>0.00049308356462541</v>
      </c>
      <c r="BA208" s="69">
        <f t="shared" si="114"/>
        <v>1.41700765453505e-6</v>
      </c>
      <c r="BB208" s="72">
        <f t="shared" si="128"/>
        <v>20.0376852683025</v>
      </c>
      <c r="BC208" s="72">
        <f t="shared" si="129"/>
        <v>5.50116846140461</v>
      </c>
      <c r="BD208" s="72">
        <f t="shared" si="130"/>
        <v>0.359963243834542</v>
      </c>
      <c r="BE208" s="72">
        <f t="shared" si="131"/>
        <v>21.5939024107767</v>
      </c>
      <c r="BF208" s="1"/>
      <c r="BG208" s="81"/>
      <c r="BH208" s="81"/>
    </row>
    <row r="209" ht="25" customHeight="1" spans="1:60">
      <c r="A209" s="85" t="s">
        <v>145</v>
      </c>
      <c r="B209" s="85" t="s">
        <v>205</v>
      </c>
      <c r="C209" s="55">
        <v>0.397140053321154</v>
      </c>
      <c r="D209" s="55">
        <v>1.16563863689959</v>
      </c>
      <c r="E209" s="55"/>
      <c r="F209" s="55">
        <v>1.90548514357878</v>
      </c>
      <c r="G209" s="56">
        <v>1</v>
      </c>
      <c r="H209" s="57">
        <f t="shared" si="141"/>
        <v>0.000185725163902457</v>
      </c>
      <c r="I209" s="57">
        <f t="shared" si="142"/>
        <v>0.000125</v>
      </c>
      <c r="J209" s="58">
        <f t="shared" si="132"/>
        <v>0.0388474271414911</v>
      </c>
      <c r="K209" s="58">
        <v>0</v>
      </c>
      <c r="L209" s="58">
        <f t="shared" si="133"/>
        <v>4.35020559592115</v>
      </c>
      <c r="M209" s="57">
        <f t="shared" si="134"/>
        <v>0.00221289761846939</v>
      </c>
      <c r="N209" s="57">
        <f t="shared" si="135"/>
        <v>0.00735129346146994</v>
      </c>
      <c r="O209" s="57">
        <f t="shared" si="136"/>
        <v>0.177690421536584</v>
      </c>
      <c r="P209" s="59">
        <v>0.0302</v>
      </c>
      <c r="Q209" s="60">
        <f t="shared" si="118"/>
        <v>0.0302</v>
      </c>
      <c r="R209" s="61">
        <v>1000</v>
      </c>
      <c r="S209" s="59">
        <v>1.1616</v>
      </c>
      <c r="T209" s="59">
        <v>9.801</v>
      </c>
      <c r="U209" s="62">
        <v>4e-6</v>
      </c>
      <c r="V209" s="63"/>
      <c r="W209" s="63">
        <f t="shared" si="119"/>
        <v>4e-6</v>
      </c>
      <c r="X209" s="64">
        <v>0.001147</v>
      </c>
      <c r="Y209" s="64">
        <v>1.85e-5</v>
      </c>
      <c r="Z209" s="65"/>
      <c r="AA209" s="66">
        <f t="shared" si="110"/>
        <v>0.00190548514357878</v>
      </c>
      <c r="AB209" s="65">
        <f t="shared" si="120"/>
        <v>6.00001131253461</v>
      </c>
      <c r="AC209" s="65">
        <f t="shared" si="121"/>
        <v>19.9028834285661</v>
      </c>
      <c r="AD209" s="65">
        <f t="shared" si="122"/>
        <v>4.71340297631085</v>
      </c>
      <c r="AI209" s="63">
        <f t="shared" si="123"/>
        <v>85.8681196370063</v>
      </c>
      <c r="AJ209" s="63"/>
      <c r="AK209" s="69">
        <f t="shared" si="137"/>
        <v>1268.06821297118</v>
      </c>
      <c r="AL209" s="69"/>
      <c r="AM209" s="69">
        <f t="shared" si="111"/>
        <v>0.015083431826469</v>
      </c>
      <c r="AN209" s="69">
        <f t="shared" si="124"/>
        <v>7.71197252012562e-5</v>
      </c>
      <c r="AO209" s="65">
        <f t="shared" si="138"/>
        <v>0.0151357825281693</v>
      </c>
      <c r="AP209" s="68"/>
      <c r="AQ209" s="68"/>
      <c r="AR209" s="68">
        <f t="shared" si="125"/>
        <v>18.7229629873454</v>
      </c>
      <c r="AS209" s="68">
        <f t="shared" si="126"/>
        <v>26.4876194242963</v>
      </c>
      <c r="AT209" s="71">
        <f t="shared" si="127"/>
        <v>0.0191256918499115</v>
      </c>
      <c r="AU209" s="71"/>
      <c r="AV209" s="65"/>
      <c r="AW209" s="65">
        <f t="shared" si="139"/>
        <v>0.0266180048791804</v>
      </c>
      <c r="AX209" s="65">
        <f t="shared" si="112"/>
        <v>0.568629489583119</v>
      </c>
      <c r="AY209" s="65">
        <f t="shared" si="140"/>
        <v>12.6800532122464</v>
      </c>
      <c r="AZ209" s="69">
        <f t="shared" si="113"/>
        <v>0.00119366869167009</v>
      </c>
      <c r="BA209" s="69">
        <f t="shared" si="114"/>
        <v>2.28540248056136e-6</v>
      </c>
      <c r="BB209" s="72">
        <f t="shared" si="128"/>
        <v>17.5007485481958</v>
      </c>
      <c r="BC209" s="72">
        <f t="shared" si="129"/>
        <v>2.48705631396272</v>
      </c>
      <c r="BD209" s="72">
        <f t="shared" si="130"/>
        <v>0.280019428711481</v>
      </c>
      <c r="BE209" s="72">
        <f t="shared" si="131"/>
        <v>29.3296893811878</v>
      </c>
      <c r="BF209" s="1" t="s">
        <v>146</v>
      </c>
      <c r="BG209" s="81"/>
      <c r="BH209" s="81"/>
    </row>
    <row r="210" ht="25" customHeight="1" spans="1:60">
      <c r="A210" s="85" t="s">
        <v>148</v>
      </c>
      <c r="B210" s="85" t="s">
        <v>205</v>
      </c>
      <c r="C210" s="55">
        <v>0.188416655729195</v>
      </c>
      <c r="D210" s="55">
        <v>2.06293535748602</v>
      </c>
      <c r="E210" s="55"/>
      <c r="F210" s="55">
        <v>1.81126599592674</v>
      </c>
      <c r="G210" s="56">
        <v>0.3</v>
      </c>
      <c r="H210" s="57">
        <f t="shared" si="141"/>
        <v>0.000185725163902457</v>
      </c>
      <c r="I210" s="57">
        <f t="shared" si="142"/>
        <v>0.000125</v>
      </c>
      <c r="J210" s="58">
        <f t="shared" si="132"/>
        <v>0.019392852612814</v>
      </c>
      <c r="K210" s="58">
        <v>0</v>
      </c>
      <c r="L210" s="58">
        <f t="shared" si="133"/>
        <v>0.979321932350155</v>
      </c>
      <c r="M210" s="57">
        <f t="shared" si="134"/>
        <v>0.0021574942891291</v>
      </c>
      <c r="N210" s="57">
        <f t="shared" si="135"/>
        <v>0.0310477135331379</v>
      </c>
      <c r="O210" s="57">
        <f t="shared" si="136"/>
        <v>0.0431600337799012</v>
      </c>
      <c r="P210" s="59">
        <v>0.0302</v>
      </c>
      <c r="Q210" s="60">
        <f t="shared" si="118"/>
        <v>0.0267</v>
      </c>
      <c r="R210" s="61">
        <v>1000</v>
      </c>
      <c r="S210" s="59">
        <v>0.3484</v>
      </c>
      <c r="T210" s="59">
        <v>9.801</v>
      </c>
      <c r="U210" s="62">
        <v>4e-6</v>
      </c>
      <c r="V210" s="63"/>
      <c r="W210" s="63">
        <f t="shared" si="119"/>
        <v>2.6e-6</v>
      </c>
      <c r="X210" s="64">
        <v>0.001147</v>
      </c>
      <c r="Y210" s="64">
        <v>1.85e-5</v>
      </c>
      <c r="Z210" s="65"/>
      <c r="AA210" s="66">
        <f t="shared" si="110"/>
        <v>0.00181126599592674</v>
      </c>
      <c r="AB210" s="65">
        <f t="shared" si="120"/>
        <v>-0.22931518062314</v>
      </c>
      <c r="AC210" s="65">
        <f t="shared" si="121"/>
        <v>4.25837465938043</v>
      </c>
      <c r="AD210" s="65">
        <f t="shared" si="122"/>
        <v>4.25880647190897</v>
      </c>
      <c r="AI210" s="63">
        <f t="shared" si="123"/>
        <v>40.73873637388</v>
      </c>
      <c r="AJ210" s="63"/>
      <c r="AK210" s="69">
        <f t="shared" si="137"/>
        <v>1690.10103694601</v>
      </c>
      <c r="AL210" s="69"/>
      <c r="AM210" s="69">
        <f t="shared" si="111"/>
        <v>0.00715608954044327</v>
      </c>
      <c r="AN210" s="69">
        <f t="shared" si="124"/>
        <v>7.91001195668342e-5</v>
      </c>
      <c r="AO210" s="65">
        <f t="shared" si="138"/>
        <v>0.0140271641537243</v>
      </c>
      <c r="AP210" s="68"/>
      <c r="AQ210" s="68"/>
      <c r="AR210" s="68">
        <f t="shared" si="125"/>
        <v>17.3516020581569</v>
      </c>
      <c r="AS210" s="68">
        <f t="shared" si="126"/>
        <v>24.5475372690175</v>
      </c>
      <c r="AT210" s="71">
        <f t="shared" si="127"/>
        <v>0.0196168296525749</v>
      </c>
      <c r="AU210" s="71"/>
      <c r="AV210" s="65"/>
      <c r="AW210" s="65">
        <f t="shared" si="139"/>
        <v>0.10685076389999</v>
      </c>
      <c r="AX210" s="65">
        <f t="shared" si="112"/>
        <v>0.131278089568489</v>
      </c>
      <c r="AY210" s="65">
        <f t="shared" si="140"/>
        <v>48.3837888227119</v>
      </c>
      <c r="AZ210" s="69">
        <f t="shared" si="113"/>
        <v>0.000289914545657486</v>
      </c>
      <c r="BA210" s="69">
        <f t="shared" si="114"/>
        <v>4.41818500666976e-7</v>
      </c>
      <c r="BB210" s="72">
        <f t="shared" si="128"/>
        <v>16.2189085527437</v>
      </c>
      <c r="BC210" s="72">
        <f t="shared" si="129"/>
        <v>10.7726549572866</v>
      </c>
      <c r="BD210" s="72">
        <f t="shared" si="130"/>
        <v>1.52226790141692</v>
      </c>
      <c r="BE210" s="72">
        <f t="shared" si="131"/>
        <v>12.7759876031984</v>
      </c>
      <c r="BF210" s="1"/>
      <c r="BG210" s="81"/>
      <c r="BH210" s="81"/>
    </row>
    <row r="211" ht="25" customHeight="1" spans="1:60">
      <c r="A211" s="85" t="s">
        <v>151</v>
      </c>
      <c r="B211" s="85" t="s">
        <v>205</v>
      </c>
      <c r="C211" s="55">
        <v>0.261485062442866</v>
      </c>
      <c r="D211" s="55">
        <v>59.3998630709442</v>
      </c>
      <c r="E211" s="55"/>
      <c r="F211" s="55">
        <v>1.99447143887999</v>
      </c>
      <c r="G211" s="56">
        <v>0.6</v>
      </c>
      <c r="H211" s="57">
        <f t="shared" si="141"/>
        <v>0.000185725163902457</v>
      </c>
      <c r="I211" s="57">
        <f t="shared" si="142"/>
        <v>0.000125</v>
      </c>
      <c r="J211" s="58">
        <f t="shared" si="132"/>
        <v>0.0244328501097793</v>
      </c>
      <c r="K211" s="58">
        <v>0</v>
      </c>
      <c r="L211" s="58">
        <f t="shared" si="133"/>
        <v>1.88564892847007</v>
      </c>
      <c r="M211" s="57">
        <f t="shared" si="134"/>
        <v>0.00226397928400685</v>
      </c>
      <c r="N211" s="57">
        <f t="shared" si="135"/>
        <v>0.0177478181080805</v>
      </c>
      <c r="O211" s="57">
        <f t="shared" si="136"/>
        <v>0.071929982724243</v>
      </c>
      <c r="P211" s="59">
        <v>0.0302</v>
      </c>
      <c r="Q211" s="60">
        <f t="shared" si="118"/>
        <v>0.0282</v>
      </c>
      <c r="R211" s="61">
        <v>1000</v>
      </c>
      <c r="S211" s="59">
        <v>0.69687</v>
      </c>
      <c r="T211" s="59">
        <v>9.801</v>
      </c>
      <c r="U211" s="62">
        <v>4e-6</v>
      </c>
      <c r="V211" s="63"/>
      <c r="W211" s="63">
        <f t="shared" si="119"/>
        <v>3.2e-6</v>
      </c>
      <c r="X211" s="64">
        <v>0.001147</v>
      </c>
      <c r="Y211" s="64">
        <v>1.85e-5</v>
      </c>
      <c r="Z211" s="65"/>
      <c r="AA211" s="66">
        <f t="shared" si="110"/>
        <v>0.00199447143887999</v>
      </c>
      <c r="AB211" s="65">
        <f t="shared" si="120"/>
        <v>1.4461996881116</v>
      </c>
      <c r="AC211" s="65">
        <f t="shared" si="121"/>
        <v>9.03118301341914</v>
      </c>
      <c r="AD211" s="65">
        <f t="shared" si="122"/>
        <v>5.16391494798663</v>
      </c>
      <c r="AI211" s="63">
        <f t="shared" si="123"/>
        <v>56.5373107984575</v>
      </c>
      <c r="AJ211" s="63"/>
      <c r="AK211" s="69">
        <f t="shared" si="137"/>
        <v>1755.04185071751</v>
      </c>
      <c r="AL211" s="69"/>
      <c r="AM211" s="69">
        <f t="shared" si="111"/>
        <v>0.00993123730536316</v>
      </c>
      <c r="AN211" s="69">
        <f t="shared" si="124"/>
        <v>7.53796898409948e-5</v>
      </c>
      <c r="AO211" s="65">
        <f t="shared" si="138"/>
        <v>0.0162083296461257</v>
      </c>
      <c r="AP211" s="68"/>
      <c r="AQ211" s="68"/>
      <c r="AR211" s="68">
        <f t="shared" si="125"/>
        <v>20.0497037722575</v>
      </c>
      <c r="AS211" s="68">
        <f t="shared" si="126"/>
        <v>28.36457688072</v>
      </c>
      <c r="AT211" s="71">
        <f t="shared" si="127"/>
        <v>0.0186941630805667</v>
      </c>
      <c r="AU211" s="71"/>
      <c r="AV211" s="65"/>
      <c r="AW211" s="65">
        <f t="shared" si="139"/>
        <v>0.0672687906203957</v>
      </c>
      <c r="AX211" s="65">
        <f t="shared" si="112"/>
        <v>0.240948729665602</v>
      </c>
      <c r="AY211" s="65">
        <f t="shared" si="140"/>
        <v>33.5414204050944</v>
      </c>
      <c r="AZ211" s="69">
        <f t="shared" si="113"/>
        <v>0.00048323325161459</v>
      </c>
      <c r="BA211" s="69">
        <f t="shared" si="114"/>
        <v>1.13615045613267e-6</v>
      </c>
      <c r="BB211" s="72">
        <f t="shared" si="128"/>
        <v>18.7408811533329</v>
      </c>
      <c r="BC211" s="72">
        <f t="shared" si="129"/>
        <v>5.86935471432365</v>
      </c>
      <c r="BD211" s="72">
        <f t="shared" si="130"/>
        <v>0.51733755113638</v>
      </c>
      <c r="BE211" s="72">
        <f t="shared" si="131"/>
        <v>19.3590129093924</v>
      </c>
      <c r="BF211" s="1"/>
      <c r="BG211" s="81"/>
      <c r="BH211" s="81"/>
    </row>
    <row r="212" ht="25" customHeight="1" spans="1:60">
      <c r="A212" s="85" t="s">
        <v>157</v>
      </c>
      <c r="B212" s="85" t="s">
        <v>205</v>
      </c>
      <c r="C212" s="55">
        <v>0.353762708867561</v>
      </c>
      <c r="D212" s="55">
        <v>3.84446633405022</v>
      </c>
      <c r="E212" s="55"/>
      <c r="F212" s="55">
        <v>2.12299206931222</v>
      </c>
      <c r="G212" s="56">
        <v>0.6</v>
      </c>
      <c r="H212" s="57">
        <f t="shared" si="141"/>
        <v>0.000185725163902457</v>
      </c>
      <c r="I212" s="57">
        <f t="shared" si="142"/>
        <v>0.000125</v>
      </c>
      <c r="J212" s="58">
        <f t="shared" si="132"/>
        <v>0.0310476817294561</v>
      </c>
      <c r="K212" s="58">
        <v>0</v>
      </c>
      <c r="L212" s="58">
        <f t="shared" si="133"/>
        <v>3.45079707545352</v>
      </c>
      <c r="M212" s="57">
        <f t="shared" si="134"/>
        <v>0.00233578423961072</v>
      </c>
      <c r="N212" s="57">
        <f t="shared" si="135"/>
        <v>0.010320250856027</v>
      </c>
      <c r="O212" s="57">
        <f t="shared" si="136"/>
        <v>0.119873826324585</v>
      </c>
      <c r="P212" s="59">
        <v>0.0302</v>
      </c>
      <c r="Q212" s="60">
        <f t="shared" si="118"/>
        <v>0.0282</v>
      </c>
      <c r="R212" s="61">
        <v>1000</v>
      </c>
      <c r="S212" s="59">
        <v>0.69687</v>
      </c>
      <c r="T212" s="59">
        <v>9.801</v>
      </c>
      <c r="U212" s="62">
        <v>4e-6</v>
      </c>
      <c r="V212" s="63"/>
      <c r="W212" s="63">
        <f t="shared" si="119"/>
        <v>3.2e-6</v>
      </c>
      <c r="X212" s="64">
        <v>0.001147</v>
      </c>
      <c r="Y212" s="64">
        <v>1.85e-5</v>
      </c>
      <c r="Z212" s="65"/>
      <c r="AA212" s="66">
        <f t="shared" si="110"/>
        <v>0.00212299206931222</v>
      </c>
      <c r="AB212" s="65">
        <f t="shared" si="120"/>
        <v>4.33986005021991</v>
      </c>
      <c r="AC212" s="65">
        <f t="shared" si="121"/>
        <v>17.5952534122701</v>
      </c>
      <c r="AD212" s="65">
        <f t="shared" si="122"/>
        <v>5.85086639651386</v>
      </c>
      <c r="AI212" s="63">
        <f t="shared" si="123"/>
        <v>76.4892343497429</v>
      </c>
      <c r="AJ212" s="63"/>
      <c r="AK212" s="69">
        <f t="shared" si="137"/>
        <v>958.864289030881</v>
      </c>
      <c r="AL212" s="69"/>
      <c r="AM212" s="69">
        <f t="shared" si="111"/>
        <v>0.0134359545387779</v>
      </c>
      <c r="AN212" s="69">
        <f t="shared" si="124"/>
        <v>7.30624230358344e-5</v>
      </c>
      <c r="AO212" s="65">
        <f t="shared" si="138"/>
        <v>0.0177999624539208</v>
      </c>
      <c r="AP212" s="68"/>
      <c r="AQ212" s="68"/>
      <c r="AR212" s="68">
        <f t="shared" si="125"/>
        <v>22.0185535555001</v>
      </c>
      <c r="AS212" s="68">
        <f t="shared" si="126"/>
        <v>31.1499342943614</v>
      </c>
      <c r="AT212" s="71">
        <f t="shared" si="127"/>
        <v>0.0181194809128869</v>
      </c>
      <c r="AU212" s="71"/>
      <c r="AV212" s="65"/>
      <c r="AW212" s="65">
        <f t="shared" si="139"/>
        <v>0.0416413104065524</v>
      </c>
      <c r="AX212" s="65">
        <f t="shared" si="112"/>
        <v>0.42745922931186</v>
      </c>
      <c r="AY212" s="65">
        <f t="shared" si="140"/>
        <v>22.1010429372198</v>
      </c>
      <c r="AZ212" s="69">
        <f t="shared" si="113"/>
        <v>0.000805390157581403</v>
      </c>
      <c r="BA212" s="69">
        <f t="shared" si="114"/>
        <v>2.50800172353587e-6</v>
      </c>
      <c r="BB212" s="72">
        <f t="shared" si="128"/>
        <v>20.5812065873459</v>
      </c>
      <c r="BC212" s="72">
        <f t="shared" si="129"/>
        <v>3.30841742415938</v>
      </c>
      <c r="BD212" s="72">
        <f t="shared" si="130"/>
        <v>0.187452100273373</v>
      </c>
      <c r="BE212" s="72">
        <f t="shared" si="131"/>
        <v>29.2969862052979</v>
      </c>
      <c r="BF212" s="1"/>
      <c r="BG212" s="81"/>
      <c r="BH212" s="81"/>
    </row>
    <row r="213" ht="25" customHeight="1" spans="1:60">
      <c r="A213" s="85" t="s">
        <v>158</v>
      </c>
      <c r="B213" s="85" t="s">
        <v>205</v>
      </c>
      <c r="C213" s="55">
        <v>0.331090098625341</v>
      </c>
      <c r="D213" s="55">
        <v>4.99787619900537</v>
      </c>
      <c r="E213" s="55"/>
      <c r="F213" s="55">
        <v>1.99952514299994</v>
      </c>
      <c r="G213" s="56">
        <v>0.3</v>
      </c>
      <c r="H213" s="57">
        <f t="shared" si="141"/>
        <v>0.000185725163902457</v>
      </c>
      <c r="I213" s="57">
        <f t="shared" si="142"/>
        <v>0.000125</v>
      </c>
      <c r="J213" s="58">
        <f t="shared" si="132"/>
        <v>0.0308582044877192</v>
      </c>
      <c r="K213" s="58">
        <v>0</v>
      </c>
      <c r="L213" s="58">
        <f t="shared" si="133"/>
        <v>3.02312748017148</v>
      </c>
      <c r="M213" s="57">
        <f t="shared" si="134"/>
        <v>0.002266845768483</v>
      </c>
      <c r="N213" s="57">
        <f t="shared" si="135"/>
        <v>0.0110979694219713</v>
      </c>
      <c r="O213" s="57">
        <f t="shared" si="136"/>
        <v>0.114883732305884</v>
      </c>
      <c r="P213" s="59">
        <v>0.0302</v>
      </c>
      <c r="Q213" s="60">
        <f t="shared" si="118"/>
        <v>0.0267</v>
      </c>
      <c r="R213" s="61">
        <v>1000</v>
      </c>
      <c r="S213" s="59">
        <v>0.3484</v>
      </c>
      <c r="T213" s="59">
        <v>9.801</v>
      </c>
      <c r="U213" s="62">
        <v>4e-6</v>
      </c>
      <c r="V213" s="63"/>
      <c r="W213" s="63">
        <f t="shared" si="119"/>
        <v>2.6e-6</v>
      </c>
      <c r="X213" s="64">
        <v>0.001147</v>
      </c>
      <c r="Y213" s="64">
        <v>1.85e-5</v>
      </c>
      <c r="Z213" s="65"/>
      <c r="AA213" s="66">
        <f t="shared" si="110"/>
        <v>0.00199952514299994</v>
      </c>
      <c r="AB213" s="65">
        <f t="shared" si="120"/>
        <v>3.54845328275933</v>
      </c>
      <c r="AC213" s="65">
        <f t="shared" si="121"/>
        <v>14.5158445484009</v>
      </c>
      <c r="AD213" s="65">
        <f t="shared" si="122"/>
        <v>5.19011733989259</v>
      </c>
      <c r="AI213" s="63">
        <f t="shared" si="123"/>
        <v>71.5870483514251</v>
      </c>
      <c r="AJ213" s="63"/>
      <c r="AK213" s="69">
        <f t="shared" si="137"/>
        <v>547.342112410403</v>
      </c>
      <c r="AL213" s="69"/>
      <c r="AM213" s="69">
        <f t="shared" si="111"/>
        <v>0.0125748457987836</v>
      </c>
      <c r="AN213" s="69">
        <f t="shared" si="124"/>
        <v>7.52843702944466e-5</v>
      </c>
      <c r="AO213" s="65">
        <f t="shared" si="138"/>
        <v>0.016269973022307</v>
      </c>
      <c r="AP213" s="68"/>
      <c r="AQ213" s="68"/>
      <c r="AR213" s="68">
        <f t="shared" si="125"/>
        <v>20.1259566285937</v>
      </c>
      <c r="AS213" s="68">
        <f t="shared" si="126"/>
        <v>28.4724527890372</v>
      </c>
      <c r="AT213" s="71">
        <f t="shared" si="127"/>
        <v>0.0186705238330228</v>
      </c>
      <c r="AU213" s="71"/>
      <c r="AV213" s="65"/>
      <c r="AW213" s="65">
        <f t="shared" si="139"/>
        <v>0.04217092220662</v>
      </c>
      <c r="AX213" s="65">
        <f t="shared" si="112"/>
        <v>0.385810225884814</v>
      </c>
      <c r="AY213" s="65">
        <f t="shared" si="140"/>
        <v>21.0804548139078</v>
      </c>
      <c r="AZ213" s="69">
        <f t="shared" si="113"/>
        <v>0.000771803699964428</v>
      </c>
      <c r="BA213" s="69">
        <f t="shared" si="114"/>
        <v>1.8354037244455e-6</v>
      </c>
      <c r="BB213" s="72">
        <f t="shared" si="128"/>
        <v>18.8121563070424</v>
      </c>
      <c r="BC213" s="72">
        <f t="shared" si="129"/>
        <v>3.6655678556206</v>
      </c>
      <c r="BD213" s="72">
        <f t="shared" si="130"/>
        <v>0.318256736961525</v>
      </c>
      <c r="BE213" s="72">
        <f t="shared" si="131"/>
        <v>24.8960792281861</v>
      </c>
      <c r="BF213" s="1"/>
      <c r="BG213" s="81"/>
      <c r="BH213" s="81"/>
    </row>
    <row r="214" ht="25" customHeight="1" spans="1:60">
      <c r="A214" s="85" t="s">
        <v>160</v>
      </c>
      <c r="B214" s="85" t="s">
        <v>205</v>
      </c>
      <c r="C214" s="55">
        <v>0.413690260955138</v>
      </c>
      <c r="D214" s="55">
        <v>6.14453336358576</v>
      </c>
      <c r="E214" s="55"/>
      <c r="F214" s="55">
        <v>2.26816577840144</v>
      </c>
      <c r="G214" s="56">
        <v>0.1</v>
      </c>
      <c r="H214" s="57">
        <f t="shared" si="141"/>
        <v>0.000185725163902457</v>
      </c>
      <c r="I214" s="57">
        <f t="shared" si="142"/>
        <v>0.000125</v>
      </c>
      <c r="J214" s="58">
        <f t="shared" si="132"/>
        <v>0.0339763717053902</v>
      </c>
      <c r="K214" s="58">
        <v>0</v>
      </c>
      <c r="L214" s="58">
        <f t="shared" si="133"/>
        <v>4.71818127709378</v>
      </c>
      <c r="M214" s="57">
        <f t="shared" si="134"/>
        <v>0.00241432612965814</v>
      </c>
      <c r="N214" s="57">
        <f t="shared" si="135"/>
        <v>0.00806205104582558</v>
      </c>
      <c r="O214" s="57">
        <f t="shared" si="136"/>
        <v>0.148431597988478</v>
      </c>
      <c r="P214" s="59">
        <v>0.0302</v>
      </c>
      <c r="Q214" s="60">
        <f t="shared" si="118"/>
        <v>0.0257</v>
      </c>
      <c r="R214" s="61">
        <v>1000</v>
      </c>
      <c r="S214" s="59">
        <v>0.11613</v>
      </c>
      <c r="T214" s="59">
        <v>9.801</v>
      </c>
      <c r="U214" s="62">
        <v>4e-6</v>
      </c>
      <c r="V214" s="63"/>
      <c r="W214" s="63">
        <f t="shared" si="119"/>
        <v>2.2e-6</v>
      </c>
      <c r="X214" s="64">
        <v>0.001147</v>
      </c>
      <c r="Y214" s="64">
        <v>1.85e-5</v>
      </c>
      <c r="Z214" s="65"/>
      <c r="AA214" s="66">
        <f t="shared" si="110"/>
        <v>0.00226816577840144</v>
      </c>
      <c r="AB214" s="65">
        <f t="shared" si="120"/>
        <v>6.68397716662233</v>
      </c>
      <c r="AC214" s="65">
        <f t="shared" si="121"/>
        <v>25.7068249437963</v>
      </c>
      <c r="AD214" s="65">
        <f t="shared" si="122"/>
        <v>6.67840918668214</v>
      </c>
      <c r="AI214" s="63">
        <f t="shared" si="123"/>
        <v>89.446542909219</v>
      </c>
      <c r="AJ214" s="63"/>
      <c r="AK214" s="69">
        <f t="shared" si="137"/>
        <v>116.863637984994</v>
      </c>
      <c r="AL214" s="69"/>
      <c r="AM214" s="69">
        <f t="shared" si="111"/>
        <v>0.0157120109044882</v>
      </c>
      <c r="AN214" s="69">
        <f t="shared" si="124"/>
        <v>7.06855855712575e-5</v>
      </c>
      <c r="AO214" s="65">
        <f t="shared" si="138"/>
        <v>0.0196566144300799</v>
      </c>
      <c r="AP214" s="68"/>
      <c r="AQ214" s="68"/>
      <c r="AR214" s="68">
        <f t="shared" si="125"/>
        <v>24.3152320500089</v>
      </c>
      <c r="AS214" s="68">
        <f t="shared" si="126"/>
        <v>34.3990752526399</v>
      </c>
      <c r="AT214" s="71">
        <f t="shared" si="127"/>
        <v>0.0175300252216719</v>
      </c>
      <c r="AU214" s="71"/>
      <c r="AV214" s="65"/>
      <c r="AW214" s="65">
        <f t="shared" si="139"/>
        <v>0.0347576766889987</v>
      </c>
      <c r="AX214" s="65">
        <f t="shared" si="112"/>
        <v>0.565533036225678</v>
      </c>
      <c r="AY214" s="65">
        <f t="shared" si="140"/>
        <v>19.7090432006821</v>
      </c>
      <c r="AZ214" s="69">
        <f t="shared" si="113"/>
        <v>0.00099733986221105</v>
      </c>
      <c r="BA214" s="69">
        <f t="shared" si="114"/>
        <v>4.18247725904546e-6</v>
      </c>
      <c r="BB214" s="72">
        <f t="shared" si="128"/>
        <v>22.7279604347799</v>
      </c>
      <c r="BC214" s="72">
        <f t="shared" si="129"/>
        <v>2.50067365084707</v>
      </c>
      <c r="BD214" s="72">
        <f t="shared" si="130"/>
        <v>0.063920053535521</v>
      </c>
      <c r="BE214" s="72">
        <f t="shared" si="131"/>
        <v>39.0636433171606</v>
      </c>
      <c r="BF214" s="1"/>
      <c r="BG214" s="81"/>
      <c r="BH214" s="81"/>
    </row>
    <row r="215" ht="25" customHeight="1" spans="1:60">
      <c r="A215" s="85" t="s">
        <v>162</v>
      </c>
      <c r="B215" s="85" t="s">
        <v>205</v>
      </c>
      <c r="C215" s="55">
        <v>0.398547606977585</v>
      </c>
      <c r="D215" s="55">
        <v>-91.1795669489701</v>
      </c>
      <c r="E215" s="55"/>
      <c r="F215" s="55">
        <v>2.21867157428169</v>
      </c>
      <c r="G215" s="56">
        <v>0.1</v>
      </c>
      <c r="H215" s="57">
        <f t="shared" si="141"/>
        <v>0.000185725163902457</v>
      </c>
      <c r="I215" s="57">
        <f t="shared" si="142"/>
        <v>0.000125</v>
      </c>
      <c r="J215" s="58">
        <f t="shared" si="132"/>
        <v>0.0334651458279286</v>
      </c>
      <c r="K215" s="58">
        <v>0</v>
      </c>
      <c r="L215" s="58">
        <f t="shared" si="133"/>
        <v>4.3793302830119</v>
      </c>
      <c r="M215" s="57">
        <f t="shared" si="134"/>
        <v>0.00238783903474326</v>
      </c>
      <c r="N215" s="57">
        <f t="shared" si="135"/>
        <v>0.00849705667861576</v>
      </c>
      <c r="O215" s="57">
        <f t="shared" si="136"/>
        <v>0.142403353539796</v>
      </c>
      <c r="P215" s="59">
        <v>0.0302</v>
      </c>
      <c r="Q215" s="60">
        <f t="shared" si="118"/>
        <v>0.0257</v>
      </c>
      <c r="R215" s="61">
        <v>1000</v>
      </c>
      <c r="S215" s="59">
        <v>0.11613</v>
      </c>
      <c r="T215" s="59">
        <v>9.801</v>
      </c>
      <c r="U215" s="62">
        <v>4e-6</v>
      </c>
      <c r="V215" s="63"/>
      <c r="W215" s="63">
        <f t="shared" si="119"/>
        <v>2.2e-6</v>
      </c>
      <c r="X215" s="64">
        <v>0.001147</v>
      </c>
      <c r="Y215" s="64">
        <v>1.85e-5</v>
      </c>
      <c r="Z215" s="65"/>
      <c r="AA215" s="66">
        <f t="shared" si="110"/>
        <v>0.00221867157428169</v>
      </c>
      <c r="AB215" s="65">
        <f t="shared" si="120"/>
        <v>6.05709454778591</v>
      </c>
      <c r="AC215" s="65">
        <f t="shared" si="121"/>
        <v>23.3386904345037</v>
      </c>
      <c r="AD215" s="65">
        <f t="shared" si="122"/>
        <v>6.39012679972256</v>
      </c>
      <c r="AI215" s="63">
        <f t="shared" si="123"/>
        <v>86.1724555627211</v>
      </c>
      <c r="AJ215" s="63"/>
      <c r="AK215" s="69">
        <f t="shared" si="137"/>
        <v>125.912713696492</v>
      </c>
      <c r="AL215" s="69"/>
      <c r="AM215" s="69">
        <f t="shared" si="111"/>
        <v>0.0151368909007712</v>
      </c>
      <c r="AN215" s="69">
        <f t="shared" si="124"/>
        <v>7.14696651456753e-5</v>
      </c>
      <c r="AO215" s="65">
        <f t="shared" si="138"/>
        <v>0.0190167394983968</v>
      </c>
      <c r="AP215" s="68"/>
      <c r="AQ215" s="68"/>
      <c r="AR215" s="68">
        <f t="shared" si="125"/>
        <v>23.5237067595168</v>
      </c>
      <c r="AS215" s="68">
        <f t="shared" si="126"/>
        <v>33.2792941221944</v>
      </c>
      <c r="AT215" s="71">
        <f t="shared" si="127"/>
        <v>0.0177244769561275</v>
      </c>
      <c r="AU215" s="71"/>
      <c r="AV215" s="65"/>
      <c r="AW215" s="65">
        <f t="shared" si="139"/>
        <v>0.0358325216985077</v>
      </c>
      <c r="AX215" s="65">
        <f t="shared" si="112"/>
        <v>0.530711727698159</v>
      </c>
      <c r="AY215" s="65">
        <f t="shared" si="140"/>
        <v>19.8751493318277</v>
      </c>
      <c r="AZ215" s="69">
        <f t="shared" si="113"/>
        <v>0.00095680989264034</v>
      </c>
      <c r="BA215" s="69">
        <f t="shared" si="114"/>
        <v>3.63327343004733e-6</v>
      </c>
      <c r="BB215" s="72">
        <f t="shared" si="128"/>
        <v>21.9881050450213</v>
      </c>
      <c r="BC215" s="72">
        <f t="shared" si="129"/>
        <v>2.66474903146935</v>
      </c>
      <c r="BD215" s="72">
        <f t="shared" si="130"/>
        <v>0.0951101522505833</v>
      </c>
      <c r="BE215" s="72">
        <f t="shared" si="131"/>
        <v>36.1189440339488</v>
      </c>
      <c r="BF215" s="1" t="s">
        <v>147</v>
      </c>
      <c r="BG215" s="81"/>
      <c r="BH215" s="81"/>
    </row>
    <row r="216" ht="25" customHeight="1" spans="1:60">
      <c r="A216" s="85" t="s">
        <v>165</v>
      </c>
      <c r="B216" s="85" t="s">
        <v>205</v>
      </c>
      <c r="C216" s="55">
        <v>0.31861468085336</v>
      </c>
      <c r="D216" s="55">
        <v>-28.4995393390295</v>
      </c>
      <c r="E216" s="55"/>
      <c r="F216" s="55">
        <v>2.264373878104</v>
      </c>
      <c r="G216" s="56">
        <v>1</v>
      </c>
      <c r="H216" s="57">
        <f t="shared" si="141"/>
        <v>0.000185725163902457</v>
      </c>
      <c r="I216" s="57">
        <f t="shared" si="142"/>
        <v>0.000125</v>
      </c>
      <c r="J216" s="58">
        <f t="shared" si="132"/>
        <v>0.0262117684444741</v>
      </c>
      <c r="K216" s="58">
        <v>0</v>
      </c>
      <c r="L216" s="58">
        <f t="shared" si="133"/>
        <v>2.79870640126258</v>
      </c>
      <c r="M216" s="57">
        <f t="shared" si="134"/>
        <v>0.00241230716051523</v>
      </c>
      <c r="N216" s="57">
        <f t="shared" si="135"/>
        <v>0.0135687239608447</v>
      </c>
      <c r="O216" s="57">
        <f t="shared" si="136"/>
        <v>0.0882669611783957</v>
      </c>
      <c r="P216" s="59">
        <v>0.0302</v>
      </c>
      <c r="Q216" s="60">
        <f t="shared" si="118"/>
        <v>0.0302</v>
      </c>
      <c r="R216" s="61">
        <v>1000</v>
      </c>
      <c r="S216" s="59">
        <v>1.1616</v>
      </c>
      <c r="T216" s="59">
        <v>9.801</v>
      </c>
      <c r="U216" s="62">
        <v>4e-6</v>
      </c>
      <c r="V216" s="63"/>
      <c r="W216" s="63">
        <f t="shared" si="119"/>
        <v>4e-6</v>
      </c>
      <c r="X216" s="64">
        <v>0.001147</v>
      </c>
      <c r="Y216" s="64">
        <v>1.85e-5</v>
      </c>
      <c r="Z216" s="65"/>
      <c r="AA216" s="66">
        <f t="shared" si="110"/>
        <v>0.002264373878104</v>
      </c>
      <c r="AB216" s="65">
        <f t="shared" si="120"/>
        <v>3.13533714858758</v>
      </c>
      <c r="AC216" s="65">
        <f t="shared" si="121"/>
        <v>15.2230878931005</v>
      </c>
      <c r="AD216" s="65">
        <f t="shared" si="122"/>
        <v>6.65609803648866</v>
      </c>
      <c r="AI216" s="63">
        <f t="shared" si="123"/>
        <v>68.8896607250508</v>
      </c>
      <c r="AJ216" s="63"/>
      <c r="AK216" s="69">
        <f t="shared" si="137"/>
        <v>1970.14608372247</v>
      </c>
      <c r="AL216" s="69"/>
      <c r="AM216" s="69">
        <f t="shared" si="111"/>
        <v>0.0121010277794306</v>
      </c>
      <c r="AN216" s="69">
        <f t="shared" si="124"/>
        <v>7.07447455399601e-5</v>
      </c>
      <c r="AO216" s="65">
        <f t="shared" si="138"/>
        <v>0.0196073423958237</v>
      </c>
      <c r="AP216" s="68"/>
      <c r="AQ216" s="68"/>
      <c r="AR216" s="68">
        <f t="shared" si="125"/>
        <v>24.2542825436339</v>
      </c>
      <c r="AS216" s="68">
        <f t="shared" si="126"/>
        <v>34.3128491926914</v>
      </c>
      <c r="AT216" s="71">
        <f t="shared" si="127"/>
        <v>0.0175446968939101</v>
      </c>
      <c r="AU216" s="71"/>
      <c r="AV216" s="65"/>
      <c r="AW216" s="65">
        <f t="shared" si="139"/>
        <v>0.058400484782921</v>
      </c>
      <c r="AX216" s="65">
        <f t="shared" si="112"/>
        <v>0.335739377313487</v>
      </c>
      <c r="AY216" s="65">
        <f t="shared" si="140"/>
        <v>33.0601330527641</v>
      </c>
      <c r="AZ216" s="69">
        <f t="shared" si="113"/>
        <v>0.000593081170137164</v>
      </c>
      <c r="BA216" s="69">
        <f t="shared" si="114"/>
        <v>2.46850827949133e-6</v>
      </c>
      <c r="BB216" s="72">
        <f t="shared" si="128"/>
        <v>22.6709896451711</v>
      </c>
      <c r="BC216" s="72">
        <f t="shared" si="129"/>
        <v>4.21223621038832</v>
      </c>
      <c r="BD216" s="72">
        <f t="shared" si="130"/>
        <v>0.110871325113194</v>
      </c>
      <c r="BE216" s="72">
        <f t="shared" si="131"/>
        <v>28.5352839660779</v>
      </c>
      <c r="BF216" s="1"/>
      <c r="BG216" s="81"/>
      <c r="BH216" s="81"/>
    </row>
    <row r="217" ht="25" customHeight="1" spans="1:60">
      <c r="A217" s="85" t="s">
        <v>206</v>
      </c>
      <c r="B217" s="85" t="s">
        <v>205</v>
      </c>
      <c r="C217" s="55">
        <v>0.291446360752799</v>
      </c>
      <c r="D217" s="55">
        <v>-22.089827242945</v>
      </c>
      <c r="E217" s="55"/>
      <c r="F217" s="55">
        <v>1.14634367154445</v>
      </c>
      <c r="G217" s="56">
        <v>1</v>
      </c>
      <c r="H217" s="57">
        <f>0.001/11.95261</f>
        <v>8.36637353682585e-5</v>
      </c>
      <c r="I217" s="57">
        <f>1/3000</f>
        <v>0.000333333333333333</v>
      </c>
      <c r="J217" s="58">
        <f t="shared" si="132"/>
        <v>0.0253307747477049</v>
      </c>
      <c r="K217" s="58">
        <v>0</v>
      </c>
      <c r="L217" s="58">
        <f t="shared" si="133"/>
        <v>1.21571146152625</v>
      </c>
      <c r="M217" s="57">
        <f t="shared" si="134"/>
        <v>0.000773183285999621</v>
      </c>
      <c r="N217" s="57">
        <f t="shared" si="135"/>
        <v>0.00406033524006054</v>
      </c>
      <c r="O217" s="57">
        <f t="shared" si="136"/>
        <v>0.0994982753670892</v>
      </c>
      <c r="P217" s="59">
        <v>0.0302</v>
      </c>
      <c r="Q217" s="60">
        <f t="shared" si="118"/>
        <v>0.0302</v>
      </c>
      <c r="R217" s="61">
        <v>1000</v>
      </c>
      <c r="S217" s="59">
        <v>1.1616</v>
      </c>
      <c r="T217" s="59">
        <v>9.801</v>
      </c>
      <c r="U217" s="62">
        <v>4e-6</v>
      </c>
      <c r="V217" s="63"/>
      <c r="W217" s="63">
        <f t="shared" si="119"/>
        <v>4e-6</v>
      </c>
      <c r="X217" s="64">
        <v>0.001147</v>
      </c>
      <c r="Y217" s="64">
        <v>1.85e-5</v>
      </c>
      <c r="Z217" s="65">
        <f>AD217*(1+D217/9.801)-7.5*AA217+18*AM217</f>
        <v>-1.94826570333666</v>
      </c>
      <c r="AA217" s="66">
        <f t="shared" si="110"/>
        <v>0.00114634367154445</v>
      </c>
      <c r="AB217" s="65">
        <f t="shared" si="120"/>
        <v>2.29056988766823</v>
      </c>
      <c r="AC217" s="65">
        <f t="shared" si="121"/>
        <v>6.44844743369992</v>
      </c>
      <c r="AD217" s="65">
        <f t="shared" si="122"/>
        <v>1.70589820848416</v>
      </c>
      <c r="AI217" s="63">
        <f t="shared" si="123"/>
        <v>63.0154293519565</v>
      </c>
      <c r="AJ217" s="63"/>
      <c r="AK217" s="69">
        <f t="shared" si="137"/>
        <v>2354.57605014456</v>
      </c>
      <c r="AL217" s="69"/>
      <c r="AM217" s="69">
        <f t="shared" si="111"/>
        <v>0.0110691713835583</v>
      </c>
      <c r="AN217" s="69">
        <f t="shared" si="124"/>
        <v>9.94284886526726e-5</v>
      </c>
      <c r="AO217" s="65">
        <f t="shared" si="138"/>
        <v>0.00706266789665619</v>
      </c>
      <c r="AP217" s="68"/>
      <c r="AQ217" s="68"/>
      <c r="AR217" s="68">
        <f t="shared" si="125"/>
        <v>8.73652018816371</v>
      </c>
      <c r="AS217" s="68">
        <f t="shared" si="126"/>
        <v>12.3596688191483</v>
      </c>
      <c r="AT217" s="71">
        <f t="shared" si="127"/>
        <v>0.0246582651858628</v>
      </c>
      <c r="AU217" s="71"/>
      <c r="AV217" s="65"/>
      <c r="AW217" s="65">
        <f t="shared" si="139"/>
        <v>0.0178880972732067</v>
      </c>
      <c r="AX217" s="65">
        <f t="shared" si="112"/>
        <v>0.394824993893278</v>
      </c>
      <c r="AY217" s="65">
        <f t="shared" si="140"/>
        <v>5.126476776278</v>
      </c>
      <c r="AZ217" s="69">
        <f t="shared" si="113"/>
        <v>0.00137768455898164</v>
      </c>
      <c r="BA217" s="69">
        <f t="shared" si="114"/>
        <v>2.67991117935809e-7</v>
      </c>
      <c r="BB217" s="72">
        <f t="shared" si="128"/>
        <v>8.16620975550872</v>
      </c>
      <c r="BC217" s="72">
        <f t="shared" si="129"/>
        <v>3.58187446146168</v>
      </c>
      <c r="BD217" s="72">
        <f t="shared" si="130"/>
        <v>1.79705327556384</v>
      </c>
      <c r="BE217" s="72">
        <f t="shared" si="131"/>
        <v>9.86024385066824</v>
      </c>
      <c r="BF217" s="1"/>
      <c r="BG217" s="81"/>
      <c r="BH217" s="81"/>
    </row>
    <row r="218" ht="25" customHeight="1" spans="1:60">
      <c r="A218" s="85" t="s">
        <v>207</v>
      </c>
      <c r="B218" s="85" t="s">
        <v>205</v>
      </c>
      <c r="C218" s="55">
        <v>0.197732548640575</v>
      </c>
      <c r="D218" s="55">
        <v>-16.2212153530235</v>
      </c>
      <c r="E218" s="55"/>
      <c r="F218" s="55">
        <v>1.1569867470459</v>
      </c>
      <c r="G218" s="56">
        <v>1</v>
      </c>
      <c r="H218" s="57">
        <f>0.001/11.95261</f>
        <v>8.36637353682585e-5</v>
      </c>
      <c r="I218" s="57">
        <f>1/3000</f>
        <v>0.000333333333333333</v>
      </c>
      <c r="J218" s="58">
        <f t="shared" si="132"/>
        <v>0.0170045298629314</v>
      </c>
      <c r="K218" s="58">
        <v>0</v>
      </c>
      <c r="L218" s="58">
        <f t="shared" si="133"/>
        <v>0.558943919801944</v>
      </c>
      <c r="M218" s="57">
        <f t="shared" si="134"/>
        <v>0.000776764252193928</v>
      </c>
      <c r="N218" s="57">
        <f t="shared" si="135"/>
        <v>0.00889591582934094</v>
      </c>
      <c r="O218" s="57">
        <f t="shared" si="136"/>
        <v>0.0451391995638629</v>
      </c>
      <c r="P218" s="59">
        <v>0.0302</v>
      </c>
      <c r="Q218" s="60">
        <f t="shared" si="118"/>
        <v>0.0302</v>
      </c>
      <c r="R218" s="61">
        <v>1000</v>
      </c>
      <c r="S218" s="59">
        <v>1.1616</v>
      </c>
      <c r="T218" s="59">
        <v>9.801</v>
      </c>
      <c r="U218" s="62">
        <v>4e-6</v>
      </c>
      <c r="V218" s="63"/>
      <c r="W218" s="63">
        <f t="shared" si="119"/>
        <v>4e-6</v>
      </c>
      <c r="X218" s="64">
        <v>0.001147</v>
      </c>
      <c r="Y218" s="64">
        <v>1.85e-5</v>
      </c>
      <c r="Z218" s="65">
        <f>AD218*(1+D218/9.801)-7.5*AA218+18*AM218</f>
        <v>-1.01180606583845</v>
      </c>
      <c r="AA218" s="66">
        <f t="shared" si="110"/>
        <v>0.0011569867470459</v>
      </c>
      <c r="AB218" s="65">
        <f t="shared" si="120"/>
        <v>-0.0459653011265369</v>
      </c>
      <c r="AC218" s="65">
        <f t="shared" si="121"/>
        <v>2.99576515695992</v>
      </c>
      <c r="AD218" s="65">
        <f t="shared" si="122"/>
        <v>1.73772162651171</v>
      </c>
      <c r="AI218" s="63">
        <f t="shared" si="123"/>
        <v>42.7529834898541</v>
      </c>
      <c r="AJ218" s="63"/>
      <c r="AK218" s="69">
        <f t="shared" si="137"/>
        <v>5115.33013188302</v>
      </c>
      <c r="AL218" s="69"/>
      <c r="AM218" s="69">
        <f t="shared" si="111"/>
        <v>0.00750990838711058</v>
      </c>
      <c r="AN218" s="69">
        <f t="shared" si="124"/>
        <v>9.89701126967624e-5</v>
      </c>
      <c r="AO218" s="65">
        <f t="shared" si="138"/>
        <v>0.00716125444643851</v>
      </c>
      <c r="AP218" s="68"/>
      <c r="AQ218" s="68"/>
      <c r="AR218" s="68">
        <f t="shared" si="125"/>
        <v>8.85847175024444</v>
      </c>
      <c r="AS218" s="68">
        <f t="shared" si="126"/>
        <v>12.5321952812674</v>
      </c>
      <c r="AT218" s="71">
        <f t="shared" si="127"/>
        <v>0.0245445879487971</v>
      </c>
      <c r="AU218" s="71"/>
      <c r="AV218" s="65"/>
      <c r="AW218" s="65">
        <f t="shared" si="139"/>
        <v>0.039586963069292</v>
      </c>
      <c r="AX218" s="65">
        <f t="shared" si="112"/>
        <v>0.180899313592296</v>
      </c>
      <c r="AY218" s="65">
        <f t="shared" si="140"/>
        <v>11.4503979067416</v>
      </c>
      <c r="AZ218" s="69">
        <f t="shared" si="113"/>
        <v>0.000625415335324044</v>
      </c>
      <c r="BA218" s="69">
        <f t="shared" si="114"/>
        <v>1.26823605222819e-7</v>
      </c>
      <c r="BB218" s="72">
        <f t="shared" si="128"/>
        <v>8.28020045369453</v>
      </c>
      <c r="BC218" s="72">
        <f t="shared" si="129"/>
        <v>7.81768340791161</v>
      </c>
      <c r="BD218" s="72">
        <f t="shared" si="130"/>
        <v>3.84694932451634</v>
      </c>
      <c r="BE218" s="72">
        <f t="shared" si="131"/>
        <v>6.47120840998334</v>
      </c>
      <c r="BF218" s="1"/>
      <c r="BG218" s="81"/>
      <c r="BH218" s="81"/>
    </row>
    <row r="219" ht="14.4" spans="1:60">
      <c r="AP219"/>
      <c r="AQ219"/>
      <c r="AR219"/>
      <c r="AS219"/>
      <c r="AT219" s="89"/>
      <c r="AU219" s="89"/>
      <c r="AV219" s="100"/>
      <c r="AW219" s="100" t="s">
        <v>208</v>
      </c>
    </row>
    <row r="220" ht="14.4" spans="1:60">
      <c r="AP220"/>
      <c r="AQ220"/>
      <c r="AR220"/>
      <c r="AS220"/>
      <c r="AT220" s="89"/>
      <c r="AU220" s="89"/>
      <c r="AV220" s="101"/>
      <c r="AW220" s="101"/>
    </row>
    <row r="221" ht="14.4" spans="1:60">
      <c r="A221" s="79" t="s">
        <v>209</v>
      </c>
      <c r="B221" s="79" t="s">
        <v>209</v>
      </c>
      <c r="C221" s="79" t="s">
        <v>210</v>
      </c>
      <c r="D221" s="79" t="s">
        <v>211</v>
      </c>
      <c r="E221" s="79" t="s">
        <v>212</v>
      </c>
      <c r="AP221"/>
      <c r="AQ221"/>
      <c r="AR221"/>
      <c r="AS221"/>
      <c r="AT221" s="89"/>
      <c r="AU221" s="89"/>
      <c r="AV221" s="101"/>
      <c r="AW221" s="101"/>
    </row>
    <row r="222" s="79" customFormat="1" ht="14.4" spans="1:60">
      <c r="A222" s="79">
        <v>0</v>
      </c>
      <c r="B222" s="79">
        <v>0</v>
      </c>
      <c r="C222" s="79">
        <f t="shared" ref="C222:C231" si="143">TAN(A222)</f>
        <v>0</v>
      </c>
      <c r="D222" s="79">
        <f t="shared" ref="D222:D231" si="144">2*A222/(A222^2+2)</f>
        <v>0</v>
      </c>
      <c r="E222" s="79">
        <f t="shared" ref="E222:E231" si="145">C222-D222</f>
        <v>0</v>
      </c>
      <c r="AE222" s="90"/>
      <c r="AF222" s="90"/>
      <c r="AG222" s="90"/>
      <c r="AH222" s="90"/>
      <c r="AP222"/>
      <c r="AQ222"/>
      <c r="AR222"/>
      <c r="AS222"/>
      <c r="AT222" s="89"/>
      <c r="AU222" s="89"/>
      <c r="AV222" s="101"/>
      <c r="AW222" s="101"/>
    </row>
    <row r="223" s="79" customFormat="1" ht="14.4" spans="1:60">
      <c r="A223" s="79">
        <v>3.141</v>
      </c>
      <c r="B223" s="79">
        <v>3.141</v>
      </c>
      <c r="C223" s="79">
        <f t="shared" si="143"/>
        <v>-0.000592653659180776</v>
      </c>
      <c r="D223" s="79">
        <f t="shared" si="144"/>
        <v>0.529417074046166</v>
      </c>
      <c r="E223" s="79">
        <f t="shared" si="145"/>
        <v>-0.530009727705347</v>
      </c>
      <c r="AE223" s="90"/>
      <c r="AF223" s="90"/>
      <c r="AG223" s="90"/>
      <c r="AH223" s="90"/>
      <c r="AP223"/>
      <c r="AQ223"/>
      <c r="AR223"/>
      <c r="AS223"/>
      <c r="AT223" s="89"/>
      <c r="AU223" s="89"/>
      <c r="AV223" s="101"/>
      <c r="AW223" s="101"/>
    </row>
    <row r="224" s="79" customFormat="1" ht="14.4" spans="1:60">
      <c r="A224" s="79">
        <v>3.241</v>
      </c>
      <c r="B224" s="79">
        <v>3.241</v>
      </c>
      <c r="C224" s="79">
        <f t="shared" si="143"/>
        <v>0.0997360877484162</v>
      </c>
      <c r="D224" s="79">
        <f t="shared" si="144"/>
        <v>0.518390755786051</v>
      </c>
      <c r="E224" s="79">
        <f t="shared" si="145"/>
        <v>-0.418654668037635</v>
      </c>
      <c r="AE224" s="90"/>
      <c r="AF224" s="90"/>
      <c r="AG224" s="90"/>
      <c r="AH224" s="90"/>
      <c r="AP224"/>
      <c r="AQ224"/>
      <c r="AR224"/>
      <c r="AS224"/>
      <c r="AT224" s="89"/>
      <c r="AU224" s="89"/>
      <c r="AV224" s="101"/>
      <c r="AW224" s="101"/>
    </row>
    <row r="225" s="79" customFormat="1" spans="1:47">
      <c r="A225" s="79">
        <v>3.341</v>
      </c>
      <c r="B225" s="79">
        <v>3.341</v>
      </c>
      <c r="C225" s="79">
        <f t="shared" si="143"/>
        <v>0.202093103021841</v>
      </c>
      <c r="D225" s="79">
        <f t="shared" si="144"/>
        <v>0.507662767570454</v>
      </c>
      <c r="E225" s="79">
        <f t="shared" si="145"/>
        <v>-0.305569664548613</v>
      </c>
      <c r="AE225" s="90"/>
      <c r="AF225" s="90"/>
      <c r="AG225" s="90"/>
      <c r="AH225" s="90"/>
      <c r="AP225" s="22"/>
      <c r="AT225" s="88"/>
      <c r="AU225" s="88"/>
    </row>
    <row r="226" s="79" customFormat="1" spans="1:47">
      <c r="A226" s="79">
        <v>3.441</v>
      </c>
      <c r="B226" s="79">
        <v>3.441</v>
      </c>
      <c r="C226" s="79">
        <f t="shared" si="143"/>
        <v>0.308687004590242</v>
      </c>
      <c r="D226" s="79">
        <f t="shared" si="144"/>
        <v>0.497237054116833</v>
      </c>
      <c r="E226" s="79">
        <f t="shared" si="145"/>
        <v>-0.188550049526591</v>
      </c>
      <c r="AE226" s="90"/>
      <c r="AF226" s="90"/>
      <c r="AG226" s="90"/>
      <c r="AH226" s="90"/>
      <c r="AP226" s="22"/>
      <c r="AT226" s="88"/>
      <c r="AU226" s="88"/>
    </row>
    <row r="227" s="79" customFormat="1" spans="1:47">
      <c r="A227" s="79">
        <v>3.541</v>
      </c>
      <c r="B227" s="79">
        <v>3.541</v>
      </c>
      <c r="C227" s="79">
        <f t="shared" si="143"/>
        <v>0.422094800806623</v>
      </c>
      <c r="D227" s="79">
        <f t="shared" si="144"/>
        <v>0.487114340014751</v>
      </c>
      <c r="E227" s="79">
        <f t="shared" si="145"/>
        <v>-0.0650195392081277</v>
      </c>
      <c r="AE227" s="90"/>
      <c r="AF227" s="90"/>
      <c r="AG227" s="90"/>
      <c r="AH227" s="90"/>
      <c r="AP227" s="22"/>
      <c r="AT227" s="88"/>
      <c r="AU227" s="88"/>
    </row>
    <row r="228" s="79" customFormat="1" spans="1:47">
      <c r="A228" s="79">
        <v>3.551</v>
      </c>
      <c r="B228" s="79">
        <v>3.551</v>
      </c>
      <c r="C228" s="79">
        <f t="shared" si="143"/>
        <v>0.433926777575934</v>
      </c>
      <c r="D228" s="79">
        <f t="shared" si="144"/>
        <v>0.486118683186488</v>
      </c>
      <c r="E228" s="79">
        <f t="shared" si="145"/>
        <v>-0.0521919056105538</v>
      </c>
      <c r="AE228" s="90"/>
      <c r="AF228" s="90"/>
      <c r="AG228" s="90"/>
      <c r="AH228" s="90"/>
      <c r="AT228" s="88"/>
      <c r="AU228" s="88"/>
    </row>
    <row r="229" s="79" customFormat="1" spans="1:47">
      <c r="A229" s="79">
        <v>3.561</v>
      </c>
      <c r="B229" s="79">
        <v>3.561</v>
      </c>
      <c r="C229" s="79">
        <f t="shared" si="143"/>
        <v>0.445861889545396</v>
      </c>
      <c r="D229" s="79">
        <f t="shared" si="144"/>
        <v>0.485126037065891</v>
      </c>
      <c r="E229" s="79">
        <f t="shared" si="145"/>
        <v>-0.0392641475204952</v>
      </c>
      <c r="AE229" s="90"/>
      <c r="AF229" s="90"/>
      <c r="AG229" s="90"/>
      <c r="AH229" s="90"/>
      <c r="AT229" s="88"/>
      <c r="AU229" s="88"/>
    </row>
    <row r="230" s="79" customFormat="1" spans="1:47">
      <c r="A230" s="79">
        <v>3.571</v>
      </c>
      <c r="B230" s="79">
        <v>3.571</v>
      </c>
      <c r="C230" s="79">
        <f t="shared" si="143"/>
        <v>0.457903909974065</v>
      </c>
      <c r="D230" s="79">
        <f t="shared" si="144"/>
        <v>0.484136398482081</v>
      </c>
      <c r="E230" s="79">
        <f t="shared" si="145"/>
        <v>-0.0262324885080158</v>
      </c>
      <c r="AE230" s="90"/>
      <c r="AF230" s="90"/>
      <c r="AG230" s="90"/>
      <c r="AH230" s="90"/>
      <c r="AT230" s="88"/>
      <c r="AU230" s="88"/>
    </row>
    <row r="231" s="79" customFormat="1" spans="1:47">
      <c r="A231" s="79">
        <v>3.581</v>
      </c>
      <c r="B231" s="79">
        <v>3.581</v>
      </c>
      <c r="C231" s="79">
        <f t="shared" si="143"/>
        <v>0.4700567231851</v>
      </c>
      <c r="D231" s="79">
        <f t="shared" si="144"/>
        <v>0.483149764081654</v>
      </c>
      <c r="E231" s="79">
        <f t="shared" si="145"/>
        <v>-0.0130930408965536</v>
      </c>
      <c r="AE231" s="90"/>
      <c r="AF231" s="90"/>
      <c r="AG231" s="90"/>
      <c r="AH231" s="90"/>
      <c r="AT231" s="88"/>
      <c r="AU231" s="88"/>
    </row>
    <row r="232" s="79" customFormat="1" spans="1:47">
      <c r="A232" s="79">
        <v>3.582</v>
      </c>
      <c r="B232" s="79">
        <v>3.582</v>
      </c>
      <c r="C232" s="79">
        <f t="shared" ref="C232:C240" si="146">TAN(A232)</f>
        <v>0.471278251102698</v>
      </c>
      <c r="D232" s="79">
        <f t="shared" ref="D232:D240" si="147">2*A232/(A232^2+2)</f>
        <v>0.483051265737263</v>
      </c>
      <c r="E232" s="79">
        <f t="shared" ref="E232:E240" si="148">C232-D232</f>
        <v>-0.0117730146345651</v>
      </c>
      <c r="AE232" s="90"/>
      <c r="AF232" s="90"/>
      <c r="AG232" s="90"/>
      <c r="AH232" s="90"/>
      <c r="AT232" s="88"/>
      <c r="AU232" s="88"/>
    </row>
    <row r="233" s="79" customFormat="1" spans="1:47">
      <c r="A233" s="79">
        <v>3.583</v>
      </c>
      <c r="B233" s="79">
        <v>3.583</v>
      </c>
      <c r="C233" s="79">
        <f t="shared" si="146"/>
        <v>0.472500930922628</v>
      </c>
      <c r="D233" s="79">
        <f t="shared" si="147"/>
        <v>0.48295279739591</v>
      </c>
      <c r="E233" s="79">
        <f t="shared" si="148"/>
        <v>-0.0104518664732823</v>
      </c>
      <c r="AE233" s="90"/>
      <c r="AF233" s="90"/>
      <c r="AG233" s="90"/>
      <c r="AH233" s="90"/>
      <c r="AT233" s="88"/>
      <c r="AU233" s="88"/>
    </row>
    <row r="234" s="79" customFormat="1" spans="1:47">
      <c r="A234" s="79">
        <v>3.584</v>
      </c>
      <c r="B234" s="79">
        <v>3.584</v>
      </c>
      <c r="C234" s="79">
        <f t="shared" si="146"/>
        <v>0.473724766723851</v>
      </c>
      <c r="D234" s="79">
        <f t="shared" si="147"/>
        <v>0.48285435905395</v>
      </c>
      <c r="E234" s="79">
        <f t="shared" si="148"/>
        <v>-0.00912959233009941</v>
      </c>
      <c r="AE234" s="90"/>
      <c r="AF234" s="90"/>
      <c r="AG234" s="90"/>
      <c r="AH234" s="90"/>
      <c r="AT234" s="88"/>
      <c r="AU234" s="88"/>
    </row>
    <row r="235" s="79" customFormat="1" spans="1:47">
      <c r="A235" s="79">
        <v>3.585</v>
      </c>
      <c r="B235" s="79">
        <v>3.585</v>
      </c>
      <c r="C235" s="79">
        <f t="shared" si="146"/>
        <v>0.474949762597675</v>
      </c>
      <c r="D235" s="79">
        <f t="shared" si="147"/>
        <v>0.482755950707722</v>
      </c>
      <c r="E235" s="79">
        <f t="shared" si="148"/>
        <v>-0.00780618811004741</v>
      </c>
      <c r="AE235" s="90"/>
      <c r="AF235" s="90"/>
      <c r="AG235" s="90"/>
      <c r="AH235" s="90"/>
      <c r="AT235" s="88"/>
      <c r="AU235" s="88"/>
    </row>
    <row r="236" s="79" customFormat="1" spans="1:47">
      <c r="A236" s="79">
        <v>3.586</v>
      </c>
      <c r="B236" s="79">
        <v>3.586</v>
      </c>
      <c r="C236" s="79">
        <f t="shared" si="146"/>
        <v>0.476175922647811</v>
      </c>
      <c r="D236" s="79">
        <f t="shared" si="147"/>
        <v>0.482657572353547</v>
      </c>
      <c r="E236" s="79">
        <f t="shared" si="148"/>
        <v>-0.00648164970573545</v>
      </c>
      <c r="AE236" s="90"/>
      <c r="AF236" s="90"/>
      <c r="AG236" s="90"/>
      <c r="AH236" s="90"/>
      <c r="AT236" s="88"/>
      <c r="AU236" s="88"/>
    </row>
    <row r="237" s="79" customFormat="1" spans="1:47">
      <c r="A237" s="79">
        <v>3.587</v>
      </c>
      <c r="B237" s="79">
        <v>3.587</v>
      </c>
      <c r="C237" s="79">
        <f t="shared" si="146"/>
        <v>0.477403250990436</v>
      </c>
      <c r="D237" s="79">
        <f t="shared" si="147"/>
        <v>0.482559223987727</v>
      </c>
      <c r="E237" s="79">
        <f t="shared" si="148"/>
        <v>-0.00515597299729065</v>
      </c>
      <c r="AE237" s="90"/>
      <c r="AF237" s="90"/>
      <c r="AG237" s="90"/>
      <c r="AH237" s="90"/>
      <c r="AT237" s="88"/>
      <c r="AU237" s="88"/>
    </row>
    <row r="238" s="79" customFormat="1" spans="1:47">
      <c r="A238" s="79">
        <v>3.588</v>
      </c>
      <c r="B238" s="79">
        <v>3.588</v>
      </c>
      <c r="C238" s="79">
        <f t="shared" si="146"/>
        <v>0.478631751754251</v>
      </c>
      <c r="D238" s="79">
        <f t="shared" si="147"/>
        <v>0.482460905606551</v>
      </c>
      <c r="E238" s="79">
        <f t="shared" si="148"/>
        <v>-0.00382915385229943</v>
      </c>
      <c r="AE238" s="90"/>
      <c r="AF238" s="90"/>
      <c r="AG238" s="90"/>
      <c r="AH238" s="90"/>
      <c r="AT238" s="88"/>
      <c r="AU238" s="88"/>
    </row>
    <row r="239" s="79" customFormat="1" spans="1:47">
      <c r="A239" s="79">
        <v>3.589</v>
      </c>
      <c r="B239" s="79">
        <v>3.589</v>
      </c>
      <c r="C239" s="79">
        <f t="shared" si="146"/>
        <v>0.479861429080544</v>
      </c>
      <c r="D239" s="79">
        <f t="shared" si="147"/>
        <v>0.482362617206287</v>
      </c>
      <c r="E239" s="79">
        <f t="shared" si="148"/>
        <v>-0.00250118812574346</v>
      </c>
      <c r="AE239" s="90"/>
      <c r="AF239" s="90"/>
      <c r="AG239" s="90"/>
      <c r="AH239" s="90"/>
      <c r="AT239" s="88"/>
      <c r="AU239" s="88"/>
    </row>
    <row r="240" s="79" customFormat="1" spans="1:47">
      <c r="A240" s="79">
        <v>3.59</v>
      </c>
      <c r="B240" s="79">
        <v>3.59</v>
      </c>
      <c r="C240" s="79">
        <f t="shared" si="146"/>
        <v>0.481092287123248</v>
      </c>
      <c r="D240" s="79">
        <f t="shared" si="147"/>
        <v>0.482264358783189</v>
      </c>
      <c r="E240" s="79">
        <f t="shared" si="148"/>
        <v>-0.00117207165994099</v>
      </c>
      <c r="AE240" s="90"/>
      <c r="AF240" s="90"/>
      <c r="AG240" s="90"/>
      <c r="AH240" s="90"/>
      <c r="AT240" s="88"/>
      <c r="AU240" s="88"/>
    </row>
    <row r="241" s="79" customFormat="1" spans="1:47">
      <c r="A241" s="79">
        <v>3.5901</v>
      </c>
      <c r="B241" s="79">
        <v>3.5901</v>
      </c>
      <c r="C241" s="79">
        <f t="shared" ref="C241:C254" si="149">TAN(A241)</f>
        <v>0.481215438027227</v>
      </c>
      <c r="D241" s="79">
        <f t="shared" ref="D241:D254" si="150">2*A241/(A241^2+2)</f>
        <v>0.482254534589479</v>
      </c>
      <c r="E241" s="79">
        <f t="shared" ref="E241:E249" si="151">C241-D241</f>
        <v>-0.00103909656225182</v>
      </c>
      <c r="AE241" s="90"/>
      <c r="AF241" s="90"/>
      <c r="AG241" s="90"/>
      <c r="AH241" s="90"/>
      <c r="AT241" s="88"/>
      <c r="AU241" s="88"/>
    </row>
    <row r="242" s="79" customFormat="1" spans="1:47">
      <c r="A242" s="79">
        <v>3.5902</v>
      </c>
      <c r="B242" s="79">
        <v>3.5902</v>
      </c>
      <c r="C242" s="79">
        <f t="shared" si="149"/>
        <v>0.481338600784199</v>
      </c>
      <c r="D242" s="79">
        <f t="shared" si="150"/>
        <v>0.482244710695499</v>
      </c>
      <c r="E242" s="79">
        <f t="shared" si="151"/>
        <v>-0.000906109911299857</v>
      </c>
      <c r="AE242" s="90"/>
      <c r="AF242" s="90"/>
      <c r="AG242" s="90"/>
      <c r="AH242" s="90"/>
      <c r="AT242" s="88"/>
      <c r="AU242" s="88"/>
    </row>
    <row r="243" s="79" customFormat="1" spans="1:47">
      <c r="A243" s="79">
        <v>3.59029999999999</v>
      </c>
      <c r="B243" s="79">
        <v>3.59029999999999</v>
      </c>
      <c r="C243" s="79">
        <f t="shared" si="149"/>
        <v>0.481461775398327</v>
      </c>
      <c r="D243" s="79">
        <f t="shared" si="150"/>
        <v>0.482234887101246</v>
      </c>
      <c r="E243" s="79">
        <f t="shared" si="151"/>
        <v>-0.000773111702918716</v>
      </c>
      <c r="AE243" s="90"/>
      <c r="AF243" s="90"/>
      <c r="AG243" s="90"/>
      <c r="AH243" s="90"/>
      <c r="AT243" s="88"/>
      <c r="AU243" s="88"/>
    </row>
    <row r="244" s="79" customFormat="1" spans="1:47">
      <c r="A244" s="79">
        <v>3.59039999999999</v>
      </c>
      <c r="B244" s="79">
        <v>3.59039999999999</v>
      </c>
      <c r="C244" s="79">
        <f t="shared" si="149"/>
        <v>0.481584961873813</v>
      </c>
      <c r="D244" s="79">
        <f t="shared" si="150"/>
        <v>0.482225063806715</v>
      </c>
      <c r="E244" s="79">
        <f t="shared" si="151"/>
        <v>-0.000640101932901926</v>
      </c>
      <c r="AE244" s="90"/>
      <c r="AF244" s="90"/>
      <c r="AG244" s="90"/>
      <c r="AH244" s="90"/>
      <c r="AT244" s="88"/>
      <c r="AU244" s="88"/>
    </row>
    <row r="245" s="79" customFormat="1" spans="1:47">
      <c r="A245" s="79">
        <v>3.59049999999999</v>
      </c>
      <c r="B245" s="79">
        <v>3.59049999999999</v>
      </c>
      <c r="C245" s="79">
        <f t="shared" si="149"/>
        <v>0.48170816021482</v>
      </c>
      <c r="D245" s="79">
        <f t="shared" si="150"/>
        <v>0.482215240811903</v>
      </c>
      <c r="E245" s="79">
        <f t="shared" si="151"/>
        <v>-0.000507080597082377</v>
      </c>
      <c r="AE245" s="90"/>
      <c r="AF245" s="90"/>
      <c r="AG245" s="90"/>
      <c r="AH245" s="90"/>
      <c r="AT245" s="88"/>
      <c r="AU245" s="88"/>
    </row>
    <row r="246" s="79" customFormat="1" spans="1:47">
      <c r="A246" s="79">
        <v>3.59059999999999</v>
      </c>
      <c r="B246" s="79">
        <v>3.59059999999999</v>
      </c>
      <c r="C246" s="79">
        <f t="shared" si="149"/>
        <v>0.48183137042553</v>
      </c>
      <c r="D246" s="79">
        <f t="shared" si="150"/>
        <v>0.482205418116806</v>
      </c>
      <c r="E246" s="79">
        <f t="shared" si="151"/>
        <v>-0.000374047691276302</v>
      </c>
      <c r="AE246" s="90"/>
      <c r="AF246" s="90"/>
      <c r="AG246" s="90"/>
      <c r="AH246" s="90"/>
      <c r="AT246" s="88"/>
      <c r="AU246" s="88"/>
    </row>
    <row r="247" s="79" customFormat="1" spans="1:47">
      <c r="A247" s="79">
        <v>3.59069999999999</v>
      </c>
      <c r="B247" s="79">
        <v>3.59069999999999</v>
      </c>
      <c r="C247" s="79">
        <f t="shared" si="149"/>
        <v>0.481954592510119</v>
      </c>
      <c r="D247" s="79">
        <f t="shared" si="150"/>
        <v>0.48219559572142</v>
      </c>
      <c r="E247" s="79">
        <f t="shared" si="151"/>
        <v>-0.000241003211300994</v>
      </c>
      <c r="AE247" s="90"/>
      <c r="AF247" s="90"/>
      <c r="AG247" s="90"/>
      <c r="AH247" s="90"/>
      <c r="AT247" s="88"/>
      <c r="AU247" s="88"/>
    </row>
    <row r="248" s="79" customFormat="1" spans="1:47">
      <c r="A248" s="79">
        <v>3.59079999999998</v>
      </c>
      <c r="B248" s="79">
        <v>3.59079999999998</v>
      </c>
      <c r="C248" s="79">
        <f t="shared" si="149"/>
        <v>0.482077826472759</v>
      </c>
      <c r="D248" s="79">
        <f t="shared" si="150"/>
        <v>0.482185773625743</v>
      </c>
      <c r="E248" s="79">
        <f t="shared" si="151"/>
        <v>-0.000107947152983956</v>
      </c>
      <c r="AE248" s="90"/>
      <c r="AF248" s="90"/>
      <c r="AG248" s="90"/>
      <c r="AH248" s="90"/>
      <c r="AT248" s="88"/>
      <c r="AU248" s="88"/>
    </row>
    <row r="249" s="79" customFormat="1" spans="1:47">
      <c r="A249" s="102">
        <v>3.59089999999998</v>
      </c>
      <c r="B249" s="102">
        <v>3.59089999999998</v>
      </c>
      <c r="C249" s="102">
        <f t="shared" si="149"/>
        <v>0.482201072317657</v>
      </c>
      <c r="D249" s="102">
        <f t="shared" si="150"/>
        <v>0.482175951829769</v>
      </c>
      <c r="E249" s="102">
        <f t="shared" si="151"/>
        <v>2.51204878878863e-5</v>
      </c>
      <c r="AE249" s="90"/>
      <c r="AF249" s="90"/>
      <c r="AG249" s="90"/>
      <c r="AH249" s="90"/>
      <c r="AT249" s="88"/>
      <c r="AU249" s="88"/>
    </row>
    <row r="250" s="79" customFormat="1" spans="1:47">
      <c r="A250" s="79">
        <v>3.591</v>
      </c>
      <c r="B250" s="79">
        <v>3.591</v>
      </c>
      <c r="C250" s="79">
        <f t="shared" si="149"/>
        <v>0.482324330049008</v>
      </c>
      <c r="D250" s="79">
        <f t="shared" si="150"/>
        <v>0.482166130333493</v>
      </c>
      <c r="E250" s="79">
        <f t="shared" ref="E250:E266" si="152">C250-D250</f>
        <v>0.000158199715515228</v>
      </c>
      <c r="AE250" s="90"/>
      <c r="AF250" s="90"/>
      <c r="AG250" s="90"/>
      <c r="AH250" s="90"/>
      <c r="AT250" s="88"/>
      <c r="AU250" s="88"/>
    </row>
    <row r="251" s="79" customFormat="1" spans="1:47">
      <c r="A251" s="79">
        <v>3.601</v>
      </c>
      <c r="B251" s="79">
        <v>3.601</v>
      </c>
      <c r="C251" s="79">
        <f t="shared" si="149"/>
        <v>0.494710853746898</v>
      </c>
      <c r="D251" s="79">
        <f t="shared" si="150"/>
        <v>0.481185493533494</v>
      </c>
      <c r="E251" s="79">
        <f t="shared" si="152"/>
        <v>0.0135253602134044</v>
      </c>
      <c r="AE251" s="90"/>
      <c r="AF251" s="90"/>
      <c r="AG251" s="90"/>
      <c r="AH251" s="90"/>
      <c r="AT251" s="88"/>
      <c r="AU251" s="88"/>
    </row>
    <row r="252" s="79" customFormat="1" spans="1:47">
      <c r="A252" s="79">
        <v>3.611</v>
      </c>
      <c r="B252" s="79">
        <v>3.611</v>
      </c>
      <c r="C252" s="79">
        <f t="shared" si="149"/>
        <v>0.50722054583208</v>
      </c>
      <c r="D252" s="79">
        <f t="shared" si="150"/>
        <v>0.480207849809177</v>
      </c>
      <c r="E252" s="79">
        <f t="shared" si="152"/>
        <v>0.0270126960229032</v>
      </c>
      <c r="AE252" s="90"/>
      <c r="AF252" s="90"/>
      <c r="AG252" s="90"/>
      <c r="AH252" s="90"/>
      <c r="AT252" s="88"/>
      <c r="AU252" s="88"/>
    </row>
    <row r="253" s="79" customFormat="1" spans="1:47">
      <c r="A253" s="79">
        <v>3.621</v>
      </c>
      <c r="B253" s="79">
        <v>3.621</v>
      </c>
      <c r="C253" s="79">
        <f t="shared" si="149"/>
        <v>0.519857792609673</v>
      </c>
      <c r="D253" s="79">
        <f t="shared" si="150"/>
        <v>0.479233195124209</v>
      </c>
      <c r="E253" s="79">
        <f t="shared" si="152"/>
        <v>0.0406245974854636</v>
      </c>
      <c r="AE253" s="90"/>
      <c r="AF253" s="90"/>
      <c r="AG253" s="90"/>
      <c r="AH253" s="90"/>
      <c r="AT253" s="88"/>
      <c r="AU253" s="88"/>
    </row>
    <row r="254" s="79" customFormat="1" spans="1:47">
      <c r="A254" s="79">
        <v>3.631</v>
      </c>
      <c r="B254" s="79">
        <v>3.631</v>
      </c>
      <c r="C254" s="79">
        <f t="shared" si="149"/>
        <v>0.532627121855336</v>
      </c>
      <c r="D254" s="79">
        <f t="shared" si="150"/>
        <v>0.478261525282826</v>
      </c>
      <c r="E254" s="79">
        <f t="shared" si="152"/>
        <v>0.05436559657251</v>
      </c>
      <c r="AE254" s="90"/>
      <c r="AF254" s="90"/>
      <c r="AG254" s="90"/>
      <c r="AH254" s="90"/>
      <c r="AT254" s="88"/>
      <c r="AU254" s="88"/>
    </row>
    <row r="255" s="79" customFormat="1" spans="1:47">
      <c r="A255" s="79">
        <v>3.641</v>
      </c>
      <c r="B255" s="79">
        <v>3.641</v>
      </c>
      <c r="C255" s="79">
        <f t="shared" ref="C255:C266" si="153">TAN(A255)</f>
        <v>0.545533209895772</v>
      </c>
      <c r="D255" s="79">
        <f t="shared" ref="D255:D266" si="154">2*A255/(A255^2+2)</f>
        <v>0.47729283593416</v>
      </c>
      <c r="E255" s="79">
        <f t="shared" si="152"/>
        <v>0.068240373961612</v>
      </c>
      <c r="AE255" s="90"/>
      <c r="AF255" s="90"/>
      <c r="AG255" s="90"/>
      <c r="AH255" s="90"/>
      <c r="AT255" s="88"/>
      <c r="AU255" s="88"/>
    </row>
    <row r="256" s="79" customFormat="1" spans="1:47">
      <c r="A256" s="79">
        <v>3.741</v>
      </c>
      <c r="B256" s="79">
        <v>3.741</v>
      </c>
      <c r="C256" s="79">
        <f t="shared" si="153"/>
        <v>0.683267119804253</v>
      </c>
      <c r="D256" s="79">
        <f t="shared" si="154"/>
        <v>0.467768809673424</v>
      </c>
      <c r="E256" s="79">
        <f t="shared" si="152"/>
        <v>0.215498310130829</v>
      </c>
      <c r="AE256" s="90"/>
      <c r="AF256" s="90"/>
      <c r="AG256" s="90"/>
      <c r="AH256" s="90"/>
      <c r="AT256" s="88"/>
      <c r="AU256" s="88"/>
    </row>
    <row r="257" s="79" customFormat="1" spans="1:47">
      <c r="A257" s="79">
        <v>3.841</v>
      </c>
      <c r="B257" s="79">
        <v>3.841</v>
      </c>
      <c r="C257" s="79">
        <f t="shared" si="153"/>
        <v>0.841275774311884</v>
      </c>
      <c r="D257" s="79">
        <f t="shared" si="154"/>
        <v>0.45853704716109</v>
      </c>
      <c r="E257" s="79">
        <f t="shared" si="152"/>
        <v>0.382738727150794</v>
      </c>
      <c r="AE257" s="90"/>
      <c r="AF257" s="90"/>
      <c r="AG257" s="90"/>
      <c r="AH257" s="90"/>
      <c r="AT257" s="88"/>
      <c r="AU257" s="88"/>
    </row>
    <row r="258" s="79" customFormat="1" spans="1:47">
      <c r="A258" s="79">
        <v>3.941</v>
      </c>
      <c r="B258" s="79">
        <v>3.941</v>
      </c>
      <c r="C258" s="79">
        <f t="shared" si="153"/>
        <v>1.02841834291825</v>
      </c>
      <c r="D258" s="79">
        <f t="shared" si="154"/>
        <v>0.44959122392455</v>
      </c>
      <c r="E258" s="79">
        <f t="shared" si="152"/>
        <v>0.578827118993704</v>
      </c>
      <c r="AE258" s="90"/>
      <c r="AF258" s="90"/>
      <c r="AG258" s="90"/>
      <c r="AH258" s="90"/>
      <c r="AT258" s="88"/>
      <c r="AU258" s="88"/>
    </row>
    <row r="259" s="79" customFormat="1" spans="1:47">
      <c r="A259" s="79">
        <v>4.041</v>
      </c>
      <c r="B259" s="79">
        <v>4.041</v>
      </c>
      <c r="C259" s="79">
        <f t="shared" si="153"/>
        <v>1.25862557526566</v>
      </c>
      <c r="D259" s="79">
        <f t="shared" si="154"/>
        <v>0.440924203754555</v>
      </c>
      <c r="E259" s="79">
        <f t="shared" si="152"/>
        <v>0.81770137151111</v>
      </c>
      <c r="AE259" s="90"/>
      <c r="AF259" s="90"/>
      <c r="AG259" s="90"/>
      <c r="AH259" s="90"/>
      <c r="AT259" s="88"/>
      <c r="AU259" s="88"/>
    </row>
    <row r="260" s="79" customFormat="1" spans="1:47">
      <c r="A260" s="79">
        <v>4.141</v>
      </c>
      <c r="B260" s="79">
        <v>4.141</v>
      </c>
      <c r="C260" s="79">
        <f t="shared" si="153"/>
        <v>1.55537945049507</v>
      </c>
      <c r="D260" s="79">
        <f t="shared" si="154"/>
        <v>0.432528278194334</v>
      </c>
      <c r="E260" s="79">
        <f t="shared" si="152"/>
        <v>1.12285117230074</v>
      </c>
      <c r="AE260" s="90"/>
      <c r="AF260" s="90"/>
      <c r="AG260" s="90"/>
      <c r="AH260" s="90"/>
      <c r="AT260" s="88"/>
      <c r="AU260" s="88"/>
    </row>
    <row r="261" s="79" customFormat="1" spans="1:47">
      <c r="A261" s="79">
        <v>4.241</v>
      </c>
      <c r="B261" s="79">
        <v>4.241</v>
      </c>
      <c r="C261" s="79">
        <f t="shared" si="153"/>
        <v>1.96188254439281</v>
      </c>
      <c r="D261" s="79">
        <f t="shared" si="154"/>
        <v>0.424395357949365</v>
      </c>
      <c r="E261" s="79">
        <f t="shared" si="152"/>
        <v>1.53748718644345</v>
      </c>
      <c r="AE261" s="90"/>
      <c r="AF261" s="90"/>
      <c r="AG261" s="90"/>
      <c r="AH261" s="90"/>
      <c r="AT261" s="88"/>
      <c r="AU261" s="88"/>
    </row>
    <row r="262" s="79" customFormat="1" spans="1:47">
      <c r="A262" s="79">
        <v>4.341</v>
      </c>
      <c r="B262" s="79">
        <v>4.341</v>
      </c>
      <c r="C262" s="79">
        <f t="shared" si="153"/>
        <v>2.56764486329392</v>
      </c>
      <c r="D262" s="79">
        <f t="shared" si="154"/>
        <v>0.416517125248887</v>
      </c>
      <c r="E262" s="79">
        <f t="shared" si="152"/>
        <v>2.15112773804503</v>
      </c>
      <c r="AE262" s="90"/>
      <c r="AF262" s="90"/>
      <c r="AG262" s="90"/>
      <c r="AH262" s="90"/>
      <c r="AT262" s="88"/>
      <c r="AU262" s="88"/>
    </row>
    <row r="263" s="79" customFormat="1" spans="1:47">
      <c r="A263" s="79">
        <v>4.441</v>
      </c>
      <c r="B263" s="79">
        <v>4.441</v>
      </c>
      <c r="C263" s="79">
        <f t="shared" si="153"/>
        <v>3.593837672533</v>
      </c>
      <c r="D263" s="79">
        <f t="shared" si="154"/>
        <v>0.408885154508824</v>
      </c>
      <c r="E263" s="79">
        <f t="shared" si="152"/>
        <v>3.18495251802418</v>
      </c>
      <c r="AE263" s="90"/>
      <c r="AF263" s="90"/>
      <c r="AG263" s="90"/>
      <c r="AH263" s="90"/>
      <c r="AT263" s="88"/>
      <c r="AU263" s="88"/>
    </row>
    <row r="264" s="79" customFormat="1" spans="1:47">
      <c r="A264" s="79">
        <v>4.541</v>
      </c>
      <c r="B264" s="79">
        <v>4.541</v>
      </c>
      <c r="C264" s="79">
        <f t="shared" si="153"/>
        <v>5.77743898994809</v>
      </c>
      <c r="D264" s="79">
        <f t="shared" si="154"/>
        <v>0.401491007277809</v>
      </c>
      <c r="E264" s="79">
        <f t="shared" si="152"/>
        <v>5.37594798267028</v>
      </c>
      <c r="AE264" s="90"/>
      <c r="AF264" s="90"/>
      <c r="AG264" s="90"/>
      <c r="AH264" s="90"/>
      <c r="AT264" s="88"/>
      <c r="AU264" s="88"/>
    </row>
    <row r="265" s="79" customFormat="1" spans="1:47">
      <c r="A265" s="79">
        <v>4.641</v>
      </c>
      <c r="B265" s="79">
        <v>4.641</v>
      </c>
      <c r="C265" s="79">
        <f t="shared" si="153"/>
        <v>13.9839597323312</v>
      </c>
      <c r="D265" s="79">
        <f t="shared" si="154"/>
        <v>0.394326306335463</v>
      </c>
      <c r="E265" s="79">
        <f t="shared" si="152"/>
        <v>13.5896334259958</v>
      </c>
      <c r="AE265" s="90"/>
      <c r="AF265" s="90"/>
      <c r="AG265" s="90"/>
      <c r="AH265" s="90"/>
      <c r="AT265" s="88"/>
      <c r="AU265" s="88"/>
    </row>
    <row r="266" s="79" customFormat="1" spans="1:47">
      <c r="A266" s="79">
        <v>4.741</v>
      </c>
      <c r="B266" s="79">
        <v>4.741</v>
      </c>
      <c r="C266" s="79">
        <f t="shared" si="153"/>
        <v>-34.942030555662</v>
      </c>
      <c r="D266" s="79">
        <f t="shared" si="154"/>
        <v>0.387382792907373</v>
      </c>
      <c r="E266" s="79">
        <f t="shared" si="152"/>
        <v>-35.3294133485694</v>
      </c>
      <c r="AE266" s="90"/>
      <c r="AF266" s="90"/>
      <c r="AG266" s="90"/>
      <c r="AH266" s="90"/>
      <c r="AT266" s="88"/>
      <c r="AU266" s="88"/>
    </row>
    <row r="267" spans="1:47">
      <c r="A267" s="79"/>
      <c r="B267" s="79"/>
    </row>
    <row r="268" spans="1:47">
      <c r="A268" s="79"/>
      <c r="B268" s="79"/>
    </row>
    <row r="269" spans="1:47">
      <c r="A269" s="79"/>
      <c r="B269" s="79"/>
    </row>
    <row r="270" spans="1:47">
      <c r="A270" s="79"/>
      <c r="B270" s="79"/>
    </row>
    <row r="271" spans="1:47">
      <c r="A271" s="79"/>
      <c r="B271" s="79"/>
    </row>
  </sheetData>
  <autoFilter xmlns:etc="http://www.wps.cn/officeDocument/2017/etCustomData" ref="G2:G271" etc:filterBottomFollowUsedRange="0">
    <extLst/>
  </autoFilter>
  <sortState ref="A3:BF218">
    <sortCondition ref="A3:A218" descending="1" sortBy="cellColor" dxfId="0"/>
  </sortState>
  <mergeCells count="3">
    <mergeCell ref="AE1:AH1"/>
    <mergeCell ref="AW219:AW224"/>
    <mergeCell ref="BG145:BH218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7169" progId="Equation.DSMT4" r:id="rId3">
          <objectPr defaultSize="0" r:id="rId4">
            <anchor moveWithCells="1">
              <from>
                <xdr:col>28</xdr:col>
                <xdr:colOff>102870</xdr:colOff>
                <xdr:row>1</xdr:row>
                <xdr:rowOff>59055</xdr:rowOff>
              </from>
              <to>
                <xdr:col>28</xdr:col>
                <xdr:colOff>1063625</xdr:colOff>
                <xdr:row>1</xdr:row>
                <xdr:rowOff>607695</xdr:rowOff>
              </to>
            </anchor>
          </objectPr>
        </oleObject>
      </mc:Choice>
      <mc:Fallback>
        <oleObject shapeId="7169" progId="Equation.DSMT4" r:id="rId3"/>
      </mc:Fallback>
    </mc:AlternateContent>
    <mc:AlternateContent xmlns:mc="http://schemas.openxmlformats.org/markup-compatibility/2006">
      <mc:Choice Requires="x14">
        <oleObject shapeId="7170" progId="Equation.DSMT4" r:id="rId5">
          <objectPr defaultSize="0" r:id="rId6">
            <anchor moveWithCells="1">
              <from>
                <xdr:col>29</xdr:col>
                <xdr:colOff>92075</xdr:colOff>
                <xdr:row>1</xdr:row>
                <xdr:rowOff>30480</xdr:rowOff>
              </from>
              <to>
                <xdr:col>29</xdr:col>
                <xdr:colOff>1049655</xdr:colOff>
                <xdr:row>1</xdr:row>
                <xdr:rowOff>592455</xdr:rowOff>
              </to>
            </anchor>
          </objectPr>
        </oleObject>
      </mc:Choice>
      <mc:Fallback>
        <oleObject shapeId="7170" progId="Equation.DSMT4" r:id="rId5"/>
      </mc:Fallback>
    </mc:AlternateContent>
    <mc:AlternateContent xmlns:mc="http://schemas.openxmlformats.org/markup-compatibility/2006">
      <mc:Choice Requires="x14">
        <oleObject shapeId="7171" progId="Equation.DSMT4" r:id="rId7">
          <objectPr defaultSize="0" r:id="rId8">
            <anchor moveWithCells="1">
              <from>
                <xdr:col>38</xdr:col>
                <xdr:colOff>107950</xdr:colOff>
                <xdr:row>1</xdr:row>
                <xdr:rowOff>27305</xdr:rowOff>
              </from>
              <to>
                <xdr:col>38</xdr:col>
                <xdr:colOff>1015365</xdr:colOff>
                <xdr:row>2</xdr:row>
                <xdr:rowOff>7620</xdr:rowOff>
              </to>
            </anchor>
          </objectPr>
        </oleObject>
      </mc:Choice>
      <mc:Fallback>
        <oleObject shapeId="7171" progId="Equation.DSMT4" r:id="rId7"/>
      </mc:Fallback>
    </mc:AlternateContent>
    <mc:AlternateContent xmlns:mc="http://schemas.openxmlformats.org/markup-compatibility/2006">
      <mc:Choice Requires="x14">
        <oleObject shapeId="7172" progId="Equation.DSMT4" r:id="rId9">
          <objectPr defaultSize="0" r:id="rId10">
            <anchor moveWithCells="1">
              <from>
                <xdr:col>39</xdr:col>
                <xdr:colOff>79375</xdr:colOff>
                <xdr:row>1</xdr:row>
                <xdr:rowOff>30480</xdr:rowOff>
              </from>
              <to>
                <xdr:col>39</xdr:col>
                <xdr:colOff>1061085</xdr:colOff>
                <xdr:row>1</xdr:row>
                <xdr:rowOff>588010</xdr:rowOff>
              </to>
            </anchor>
          </objectPr>
        </oleObject>
      </mc:Choice>
      <mc:Fallback>
        <oleObject shapeId="7172" progId="Equation.DSMT4" r:id="rId9"/>
      </mc:Fallback>
    </mc:AlternateContent>
    <mc:AlternateContent xmlns:mc="http://schemas.openxmlformats.org/markup-compatibility/2006">
      <mc:Choice Requires="x14">
        <oleObject shapeId="7173" progId="Equation.DSMT4" r:id="rId11">
          <objectPr defaultSize="0" r:id="rId12">
            <anchor moveWithCells="1">
              <from>
                <xdr:col>40</xdr:col>
                <xdr:colOff>99060</xdr:colOff>
                <xdr:row>1</xdr:row>
                <xdr:rowOff>15240</xdr:rowOff>
              </from>
              <to>
                <xdr:col>40</xdr:col>
                <xdr:colOff>1078230</xdr:colOff>
                <xdr:row>1</xdr:row>
                <xdr:rowOff>605155</xdr:rowOff>
              </to>
            </anchor>
          </objectPr>
        </oleObject>
      </mc:Choice>
      <mc:Fallback>
        <oleObject shapeId="7173" progId="Equation.DSMT4" r:id="rId11"/>
      </mc:Fallback>
    </mc:AlternateContent>
    <mc:AlternateContent xmlns:mc="http://schemas.openxmlformats.org/markup-compatibility/2006">
      <mc:Choice Requires="x14">
        <oleObject shapeId="7174" progId="Equation.DSMT4" r:id="rId13">
          <objectPr defaultSize="0" r:id="rId14">
            <anchor moveWithCells="1">
              <from>
                <xdr:col>48</xdr:col>
                <xdr:colOff>35560</xdr:colOff>
                <xdr:row>1</xdr:row>
                <xdr:rowOff>26035</xdr:rowOff>
              </from>
              <to>
                <xdr:col>48</xdr:col>
                <xdr:colOff>1093470</xdr:colOff>
                <xdr:row>1</xdr:row>
                <xdr:rowOff>625475</xdr:rowOff>
              </to>
            </anchor>
          </objectPr>
        </oleObject>
      </mc:Choice>
      <mc:Fallback>
        <oleObject shapeId="7174" progId="Equation.DSMT4" r:id="rId13"/>
      </mc:Fallback>
    </mc:AlternateContent>
    <mc:AlternateContent xmlns:mc="http://schemas.openxmlformats.org/markup-compatibility/2006">
      <mc:Choice Requires="x14">
        <oleObject shapeId="7175" progId="Equation.DSMT4" r:id="rId15">
          <objectPr defaultSize="0" r:id="rId16">
            <anchor moveWithCells="1">
              <from>
                <xdr:col>60</xdr:col>
                <xdr:colOff>136525</xdr:colOff>
                <xdr:row>1</xdr:row>
                <xdr:rowOff>490855</xdr:rowOff>
              </from>
              <to>
                <xdr:col>61</xdr:col>
                <xdr:colOff>566420</xdr:colOff>
                <xdr:row>2</xdr:row>
                <xdr:rowOff>86360</xdr:rowOff>
              </to>
            </anchor>
          </objectPr>
        </oleObject>
      </mc:Choice>
      <mc:Fallback>
        <oleObject shapeId="7175" progId="Equation.DSMT4" r:id="rId15"/>
      </mc:Fallback>
    </mc:AlternateContent>
    <mc:AlternateContent xmlns:mc="http://schemas.openxmlformats.org/markup-compatibility/2006">
      <mc:Choice Requires="x14">
        <oleObject shapeId="7176" progId="Equation.DSMT4" r:id="rId17">
          <objectPr defaultSize="0" r:id="rId18">
            <anchor moveWithCells="1">
              <from>
                <xdr:col>64</xdr:col>
                <xdr:colOff>92075</xdr:colOff>
                <xdr:row>27</xdr:row>
                <xdr:rowOff>43180</xdr:rowOff>
              </from>
              <to>
                <xdr:col>67</xdr:col>
                <xdr:colOff>467360</xdr:colOff>
                <xdr:row>28</xdr:row>
                <xdr:rowOff>231775</xdr:rowOff>
              </to>
            </anchor>
          </objectPr>
        </oleObject>
      </mc:Choice>
      <mc:Fallback>
        <oleObject shapeId="7176" progId="Equation.DSMT4" r:id="rId17"/>
      </mc:Fallback>
    </mc:AlternateContent>
    <mc:AlternateContent xmlns:mc="http://schemas.openxmlformats.org/markup-compatibility/2006">
      <mc:Choice Requires="x14">
        <oleObject shapeId="7178" progId="Equation.DSMT4" r:id="rId19">
          <objectPr defaultSize="0" r:id="rId20">
            <anchor moveWithCells="1">
              <from>
                <xdr:col>50</xdr:col>
                <xdr:colOff>97790</xdr:colOff>
                <xdr:row>1</xdr:row>
                <xdr:rowOff>24130</xdr:rowOff>
              </from>
              <to>
                <xdr:col>50</xdr:col>
                <xdr:colOff>1045845</xdr:colOff>
                <xdr:row>1</xdr:row>
                <xdr:rowOff>561340</xdr:rowOff>
              </to>
            </anchor>
          </objectPr>
        </oleObject>
      </mc:Choice>
      <mc:Fallback>
        <oleObject shapeId="7178" progId="Equation.DSMT4" r:id="rId19"/>
      </mc:Fallback>
    </mc:AlternateContent>
    <mc:AlternateContent xmlns:mc="http://schemas.openxmlformats.org/markup-compatibility/2006">
      <mc:Choice Requires="x14">
        <oleObject shapeId="7179" progId="Equation.DSMT4" r:id="rId21">
          <objectPr defaultSize="0" r:id="rId22">
            <anchor moveWithCells="1">
              <from>
                <xdr:col>36</xdr:col>
                <xdr:colOff>139065</xdr:colOff>
                <xdr:row>1</xdr:row>
                <xdr:rowOff>13335</xdr:rowOff>
              </from>
              <to>
                <xdr:col>36</xdr:col>
                <xdr:colOff>993140</xdr:colOff>
                <xdr:row>2</xdr:row>
                <xdr:rowOff>2540</xdr:rowOff>
              </to>
            </anchor>
          </objectPr>
        </oleObject>
      </mc:Choice>
      <mc:Fallback>
        <oleObject shapeId="7179" progId="Equation.DSMT4" r:id="rId21"/>
      </mc:Fallback>
    </mc:AlternateContent>
    <mc:AlternateContent xmlns:mc="http://schemas.openxmlformats.org/markup-compatibility/2006">
      <mc:Choice Requires="x14">
        <oleObject shapeId="7180" progId="Equation.DSMT4" r:id="rId23">
          <objectPr defaultSize="0" r:id="rId24">
            <anchor moveWithCells="1">
              <from>
                <xdr:col>37</xdr:col>
                <xdr:colOff>26035</xdr:colOff>
                <xdr:row>1</xdr:row>
                <xdr:rowOff>19050</xdr:rowOff>
              </from>
              <to>
                <xdr:col>37</xdr:col>
                <xdr:colOff>1143635</xdr:colOff>
                <xdr:row>1</xdr:row>
                <xdr:rowOff>598170</xdr:rowOff>
              </to>
            </anchor>
          </objectPr>
        </oleObject>
      </mc:Choice>
      <mc:Fallback>
        <oleObject shapeId="7180" progId="Equation.DSMT4" r:id="rId23"/>
      </mc:Fallback>
    </mc:AlternateContent>
    <mc:AlternateContent xmlns:mc="http://schemas.openxmlformats.org/markup-compatibility/2006">
      <mc:Choice Requires="x14">
        <oleObject shapeId="7183" progId="Equation.DSMT4" r:id="rId25">
          <objectPr defaultSize="0" r:id="rId26">
            <anchor moveWithCells="1">
              <from>
                <xdr:col>47</xdr:col>
                <xdr:colOff>68580</xdr:colOff>
                <xdr:row>1</xdr:row>
                <xdr:rowOff>15240</xdr:rowOff>
              </from>
              <to>
                <xdr:col>47</xdr:col>
                <xdr:colOff>1049020</xdr:colOff>
                <xdr:row>1</xdr:row>
                <xdr:rowOff>626745</xdr:rowOff>
              </to>
            </anchor>
          </objectPr>
        </oleObject>
      </mc:Choice>
      <mc:Fallback>
        <oleObject shapeId="7183" progId="Equation.DSMT4" r:id="rId25"/>
      </mc:Fallback>
    </mc:AlternateContent>
    <mc:AlternateContent xmlns:mc="http://schemas.openxmlformats.org/markup-compatibility/2006">
      <mc:Choice Requires="x14">
        <oleObject shapeId="7184" progId="Equation.DSMT4" r:id="rId27">
          <objectPr defaultSize="0" r:id="rId28">
            <anchor moveWithCells="1">
              <from>
                <xdr:col>54</xdr:col>
                <xdr:colOff>158750</xdr:colOff>
                <xdr:row>1</xdr:row>
                <xdr:rowOff>15240</xdr:rowOff>
              </from>
              <to>
                <xdr:col>54</xdr:col>
                <xdr:colOff>1077595</xdr:colOff>
                <xdr:row>1</xdr:row>
                <xdr:rowOff>614680</xdr:rowOff>
              </to>
            </anchor>
          </objectPr>
        </oleObject>
      </mc:Choice>
      <mc:Fallback>
        <oleObject shapeId="7184" progId="Equation.DSMT4" r:id="rId27"/>
      </mc:Fallback>
    </mc:AlternateContent>
    <mc:AlternateContent xmlns:mc="http://schemas.openxmlformats.org/markup-compatibility/2006">
      <mc:Choice Requires="x14">
        <oleObject shapeId="7186" progId="Equation.DSMT4" r:id="rId29">
          <objectPr defaultSize="0" r:id="rId30">
            <anchor moveWithCells="1">
              <from>
                <xdr:col>55</xdr:col>
                <xdr:colOff>41910</xdr:colOff>
                <xdr:row>1</xdr:row>
                <xdr:rowOff>41275</xdr:rowOff>
              </from>
              <to>
                <xdr:col>55</xdr:col>
                <xdr:colOff>1116965</xdr:colOff>
                <xdr:row>1</xdr:row>
                <xdr:rowOff>607695</xdr:rowOff>
              </to>
            </anchor>
          </objectPr>
        </oleObject>
      </mc:Choice>
      <mc:Fallback>
        <oleObject shapeId="7186" progId="Equation.DSMT4" r:id="rId29"/>
      </mc:Fallback>
    </mc:AlternateContent>
    <mc:AlternateContent xmlns:mc="http://schemas.openxmlformats.org/markup-compatibility/2006">
      <mc:Choice Requires="x14">
        <oleObject shapeId="7189" progId="Equation.DSMT4" r:id="rId31">
          <objectPr defaultSize="0" r:id="rId32">
            <anchor moveWithCells="1">
              <from>
                <xdr:col>45</xdr:col>
                <xdr:colOff>157480</xdr:colOff>
                <xdr:row>1</xdr:row>
                <xdr:rowOff>34290</xdr:rowOff>
              </from>
              <to>
                <xdr:col>45</xdr:col>
                <xdr:colOff>1357630</xdr:colOff>
                <xdr:row>1</xdr:row>
                <xdr:rowOff>600710</xdr:rowOff>
              </to>
            </anchor>
          </objectPr>
        </oleObject>
      </mc:Choice>
      <mc:Fallback>
        <oleObject shapeId="7189" progId="Equation.DSMT4" r:id="rId31"/>
      </mc:Fallback>
    </mc:AlternateContent>
    <mc:AlternateContent xmlns:mc="http://schemas.openxmlformats.org/markup-compatibility/2006">
      <mc:Choice Requires="x14">
        <oleObject shapeId="7190" progId="Equation.DSMT4" r:id="rId33">
          <objectPr defaultSize="0" r:id="rId34">
            <anchor moveWithCells="1">
              <from>
                <xdr:col>46</xdr:col>
                <xdr:colOff>287020</xdr:colOff>
                <xdr:row>1</xdr:row>
                <xdr:rowOff>3810</xdr:rowOff>
              </from>
              <to>
                <xdr:col>46</xdr:col>
                <xdr:colOff>1113155</xdr:colOff>
                <xdr:row>1</xdr:row>
                <xdr:rowOff>620395</xdr:rowOff>
              </to>
            </anchor>
          </objectPr>
        </oleObject>
      </mc:Choice>
      <mc:Fallback>
        <oleObject shapeId="7190" progId="Equation.DSMT4" r:id="rId33"/>
      </mc:Fallback>
    </mc:AlternateContent>
    <mc:AlternateContent xmlns:mc="http://schemas.openxmlformats.org/markup-compatibility/2006">
      <mc:Choice Requires="x14">
        <oleObject shapeId="7191" progId="Equation.DSMT4" r:id="rId35">
          <objectPr defaultSize="0" r:id="rId36">
            <anchor moveWithCells="1">
              <from>
                <xdr:col>34</xdr:col>
                <xdr:colOff>64135</xdr:colOff>
                <xdr:row>1</xdr:row>
                <xdr:rowOff>15240</xdr:rowOff>
              </from>
              <to>
                <xdr:col>34</xdr:col>
                <xdr:colOff>1054100</xdr:colOff>
                <xdr:row>1</xdr:row>
                <xdr:rowOff>594360</xdr:rowOff>
              </to>
            </anchor>
          </objectPr>
        </oleObject>
      </mc:Choice>
      <mc:Fallback>
        <oleObject shapeId="7191" progId="Equation.DSMT4" r:id="rId35"/>
      </mc:Fallback>
    </mc:AlternateContent>
    <mc:AlternateContent xmlns:mc="http://schemas.openxmlformats.org/markup-compatibility/2006">
      <mc:Choice Requires="x14">
        <oleObject shapeId="7192" progId="Equation.DSMT4" r:id="rId37">
          <objectPr defaultSize="0" r:id="rId38">
            <anchor moveWithCells="1">
              <from>
                <xdr:col>35</xdr:col>
                <xdr:colOff>78105</xdr:colOff>
                <xdr:row>1</xdr:row>
                <xdr:rowOff>14605</xdr:rowOff>
              </from>
              <to>
                <xdr:col>35</xdr:col>
                <xdr:colOff>1626235</xdr:colOff>
                <xdr:row>2</xdr:row>
                <xdr:rowOff>27305</xdr:rowOff>
              </to>
            </anchor>
          </objectPr>
        </oleObject>
      </mc:Choice>
      <mc:Fallback>
        <oleObject shapeId="7192" progId="Equation.DSMT4" r:id="rId37"/>
      </mc:Fallback>
    </mc:AlternateContent>
    <mc:AlternateContent xmlns:mc="http://schemas.openxmlformats.org/markup-compatibility/2006">
      <mc:Choice Requires="x14">
        <oleObject shapeId="7193" progId="Equation.DSMT4" r:id="rId39">
          <objectPr defaultSize="0" r:id="rId40">
            <anchor moveWithCells="1">
              <from>
                <xdr:col>56</xdr:col>
                <xdr:colOff>102235</xdr:colOff>
                <xdr:row>1</xdr:row>
                <xdr:rowOff>130175</xdr:rowOff>
              </from>
              <to>
                <xdr:col>57</xdr:col>
                <xdr:colOff>0</xdr:colOff>
                <xdr:row>1</xdr:row>
                <xdr:rowOff>517525</xdr:rowOff>
              </to>
            </anchor>
          </objectPr>
        </oleObject>
      </mc:Choice>
      <mc:Fallback>
        <oleObject shapeId="7193" progId="Equation.DSMT4" r:id="rId39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50"/>
  <sheetViews>
    <sheetView tabSelected="1" zoomScale="25" zoomScaleNormal="25" workbookViewId="0">
      <pane xSplit="1" topLeftCell="B1" activePane="topRight" state="frozen"/>
      <selection/>
      <selection pane="topRight" activeCell="W161" sqref="W161"/>
    </sheetView>
  </sheetViews>
  <sheetFormatPr defaultColWidth="9" defaultRowHeight="13.8"/>
  <cols>
    <col min="1" max="29" width="16.7777777777778" style="22" customWidth="1"/>
    <col min="30" max="41" width="16.7777777777778" style="23" customWidth="1"/>
    <col min="42" max="42" width="16.7777777777778" style="22" customWidth="1"/>
    <col min="43" max="43" width="25.7777777777778" style="22" customWidth="1"/>
    <col min="44" max="48" width="16.7777777777778" style="22" customWidth="1"/>
    <col min="49" max="52" width="20.7777777777778" style="22" customWidth="1"/>
    <col min="53" max="54" width="20.7777777777778" style="24" customWidth="1"/>
    <col min="55" max="61" width="16.7777777777778" style="22" customWidth="1"/>
    <col min="62" max="64" width="17.0648148148148" style="22" customWidth="1"/>
    <col min="65" max="65" width="25.7777777777778" style="25" customWidth="1"/>
    <col min="66" max="66" width="9" style="22"/>
    <col min="67" max="67" width="10" style="22"/>
    <col min="68" max="68" width="10.6666666666667" style="22"/>
    <col min="69" max="16384" width="9" style="22"/>
  </cols>
  <sheetData>
    <row r="1" ht="51" customHeight="1" spans="1:65">
      <c r="A1" s="26" t="s">
        <v>167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7" t="s">
        <v>213</v>
      </c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8"/>
      <c r="BB1" s="28"/>
      <c r="BC1" s="26"/>
      <c r="BD1" s="26"/>
      <c r="BE1" s="26"/>
      <c r="BF1" s="26"/>
      <c r="BG1" s="26"/>
      <c r="BH1" s="29"/>
      <c r="BI1" s="29"/>
      <c r="BJ1" s="29"/>
      <c r="BK1" s="29"/>
      <c r="BL1" s="29"/>
      <c r="BM1" s="30"/>
    </row>
    <row r="2" ht="50" customHeight="1" spans="1:65">
      <c r="A2" s="31" t="s">
        <v>5</v>
      </c>
      <c r="B2" s="32" t="s">
        <v>66</v>
      </c>
      <c r="C2" s="32" t="s">
        <v>170</v>
      </c>
      <c r="D2" s="32" t="s">
        <v>171</v>
      </c>
      <c r="E2" s="32" t="s">
        <v>11</v>
      </c>
      <c r="F2" s="32" t="s">
        <v>172</v>
      </c>
      <c r="G2" s="33" t="s">
        <v>173</v>
      </c>
      <c r="H2" s="33" t="s">
        <v>174</v>
      </c>
      <c r="I2" s="33" t="s">
        <v>175</v>
      </c>
      <c r="J2" s="33" t="s">
        <v>176</v>
      </c>
      <c r="K2" s="33" t="s">
        <v>177</v>
      </c>
      <c r="L2" s="33" t="s">
        <v>178</v>
      </c>
      <c r="M2" s="33" t="s">
        <v>179</v>
      </c>
      <c r="N2" s="33" t="s">
        <v>180</v>
      </c>
      <c r="O2" s="34" t="s">
        <v>68</v>
      </c>
      <c r="P2" s="35" t="s">
        <v>181</v>
      </c>
      <c r="Q2" s="34" t="s">
        <v>69</v>
      </c>
      <c r="R2" s="34" t="s">
        <v>182</v>
      </c>
      <c r="S2" s="34" t="s">
        <v>70</v>
      </c>
      <c r="T2" s="36" t="s">
        <v>97</v>
      </c>
      <c r="U2" s="37" t="s">
        <v>214</v>
      </c>
      <c r="V2" s="37" t="s">
        <v>184</v>
      </c>
      <c r="W2" s="36" t="s">
        <v>185</v>
      </c>
      <c r="X2" s="36" t="s">
        <v>72</v>
      </c>
      <c r="Y2" s="38" t="s">
        <v>99</v>
      </c>
      <c r="Z2" s="39" t="s">
        <v>67</v>
      </c>
      <c r="AA2" s="39" t="s">
        <v>186</v>
      </c>
      <c r="AB2" s="40" t="s">
        <v>6</v>
      </c>
      <c r="AC2" s="40" t="s">
        <v>48</v>
      </c>
      <c r="AD2" s="41" t="s">
        <v>187</v>
      </c>
      <c r="AE2" s="41" t="s">
        <v>215</v>
      </c>
      <c r="AF2" s="42" t="s">
        <v>216</v>
      </c>
      <c r="AG2" s="42" t="s">
        <v>217</v>
      </c>
      <c r="AH2" s="43" t="s">
        <v>218</v>
      </c>
      <c r="AI2" s="44" t="s">
        <v>188</v>
      </c>
      <c r="AJ2" s="45" t="s">
        <v>219</v>
      </c>
      <c r="AK2" s="46" t="s">
        <v>220</v>
      </c>
      <c r="AL2" s="46" t="s">
        <v>221</v>
      </c>
      <c r="AM2" s="46" t="s">
        <v>222</v>
      </c>
      <c r="AN2" s="47" t="s">
        <v>223</v>
      </c>
      <c r="AO2" s="48" t="s">
        <v>224</v>
      </c>
      <c r="AP2" s="35"/>
      <c r="AQ2" s="35"/>
      <c r="AR2" s="40" t="s">
        <v>191</v>
      </c>
      <c r="AS2" s="40" t="s">
        <v>48</v>
      </c>
      <c r="AT2" s="39" t="s">
        <v>74</v>
      </c>
      <c r="AU2" s="39" t="s">
        <v>75</v>
      </c>
      <c r="AV2" s="49" t="s">
        <v>100</v>
      </c>
      <c r="AW2" s="35" t="s">
        <v>192</v>
      </c>
      <c r="AX2" s="50" t="s">
        <v>193</v>
      </c>
      <c r="AY2" s="35" t="s">
        <v>194</v>
      </c>
      <c r="AZ2" s="35" t="s">
        <v>195</v>
      </c>
      <c r="BA2" s="51"/>
      <c r="BB2" s="51"/>
      <c r="BC2" s="49" t="s">
        <v>196</v>
      </c>
      <c r="BD2" s="39" t="s">
        <v>78</v>
      </c>
      <c r="BE2" s="40" t="s">
        <v>79</v>
      </c>
      <c r="BF2" s="52" t="s">
        <v>101</v>
      </c>
      <c r="BG2" s="40" t="s">
        <v>102</v>
      </c>
      <c r="BH2" s="39" t="s">
        <v>80</v>
      </c>
      <c r="BI2" s="40" t="s">
        <v>197</v>
      </c>
      <c r="BJ2" s="40"/>
      <c r="BK2" s="40"/>
      <c r="BL2" s="40"/>
      <c r="BM2" s="53" t="s">
        <v>94</v>
      </c>
    </row>
    <row r="3" ht="25" customHeight="1" spans="1:65">
      <c r="A3" s="54">
        <v>1</v>
      </c>
      <c r="B3" s="55">
        <v>0.288000638960155</v>
      </c>
      <c r="C3" s="55">
        <v>-16.807789365467</v>
      </c>
      <c r="D3" s="55">
        <v>9.86828686451663</v>
      </c>
      <c r="E3" s="55">
        <v>1.56320345330512</v>
      </c>
      <c r="F3" s="56">
        <v>1</v>
      </c>
      <c r="G3" s="57">
        <f t="shared" ref="G3:G66" si="0">0.001/11.95261</f>
        <v>8.36637353682585e-5</v>
      </c>
      <c r="H3" s="57">
        <f t="shared" ref="H3:H66" si="1">1/3000</f>
        <v>0.000333333333333333</v>
      </c>
      <c r="I3" s="58">
        <f t="shared" ref="I3:I66" si="2">B3*SQRT((G3/Z3)^2+(H3/AV3)^2)</f>
        <v>0.0176197005831995</v>
      </c>
      <c r="J3" s="58"/>
      <c r="K3" s="58">
        <f t="shared" ref="K3:K66" si="3">AB3*SQRT((G3/Z3)^2+(2*I3/B3)^2)</f>
        <v>1.14676858774404</v>
      </c>
      <c r="L3" s="57">
        <f t="shared" ref="L3:L66" si="4">AV3*1.5*G3/Z3</f>
        <v>0.000902885734492174</v>
      </c>
      <c r="M3" s="57">
        <f t="shared" ref="M3:M66" si="5">BD3*SQRT((2*G3/Z3)^2+(2*I3/B3)^2)</f>
        <v>0.00553784170159268</v>
      </c>
      <c r="N3" s="57">
        <f t="shared" ref="N3:N66" si="6">BE3*SQRT((L3/AV3)^2+(M3/BD3)^2)</f>
        <v>0.0598623802354181</v>
      </c>
      <c r="O3" s="59">
        <v>0.0302</v>
      </c>
      <c r="P3" s="60">
        <f t="shared" ref="P3:P66" si="7">0.0252+0.005*F3</f>
        <v>0.0302</v>
      </c>
      <c r="Q3" s="61">
        <v>1000</v>
      </c>
      <c r="R3" s="59">
        <v>1.1616</v>
      </c>
      <c r="S3" s="59">
        <v>9.801</v>
      </c>
      <c r="T3" s="62">
        <v>4e-6</v>
      </c>
      <c r="U3" s="63">
        <v>1e-6</v>
      </c>
      <c r="V3" s="63">
        <f>0.000003+0.000001*F3</f>
        <v>4e-6</v>
      </c>
      <c r="W3" s="64">
        <v>0.001147</v>
      </c>
      <c r="X3" s="64">
        <v>1.85e-5</v>
      </c>
      <c r="Y3" s="65">
        <f t="shared" ref="Y3:Y66" si="8">AC3*(1+C3/9.801)-7.5*Z3+18*AT3</f>
        <v>-2.0826260768444</v>
      </c>
      <c r="Z3" s="66">
        <f t="shared" ref="Z3:Z66" si="9">E3/1000</f>
        <v>0.00156320345330512</v>
      </c>
      <c r="AA3" s="65">
        <f t="shared" ref="AA3:AA66" si="10">(B3^2-0.2^2)/(2*9.81)*1000</f>
        <v>2.18880571057378</v>
      </c>
      <c r="AB3" s="65">
        <f t="shared" ref="AB3:AB66" si="11">Q3*2*Z3*B3^2/O3</f>
        <v>8.58668361288856</v>
      </c>
      <c r="AC3" s="65">
        <f t="shared" ref="AC3:AC66" si="12">Q3*S3*(Z3*2)^2/O3</f>
        <v>3.17215535920555</v>
      </c>
      <c r="AD3" s="67">
        <f>AB3/AC3</f>
        <v>2.7068925196145</v>
      </c>
      <c r="AE3" s="67">
        <f>2*AD3*BD3</f>
        <v>0.184415263022553</v>
      </c>
      <c r="AF3" s="67">
        <f>HARMEAN(AE3,BD3)</f>
        <v>0.0575059070095439</v>
      </c>
      <c r="AG3" s="67">
        <f>AV3/AF3</f>
        <v>0.195572293794311</v>
      </c>
      <c r="AH3" s="67">
        <f>AV3/AVERAGE((AE3,BD3))</f>
        <v>0.102953123646568</v>
      </c>
      <c r="AI3" s="67">
        <f>ATAN((1+1/AD3)/SQRT(1-1/(AD3^2)))</f>
        <v>0.974594488438493</v>
      </c>
      <c r="AJ3" s="67">
        <f>2*(PI()/2-AI3)/SQRT(AD3^2-1)</f>
        <v>0.474040253773006</v>
      </c>
      <c r="AK3" s="67">
        <f>((9.8)/(9.8-C3))*2*AD3*(PI()-2*AI3)/SQRT(AD3^2-1)</f>
        <v>0.945221325472224</v>
      </c>
      <c r="AL3" s="67">
        <f>AK3*BD3</f>
        <v>0.0321980348477802</v>
      </c>
      <c r="AM3" s="67">
        <f>AV3/AL3</f>
        <v>0.349293433395802</v>
      </c>
      <c r="AN3" s="67">
        <f>1.99297-1.34937*AD3+0.460643*(AD3^2)-0.0802005*(AD3^3)+0.00679617*(AD3^4)-0.000222018*AD3^5</f>
        <v>0.457530686920399</v>
      </c>
      <c r="AO3" s="67">
        <f>AV3/(2*AD3*AN3*BD3)</f>
        <v>0.133291574180483</v>
      </c>
      <c r="AP3" s="63">
        <f t="shared" ref="AP3:AP66" si="13">Q3*B3*T3/X3</f>
        <v>62.2704084238173</v>
      </c>
      <c r="AQ3" s="68">
        <f t="shared" ref="AQ3:AQ23" si="14">((D3/9.801)-1)*AC3*(AP3^2)/64</f>
        <v>1.31946479013818</v>
      </c>
      <c r="AR3" s="69">
        <f t="shared" ref="AR3:AR66" si="15">F3*1*10^5/(0.5*Q3*B3^2)</f>
        <v>2411.25473281122</v>
      </c>
      <c r="AS3" s="70" t="s">
        <v>199</v>
      </c>
      <c r="AT3" s="69">
        <f t="shared" ref="AT3:AT66" si="16">W3*B3/O3</f>
        <v>0.0109383024134867</v>
      </c>
      <c r="AU3" s="69">
        <f t="shared" ref="AU3:AU66" si="17">X3/SQRT(Q3*O3*Z3)</f>
        <v>8.5145265498838e-5</v>
      </c>
      <c r="AV3" s="65">
        <f t="shared" ref="AV3:AV66" si="18">SQRT(Q3*(Z3^3)/O3)</f>
        <v>0.0112465621405789</v>
      </c>
      <c r="AW3" s="68">
        <v>17.003</v>
      </c>
      <c r="AX3" s="68">
        <f t="shared" ref="AX3:AX19" si="19">AW3/(1000*AV3)</f>
        <v>1.51183977712187</v>
      </c>
      <c r="AY3" s="68">
        <f t="shared" ref="AY3:AY66" si="20">1.237*AV3*1000</f>
        <v>13.911997367896</v>
      </c>
      <c r="AZ3" s="68">
        <f t="shared" ref="AZ3:AZ66" si="21">1.75*1000*AV3</f>
        <v>19.681483746013</v>
      </c>
      <c r="BA3" s="71">
        <f>(W3/X3)*4*AU3</f>
        <v>0.0211160258437118</v>
      </c>
      <c r="BB3" s="71">
        <f>(W3/X3)*(AU3/4)</f>
        <v>0.00131975161523199</v>
      </c>
      <c r="BC3" s="69">
        <f>SQRT(W3^2/(Q3*S3*O3))</f>
        <v>6.66691244730057e-5</v>
      </c>
      <c r="BD3" s="65">
        <f>X3*(Z3)^2/(Q3*(B3*V3)^2)</f>
        <v>0.0340640165219446</v>
      </c>
      <c r="BE3" s="65">
        <f>AV3/BD3</f>
        <v>0.330159602093124</v>
      </c>
      <c r="BF3" s="65">
        <f t="shared" ref="BF3:BF66" si="22">X3*(Z3)^3/(Q3*(B3)^2*(T3)^3)</f>
        <v>13.3122470651366</v>
      </c>
      <c r="BG3" s="69">
        <f t="shared" ref="BG3:BG66" si="23">AV3/BF3</f>
        <v>0.000844828231143066</v>
      </c>
      <c r="BH3" s="69">
        <f t="shared" ref="BH3:BH66" si="24">0.5*Q3*(4/3)*PI()*Z3^3*B3^2</f>
        <v>6.63578083128233e-7</v>
      </c>
      <c r="BI3" s="72">
        <f t="shared" ref="BI3:BI66" si="25">AU3*(Z3)^2/(T3)^2</f>
        <v>13.0038374750443</v>
      </c>
      <c r="BJ3" s="72">
        <f>((Z3*2)^2)*(AU3)/(SQRT(2)*AB3*((V3)^2))</f>
        <v>4.28342399678021</v>
      </c>
      <c r="BK3" s="73">
        <f t="shared" ref="BK3:BK66" si="26">(15-2*AC3)/(AB3)</f>
        <v>1.00803635860028</v>
      </c>
      <c r="BL3" s="72">
        <f>AB3+2*AC3</f>
        <v>14.9309943312997</v>
      </c>
      <c r="BM3" s="74"/>
    </row>
    <row r="4" ht="25" customHeight="1" spans="1:65">
      <c r="A4" s="54">
        <v>2</v>
      </c>
      <c r="B4" s="55">
        <v>0.305701160961114</v>
      </c>
      <c r="C4" s="55">
        <v>-19.5766426469007</v>
      </c>
      <c r="D4" s="55">
        <v>10.2936321473971</v>
      </c>
      <c r="E4" s="55">
        <v>1.54510775179051</v>
      </c>
      <c r="F4" s="56">
        <v>1</v>
      </c>
      <c r="G4" s="57">
        <f t="shared" si="0"/>
        <v>8.36637353682585e-5</v>
      </c>
      <c r="H4" s="57">
        <f t="shared" si="1"/>
        <v>0.000333333333333333</v>
      </c>
      <c r="I4" s="58">
        <f t="shared" si="2"/>
        <v>0.0189476321624208</v>
      </c>
      <c r="J4" s="58"/>
      <c r="K4" s="58">
        <f t="shared" si="3"/>
        <v>1.29355082352982</v>
      </c>
      <c r="L4" s="57">
        <f t="shared" si="4"/>
        <v>0.000897644602977547</v>
      </c>
      <c r="M4" s="57">
        <f t="shared" si="5"/>
        <v>0.00486199354173104</v>
      </c>
      <c r="N4" s="57">
        <f t="shared" si="6"/>
        <v>0.0686780587494534</v>
      </c>
      <c r="O4" s="59">
        <v>0.0302</v>
      </c>
      <c r="P4" s="60">
        <f t="shared" si="7"/>
        <v>0.0302</v>
      </c>
      <c r="Q4" s="61">
        <v>1000</v>
      </c>
      <c r="R4" s="59">
        <v>1.1616</v>
      </c>
      <c r="S4" s="59">
        <v>9.801</v>
      </c>
      <c r="T4" s="62">
        <v>4e-6</v>
      </c>
      <c r="U4" s="63">
        <v>1e-6</v>
      </c>
      <c r="V4" s="63">
        <f t="shared" ref="V4:V35" si="27">0.000003+0.000001*F4</f>
        <v>4e-6</v>
      </c>
      <c r="W4" s="64">
        <v>0.001147</v>
      </c>
      <c r="X4" s="64">
        <v>1.85e-5</v>
      </c>
      <c r="Y4" s="65">
        <f t="shared" si="8"/>
        <v>-2.89371834658645</v>
      </c>
      <c r="Z4" s="66">
        <f t="shared" si="9"/>
        <v>0.00154510775179051</v>
      </c>
      <c r="AA4" s="65">
        <f t="shared" si="10"/>
        <v>2.72442404755214</v>
      </c>
      <c r="AB4" s="65">
        <f t="shared" si="11"/>
        <v>9.56260022918224</v>
      </c>
      <c r="AC4" s="65">
        <f t="shared" si="12"/>
        <v>3.099138465095</v>
      </c>
      <c r="AD4" s="67">
        <f t="shared" ref="AD4:AD35" si="28">AB4/AC4</f>
        <v>3.08556727519082</v>
      </c>
      <c r="AE4" s="67">
        <f t="shared" ref="AE4:AE35" si="29">2*AD4*BD4</f>
        <v>0.18228046505538</v>
      </c>
      <c r="AF4" s="67">
        <f t="shared" ref="AF4:AF35" si="30">HARMEAN(AE4,BD4)</f>
        <v>0.0508372737325585</v>
      </c>
      <c r="AG4" s="67">
        <f t="shared" ref="AG4:AG35" si="31">AV4/AF4</f>
        <v>0.217396442590249</v>
      </c>
      <c r="AH4" s="67">
        <f t="shared" ref="AH4:AH35" si="32">AV4/AVERAGE((AE4,BD4))</f>
        <v>0.104352221194563</v>
      </c>
      <c r="AI4" s="67">
        <f t="shared" ref="AI4:AI35" si="33">ATAN((1+1/AD4)/SQRT(1-1/(AD4^2)))</f>
        <v>0.950422732297765</v>
      </c>
      <c r="AJ4" s="67">
        <f t="shared" ref="AJ4:AJ35" si="34">2*(PI()/2-AI4)/SQRT(AD4^2-1)</f>
        <v>0.425054888200838</v>
      </c>
      <c r="AK4" s="67">
        <f t="shared" ref="AK4:AK35" si="35">((9.8)/(9.8-C4))*2*AD4*(PI()-2*AI4)/SQRT(AD4^2-1)</f>
        <v>0.8750521695604</v>
      </c>
      <c r="AL4" s="67">
        <f t="shared" ref="AL4:AL35" si="36">AK4*BD4</f>
        <v>0.0258469354561917</v>
      </c>
      <c r="AM4" s="67">
        <f t="shared" ref="AM4:AM35" si="37">AV4/AL4</f>
        <v>0.427588116942407</v>
      </c>
      <c r="AN4" s="67">
        <f t="shared" ref="AN4:AN35" si="38">1.99297-1.34937*AD4+0.460643*(AD4^2)-0.0802005*(AD4^3)+0.00679617*(AD4^4)-0.000222018*AD4^5</f>
        <v>0.412953968901823</v>
      </c>
      <c r="AO4" s="67">
        <f t="shared" ref="AO4:AO35" si="39">AV4/(2*AD4*AN4*BD4)</f>
        <v>0.146822600913695</v>
      </c>
      <c r="AP4" s="63">
        <f t="shared" si="13"/>
        <v>66.0975483159165</v>
      </c>
      <c r="AQ4" s="68">
        <f t="shared" si="14"/>
        <v>10.6336917796373</v>
      </c>
      <c r="AR4" s="69">
        <f t="shared" si="15"/>
        <v>2140.10863619714</v>
      </c>
      <c r="AS4" s="69" t="s">
        <v>199</v>
      </c>
      <c r="AT4" s="69">
        <f t="shared" si="16"/>
        <v>0.0116105705835231</v>
      </c>
      <c r="AU4" s="69">
        <f t="shared" si="17"/>
        <v>8.56424082798974e-5</v>
      </c>
      <c r="AV4" s="65">
        <f t="shared" si="18"/>
        <v>0.0110518424604449</v>
      </c>
      <c r="AW4" s="68">
        <v>16.835</v>
      </c>
      <c r="AX4" s="68">
        <f t="shared" si="19"/>
        <v>1.52327542310282</v>
      </c>
      <c r="AY4" s="68">
        <f t="shared" si="20"/>
        <v>13.6711291235704</v>
      </c>
      <c r="AZ4" s="68">
        <f t="shared" si="21"/>
        <v>19.3407243057786</v>
      </c>
      <c r="BA4" s="71">
        <f t="shared" ref="BA4:BA66" si="40">W4/X4*4*AU4</f>
        <v>0.0212393172534146</v>
      </c>
      <c r="BB4" s="71"/>
      <c r="BC4" s="75" t="s">
        <v>200</v>
      </c>
      <c r="BD4" s="65">
        <f t="shared" ref="BD4:BD35" si="41">X4*(Z4)^2/(Q4*(B4*V4)^2)</f>
        <v>0.029537593706186</v>
      </c>
      <c r="BE4" s="65">
        <f t="shared" ref="BE3:BE66" si="42">AV4/BD4</f>
        <v>0.374161909408699</v>
      </c>
      <c r="BF4" s="65">
        <f t="shared" si="22"/>
        <v>11.4096912511666</v>
      </c>
      <c r="BG4" s="69">
        <f t="shared" si="23"/>
        <v>0.000968636417687015</v>
      </c>
      <c r="BH4" s="69">
        <f t="shared" si="24"/>
        <v>7.21986544647644e-7</v>
      </c>
      <c r="BI4" s="72">
        <f t="shared" si="25"/>
        <v>12.7786928448895</v>
      </c>
      <c r="BJ4" s="72">
        <f t="shared" ref="BJ4:BJ35" si="43">((Z4*2)^2)*(AU4)/(SQRT(2)*AB4*((V4)^2))</f>
        <v>3.77968341194331</v>
      </c>
      <c r="BK4" s="73">
        <f t="shared" si="26"/>
        <v>0.920431980723164</v>
      </c>
      <c r="BL4" s="72">
        <f t="shared" ref="BL4:BL35" si="44">AB4+2*AC4</f>
        <v>15.7608771593722</v>
      </c>
      <c r="BM4" s="74"/>
    </row>
    <row r="5" ht="25" customHeight="1" spans="1:65">
      <c r="A5" s="54">
        <v>3</v>
      </c>
      <c r="B5" s="55">
        <v>0.403494651772477</v>
      </c>
      <c r="C5" s="55">
        <v>-18.9839661928814</v>
      </c>
      <c r="D5" s="55">
        <v>10.5727604588363</v>
      </c>
      <c r="E5" s="55">
        <v>1.6483625286319</v>
      </c>
      <c r="F5" s="56">
        <v>1</v>
      </c>
      <c r="G5" s="57">
        <f t="shared" si="0"/>
        <v>8.36637353682585e-5</v>
      </c>
      <c r="H5" s="57">
        <f t="shared" si="1"/>
        <v>0.000333333333333333</v>
      </c>
      <c r="I5" s="58">
        <f t="shared" si="2"/>
        <v>0.0232678684268131</v>
      </c>
      <c r="J5" s="58"/>
      <c r="K5" s="58">
        <f t="shared" si="3"/>
        <v>2.23945859892536</v>
      </c>
      <c r="L5" s="57">
        <f t="shared" si="4"/>
        <v>0.000927152993936005</v>
      </c>
      <c r="M5" s="57">
        <f t="shared" si="5"/>
        <v>0.00296477994345861</v>
      </c>
      <c r="N5" s="57">
        <f t="shared" si="6"/>
        <v>0.108214234981745</v>
      </c>
      <c r="O5" s="59">
        <v>0.0302</v>
      </c>
      <c r="P5" s="60">
        <f t="shared" si="7"/>
        <v>0.0302</v>
      </c>
      <c r="Q5" s="61">
        <v>1000</v>
      </c>
      <c r="R5" s="59">
        <v>1.1616</v>
      </c>
      <c r="S5" s="59">
        <v>9.801</v>
      </c>
      <c r="T5" s="62">
        <v>4e-6</v>
      </c>
      <c r="U5" s="63">
        <v>1e-6</v>
      </c>
      <c r="V5" s="63">
        <f t="shared" si="27"/>
        <v>4e-6</v>
      </c>
      <c r="W5" s="64">
        <v>0.001147</v>
      </c>
      <c r="X5" s="64">
        <v>1.85e-5</v>
      </c>
      <c r="Y5" s="65">
        <f t="shared" si="8"/>
        <v>-3.04128865955919</v>
      </c>
      <c r="Z5" s="66">
        <f t="shared" si="9"/>
        <v>0.0016483625286319</v>
      </c>
      <c r="AA5" s="65">
        <f t="shared" si="10"/>
        <v>6.25932385366934</v>
      </c>
      <c r="AB5" s="65">
        <f t="shared" si="11"/>
        <v>17.7726157473111</v>
      </c>
      <c r="AC5" s="65">
        <f t="shared" si="12"/>
        <v>3.52719040421772</v>
      </c>
      <c r="AD5" s="67">
        <f t="shared" si="28"/>
        <v>5.03874577512434</v>
      </c>
      <c r="AE5" s="67">
        <f t="shared" si="29"/>
        <v>0.194461705308707</v>
      </c>
      <c r="AF5" s="67">
        <f t="shared" si="30"/>
        <v>0.0351093394071406</v>
      </c>
      <c r="AG5" s="67">
        <f t="shared" si="31"/>
        <v>0.346859002188398</v>
      </c>
      <c r="AH5" s="67">
        <f t="shared" si="32"/>
        <v>0.113941661896194</v>
      </c>
      <c r="AI5" s="67">
        <f t="shared" si="33"/>
        <v>0.885292435973023</v>
      </c>
      <c r="AJ5" s="67">
        <f t="shared" si="34"/>
        <v>0.277615230147177</v>
      </c>
      <c r="AK5" s="67">
        <f t="shared" si="35"/>
        <v>0.952513567774413</v>
      </c>
      <c r="AL5" s="67">
        <f t="shared" si="36"/>
        <v>0.0183803094049255</v>
      </c>
      <c r="AM5" s="67">
        <f t="shared" si="37"/>
        <v>0.6625563349326</v>
      </c>
      <c r="AN5" s="67">
        <f t="shared" si="38"/>
        <v>0.288851222979717</v>
      </c>
      <c r="AO5" s="67">
        <f t="shared" si="39"/>
        <v>0.216804018666053</v>
      </c>
      <c r="AP5" s="63">
        <f t="shared" si="13"/>
        <v>87.2420868697248</v>
      </c>
      <c r="AQ5" s="68">
        <f t="shared" si="14"/>
        <v>33.0303485028308</v>
      </c>
      <c r="AR5" s="69">
        <f t="shared" si="15"/>
        <v>1228.44136078131</v>
      </c>
      <c r="AS5" s="69"/>
      <c r="AT5" s="69">
        <f t="shared" si="16"/>
        <v>0.0153247803173189</v>
      </c>
      <c r="AU5" s="69">
        <f t="shared" si="17"/>
        <v>8.29166772703704e-5</v>
      </c>
      <c r="AV5" s="65">
        <f t="shared" si="18"/>
        <v>0.0121779904342546</v>
      </c>
      <c r="AW5" s="68">
        <v>16.498</v>
      </c>
      <c r="AX5" s="68">
        <f t="shared" si="19"/>
        <v>1.35473911636471</v>
      </c>
      <c r="AY5" s="68">
        <f t="shared" si="20"/>
        <v>15.0641741671729</v>
      </c>
      <c r="AZ5" s="68">
        <f t="shared" si="21"/>
        <v>21.3114832599455</v>
      </c>
      <c r="BA5" s="71">
        <f t="shared" si="40"/>
        <v>0.0205633359630519</v>
      </c>
      <c r="BB5" s="71"/>
      <c r="BC5" s="65"/>
      <c r="BD5" s="65">
        <f t="shared" si="41"/>
        <v>0.0192966378923838</v>
      </c>
      <c r="BE5" s="65">
        <f t="shared" si="42"/>
        <v>0.63109389843819</v>
      </c>
      <c r="BF5" s="65">
        <f t="shared" si="22"/>
        <v>7.95196370759599</v>
      </c>
      <c r="BG5" s="69">
        <f t="shared" si="23"/>
        <v>0.00153144441826637</v>
      </c>
      <c r="BH5" s="69">
        <f t="shared" si="24"/>
        <v>1.52718756435507e-6</v>
      </c>
      <c r="BI5" s="72">
        <f t="shared" si="25"/>
        <v>14.0808014396069</v>
      </c>
      <c r="BJ5" s="72">
        <f t="shared" si="43"/>
        <v>2.24089246603864</v>
      </c>
      <c r="BK5" s="73">
        <f t="shared" si="26"/>
        <v>0.447070892913817</v>
      </c>
      <c r="BL5" s="72">
        <f t="shared" si="44"/>
        <v>24.8269965557466</v>
      </c>
      <c r="BM5" s="74"/>
    </row>
    <row r="6" ht="25" customHeight="1" spans="1:65">
      <c r="A6" s="54">
        <v>4</v>
      </c>
      <c r="B6" s="55">
        <v>0.30892619704462</v>
      </c>
      <c r="C6" s="55">
        <v>-21.1321351458282</v>
      </c>
      <c r="D6" s="55">
        <v>10.1065120517512</v>
      </c>
      <c r="E6" s="55">
        <v>1.4990007014024</v>
      </c>
      <c r="F6" s="56">
        <v>1</v>
      </c>
      <c r="G6" s="57">
        <f t="shared" si="0"/>
        <v>8.36637353682585e-5</v>
      </c>
      <c r="H6" s="57">
        <f t="shared" si="1"/>
        <v>0.000333333333333333</v>
      </c>
      <c r="I6" s="58">
        <f t="shared" si="2"/>
        <v>0.0198082168794754</v>
      </c>
      <c r="J6" s="58"/>
      <c r="K6" s="58">
        <f t="shared" si="3"/>
        <v>1.32502148237215</v>
      </c>
      <c r="L6" s="57">
        <f t="shared" si="4"/>
        <v>0.000884150010464409</v>
      </c>
      <c r="M6" s="57">
        <f t="shared" si="5"/>
        <v>0.00462846824202536</v>
      </c>
      <c r="N6" s="57">
        <f t="shared" si="6"/>
        <v>0.0735171862823633</v>
      </c>
      <c r="O6" s="59">
        <v>0.0302</v>
      </c>
      <c r="P6" s="60">
        <f t="shared" si="7"/>
        <v>0.0302</v>
      </c>
      <c r="Q6" s="61">
        <v>1000</v>
      </c>
      <c r="R6" s="59">
        <v>1.1616</v>
      </c>
      <c r="S6" s="59">
        <v>9.801</v>
      </c>
      <c r="T6" s="62">
        <v>4e-6</v>
      </c>
      <c r="U6" s="63">
        <v>1e-6</v>
      </c>
      <c r="V6" s="63">
        <f t="shared" si="27"/>
        <v>4e-6</v>
      </c>
      <c r="W6" s="64">
        <v>0.001147</v>
      </c>
      <c r="X6" s="64">
        <v>1.85e-5</v>
      </c>
      <c r="Y6" s="65">
        <f t="shared" si="8"/>
        <v>-3.17237803703955</v>
      </c>
      <c r="Z6" s="66">
        <f t="shared" si="9"/>
        <v>0.0014990007014024</v>
      </c>
      <c r="AA6" s="65">
        <f t="shared" si="10"/>
        <v>2.82545337515043</v>
      </c>
      <c r="AB6" s="65">
        <f t="shared" si="11"/>
        <v>9.47402148172661</v>
      </c>
      <c r="AC6" s="65">
        <f t="shared" si="12"/>
        <v>2.91693740537625</v>
      </c>
      <c r="AD6" s="67">
        <f t="shared" si="28"/>
        <v>3.24793444804983</v>
      </c>
      <c r="AE6" s="67">
        <f t="shared" si="29"/>
        <v>0.176841093867618</v>
      </c>
      <c r="AF6" s="67">
        <f t="shared" si="30"/>
        <v>0.0471836144198398</v>
      </c>
      <c r="AG6" s="67">
        <f t="shared" si="31"/>
        <v>0.223824733674191</v>
      </c>
      <c r="AH6" s="67">
        <f t="shared" si="32"/>
        <v>0.103505005959054</v>
      </c>
      <c r="AI6" s="67">
        <f t="shared" si="33"/>
        <v>0.941884356204794</v>
      </c>
      <c r="AJ6" s="67">
        <f t="shared" si="34"/>
        <v>0.407041914459821</v>
      </c>
      <c r="AK6" s="67">
        <f t="shared" si="35"/>
        <v>0.837707801644244</v>
      </c>
      <c r="AL6" s="67">
        <f t="shared" si="36"/>
        <v>0.022805442405581</v>
      </c>
      <c r="AM6" s="67">
        <f t="shared" si="37"/>
        <v>0.463085071689812</v>
      </c>
      <c r="AN6" s="67">
        <f t="shared" si="38"/>
        <v>0.397829217267503</v>
      </c>
      <c r="AO6" s="67">
        <f t="shared" si="39"/>
        <v>0.150113383775648</v>
      </c>
      <c r="AP6" s="63">
        <f t="shared" si="13"/>
        <v>66.794853415053</v>
      </c>
      <c r="AQ6" s="68">
        <f t="shared" si="14"/>
        <v>6.33856715009961</v>
      </c>
      <c r="AR6" s="69">
        <f t="shared" si="15"/>
        <v>2095.65852939582</v>
      </c>
      <c r="AS6" s="69"/>
      <c r="AT6" s="69">
        <f t="shared" si="16"/>
        <v>0.0117330578811318</v>
      </c>
      <c r="AU6" s="69">
        <f t="shared" si="17"/>
        <v>8.69495500408005e-5</v>
      </c>
      <c r="AV6" s="65">
        <f t="shared" si="18"/>
        <v>0.0105608599313064</v>
      </c>
      <c r="AW6" s="68">
        <v>17.172</v>
      </c>
      <c r="AX6" s="68">
        <f t="shared" si="19"/>
        <v>1.62600395343714</v>
      </c>
      <c r="AY6" s="68">
        <f t="shared" si="20"/>
        <v>13.063783735026</v>
      </c>
      <c r="AZ6" s="68">
        <f t="shared" si="21"/>
        <v>18.4815048797861</v>
      </c>
      <c r="BA6" s="71">
        <f t="shared" si="40"/>
        <v>0.0215634884101185</v>
      </c>
      <c r="BB6" s="71"/>
      <c r="BC6" s="65"/>
      <c r="BD6" s="65">
        <f t="shared" si="41"/>
        <v>0.0272236242289002</v>
      </c>
      <c r="BE6" s="65">
        <f t="shared" si="42"/>
        <v>0.387929977379539</v>
      </c>
      <c r="BF6" s="65">
        <f t="shared" si="22"/>
        <v>10.2020579534592</v>
      </c>
      <c r="BG6" s="69">
        <f t="shared" si="23"/>
        <v>0.00103516956867761</v>
      </c>
      <c r="BH6" s="69">
        <f t="shared" si="24"/>
        <v>6.73245715367951e-7</v>
      </c>
      <c r="BI6" s="72">
        <f t="shared" si="25"/>
        <v>12.210994295573</v>
      </c>
      <c r="BJ6" s="72">
        <f t="shared" si="43"/>
        <v>3.64553822812582</v>
      </c>
      <c r="BK6" s="73">
        <f t="shared" si="26"/>
        <v>0.967500992786117</v>
      </c>
      <c r="BL6" s="72">
        <f t="shared" si="44"/>
        <v>15.3078962924791</v>
      </c>
      <c r="BM6" s="74"/>
    </row>
    <row r="7" ht="25" customHeight="1" spans="1:65">
      <c r="A7" s="54">
        <v>5</v>
      </c>
      <c r="B7" s="55">
        <v>0.375399200272031</v>
      </c>
      <c r="C7" s="55">
        <v>-14.2293116489042</v>
      </c>
      <c r="D7" s="55">
        <v>9.81549974232818</v>
      </c>
      <c r="E7" s="55">
        <v>1.44487015160013</v>
      </c>
      <c r="F7" s="56">
        <v>1</v>
      </c>
      <c r="G7" s="57">
        <f t="shared" si="0"/>
        <v>8.36637353682585e-5</v>
      </c>
      <c r="H7" s="57">
        <f t="shared" si="1"/>
        <v>0.000333333333333333</v>
      </c>
      <c r="I7" s="58">
        <f t="shared" si="2"/>
        <v>0.0250853045343212</v>
      </c>
      <c r="J7" s="58"/>
      <c r="K7" s="58">
        <f t="shared" si="3"/>
        <v>1.96404380364327</v>
      </c>
      <c r="L7" s="57">
        <f t="shared" si="4"/>
        <v>0.000868039419969708</v>
      </c>
      <c r="M7" s="57">
        <f t="shared" si="5"/>
        <v>0.00302904474029802</v>
      </c>
      <c r="N7" s="57">
        <f t="shared" si="6"/>
        <v>0.114954607618007</v>
      </c>
      <c r="O7" s="59">
        <v>0.0302</v>
      </c>
      <c r="P7" s="60">
        <f t="shared" si="7"/>
        <v>0.0302</v>
      </c>
      <c r="Q7" s="61">
        <v>1000</v>
      </c>
      <c r="R7" s="59">
        <v>1.1616</v>
      </c>
      <c r="S7" s="59">
        <v>9.801</v>
      </c>
      <c r="T7" s="62">
        <v>4e-6</v>
      </c>
      <c r="U7" s="63">
        <v>1e-6</v>
      </c>
      <c r="V7" s="63">
        <f t="shared" si="27"/>
        <v>4e-6</v>
      </c>
      <c r="W7" s="64">
        <v>0.001147</v>
      </c>
      <c r="X7" s="64">
        <v>1.85e-5</v>
      </c>
      <c r="Y7" s="65">
        <f t="shared" si="8"/>
        <v>-0.9786697389354</v>
      </c>
      <c r="Z7" s="66">
        <f t="shared" si="9"/>
        <v>0.00144487015160013</v>
      </c>
      <c r="AA7" s="65">
        <f t="shared" si="10"/>
        <v>5.14396328057494</v>
      </c>
      <c r="AB7" s="65">
        <f t="shared" si="11"/>
        <v>13.4846152147477</v>
      </c>
      <c r="AC7" s="65">
        <f t="shared" si="12"/>
        <v>2.71007354286196</v>
      </c>
      <c r="AD7" s="67">
        <f t="shared" si="28"/>
        <v>4.97573774345154</v>
      </c>
      <c r="AE7" s="67">
        <f t="shared" si="29"/>
        <v>0.170455169144745</v>
      </c>
      <c r="AF7" s="67">
        <f t="shared" si="30"/>
        <v>0.0311291696445093</v>
      </c>
      <c r="AG7" s="67">
        <f t="shared" si="31"/>
        <v>0.32104966524507</v>
      </c>
      <c r="AH7" s="67">
        <f t="shared" si="32"/>
        <v>0.106555143798778</v>
      </c>
      <c r="AI7" s="67">
        <f t="shared" si="33"/>
        <v>0.886574840579489</v>
      </c>
      <c r="AJ7" s="67">
        <f t="shared" si="34"/>
        <v>0.280751493058439</v>
      </c>
      <c r="AK7" s="67">
        <f t="shared" si="35"/>
        <v>1.13944744196853</v>
      </c>
      <c r="AL7" s="67">
        <f t="shared" si="36"/>
        <v>0.0195171767953313</v>
      </c>
      <c r="AM7" s="67">
        <f t="shared" si="37"/>
        <v>0.51206225155051</v>
      </c>
      <c r="AN7" s="67">
        <f t="shared" si="38"/>
        <v>0.292235078497891</v>
      </c>
      <c r="AO7" s="67">
        <f t="shared" si="39"/>
        <v>0.200630629743821</v>
      </c>
      <c r="AP7" s="63">
        <f t="shared" si="13"/>
        <v>81.1673946534121</v>
      </c>
      <c r="AQ7" s="68">
        <f t="shared" si="14"/>
        <v>0.412718759789169</v>
      </c>
      <c r="AR7" s="69">
        <f t="shared" si="15"/>
        <v>1419.19904250559</v>
      </c>
      <c r="AS7" s="69"/>
      <c r="AT7" s="69">
        <f t="shared" si="16"/>
        <v>0.0142577113480801</v>
      </c>
      <c r="AU7" s="69">
        <f t="shared" si="17"/>
        <v>8.85633115384693e-5</v>
      </c>
      <c r="AV7" s="65">
        <f t="shared" si="18"/>
        <v>0.00999400949372671</v>
      </c>
      <c r="AW7" s="68">
        <v>16.023</v>
      </c>
      <c r="AX7" s="68">
        <f t="shared" si="19"/>
        <v>1.60326043416886</v>
      </c>
      <c r="AY7" s="68">
        <f t="shared" si="20"/>
        <v>12.3625897437399</v>
      </c>
      <c r="AZ7" s="68">
        <f t="shared" si="21"/>
        <v>17.4895166140217</v>
      </c>
      <c r="BA7" s="71">
        <f t="shared" si="40"/>
        <v>0.0219637012615404</v>
      </c>
      <c r="BB7" s="71"/>
      <c r="BC7" s="65"/>
      <c r="BD7" s="65">
        <f t="shared" si="41"/>
        <v>0.0171286327709974</v>
      </c>
      <c r="BE7" s="65">
        <f t="shared" si="42"/>
        <v>0.583468022657874</v>
      </c>
      <c r="BF7" s="65">
        <f t="shared" si="22"/>
        <v>6.18716255713349</v>
      </c>
      <c r="BG7" s="69">
        <f t="shared" si="23"/>
        <v>0.00161528154488265</v>
      </c>
      <c r="BH7" s="69">
        <f t="shared" si="24"/>
        <v>8.90290538774941e-7</v>
      </c>
      <c r="BI7" s="72">
        <f t="shared" si="25"/>
        <v>11.5555734771215</v>
      </c>
      <c r="BJ7" s="72">
        <f t="shared" si="43"/>
        <v>2.42380645974551</v>
      </c>
      <c r="BK7" s="73">
        <f t="shared" si="26"/>
        <v>0.710428348285303</v>
      </c>
      <c r="BL7" s="72">
        <f t="shared" si="44"/>
        <v>18.9047623004716</v>
      </c>
      <c r="BM7" s="74"/>
    </row>
    <row r="8" ht="25" customHeight="1" spans="1:65">
      <c r="A8" s="54">
        <v>6</v>
      </c>
      <c r="B8" s="55">
        <v>0.46038295904576</v>
      </c>
      <c r="C8" s="55">
        <v>-12.4653892243224</v>
      </c>
      <c r="D8" s="55">
        <v>9.37346227673995</v>
      </c>
      <c r="E8" s="55">
        <v>1.43575679958388</v>
      </c>
      <c r="F8" s="56">
        <v>1</v>
      </c>
      <c r="G8" s="57">
        <f t="shared" si="0"/>
        <v>8.36637353682585e-5</v>
      </c>
      <c r="H8" s="57">
        <f t="shared" si="1"/>
        <v>0.000333333333333333</v>
      </c>
      <c r="I8" s="58">
        <f t="shared" si="2"/>
        <v>0.030983917174141</v>
      </c>
      <c r="J8" s="58"/>
      <c r="K8" s="58">
        <f t="shared" si="3"/>
        <v>2.95591459442732</v>
      </c>
      <c r="L8" s="57">
        <f t="shared" si="4"/>
        <v>0.00086529756032281</v>
      </c>
      <c r="M8" s="57">
        <f t="shared" si="5"/>
        <v>0.00200217479080233</v>
      </c>
      <c r="N8" s="57">
        <f t="shared" si="6"/>
        <v>0.174605544845919</v>
      </c>
      <c r="O8" s="59">
        <v>0.0302</v>
      </c>
      <c r="P8" s="60">
        <f t="shared" si="7"/>
        <v>0.0302</v>
      </c>
      <c r="Q8" s="61">
        <v>1000</v>
      </c>
      <c r="R8" s="59">
        <v>1.1616</v>
      </c>
      <c r="S8" s="59">
        <v>9.801</v>
      </c>
      <c r="T8" s="62">
        <v>4e-6</v>
      </c>
      <c r="U8" s="63">
        <v>1e-6</v>
      </c>
      <c r="V8" s="63">
        <f t="shared" si="27"/>
        <v>4e-6</v>
      </c>
      <c r="W8" s="64">
        <v>0.001147</v>
      </c>
      <c r="X8" s="64">
        <v>1.85e-5</v>
      </c>
      <c r="Y8" s="65">
        <f t="shared" si="8"/>
        <v>-0.423496503970562</v>
      </c>
      <c r="Z8" s="66">
        <f t="shared" si="9"/>
        <v>0.00143575679958388</v>
      </c>
      <c r="AA8" s="65">
        <f t="shared" si="10"/>
        <v>8.76414214983333</v>
      </c>
      <c r="AB8" s="65">
        <f t="shared" si="11"/>
        <v>20.1531257302145</v>
      </c>
      <c r="AC8" s="65">
        <f t="shared" si="12"/>
        <v>2.67599440471401</v>
      </c>
      <c r="AD8" s="67">
        <f t="shared" si="28"/>
        <v>7.53107917367575</v>
      </c>
      <c r="AE8" s="67">
        <f t="shared" si="29"/>
        <v>0.169380042803679</v>
      </c>
      <c r="AF8" s="67">
        <f t="shared" si="30"/>
        <v>0.0210905706618947</v>
      </c>
      <c r="AG8" s="67">
        <f t="shared" si="31"/>
        <v>0.469385338671433</v>
      </c>
      <c r="AH8" s="67">
        <f t="shared" si="32"/>
        <v>0.109614728988825</v>
      </c>
      <c r="AI8" s="67">
        <f t="shared" si="33"/>
        <v>0.851986370595087</v>
      </c>
      <c r="AJ8" s="67">
        <f t="shared" si="34"/>
        <v>0.192597044779557</v>
      </c>
      <c r="AK8" s="67">
        <f t="shared" si="35"/>
        <v>1.27682863000753</v>
      </c>
      <c r="AL8" s="67">
        <f t="shared" si="36"/>
        <v>0.0143584526876035</v>
      </c>
      <c r="AM8" s="67">
        <f t="shared" si="37"/>
        <v>0.689461801232533</v>
      </c>
      <c r="AN8" s="67">
        <f t="shared" si="38"/>
        <v>0.183664660658193</v>
      </c>
      <c r="AO8" s="67">
        <f t="shared" si="39"/>
        <v>0.318221861642592</v>
      </c>
      <c r="AP8" s="63">
        <f t="shared" si="13"/>
        <v>99.5422614152995</v>
      </c>
      <c r="AQ8" s="68">
        <f t="shared" si="14"/>
        <v>-18.0727517791247</v>
      </c>
      <c r="AR8" s="69">
        <f t="shared" si="15"/>
        <v>943.607786041535</v>
      </c>
      <c r="AS8" s="69"/>
      <c r="AT8" s="69">
        <f t="shared" si="16"/>
        <v>0.0174854057624333</v>
      </c>
      <c r="AU8" s="69">
        <f t="shared" si="17"/>
        <v>8.88439412099691e-5</v>
      </c>
      <c r="AV8" s="65">
        <f t="shared" si="18"/>
        <v>0.00989960465290724</v>
      </c>
      <c r="AW8" s="68">
        <v>15.449</v>
      </c>
      <c r="AX8" s="68">
        <f t="shared" si="19"/>
        <v>1.56056737028009</v>
      </c>
      <c r="AY8" s="68">
        <f t="shared" si="20"/>
        <v>12.2458109556463</v>
      </c>
      <c r="AZ8" s="68">
        <f t="shared" si="21"/>
        <v>17.3243081425877</v>
      </c>
      <c r="BA8" s="71">
        <f t="shared" si="40"/>
        <v>0.0220332974200723</v>
      </c>
      <c r="BB8" s="71"/>
      <c r="BC8" s="65"/>
      <c r="BD8" s="65">
        <f t="shared" si="41"/>
        <v>0.0112454031419383</v>
      </c>
      <c r="BE8" s="65">
        <f t="shared" si="42"/>
        <v>0.880324567110261</v>
      </c>
      <c r="BF8" s="65">
        <f t="shared" si="22"/>
        <v>4.03641600627498</v>
      </c>
      <c r="BG8" s="69">
        <f t="shared" si="23"/>
        <v>0.00245257293537569</v>
      </c>
      <c r="BH8" s="69">
        <f t="shared" si="24"/>
        <v>1.3138317074706e-6</v>
      </c>
      <c r="BI8" s="72">
        <f t="shared" si="25"/>
        <v>11.446417879924</v>
      </c>
      <c r="BJ8" s="72">
        <f t="shared" si="43"/>
        <v>1.60646835861388</v>
      </c>
      <c r="BK8" s="73">
        <f t="shared" si="26"/>
        <v>0.478735225479552</v>
      </c>
      <c r="BL8" s="72">
        <f t="shared" si="44"/>
        <v>25.5051145396425</v>
      </c>
      <c r="BM8" s="74"/>
    </row>
    <row r="9" ht="25" customHeight="1" spans="1:65">
      <c r="A9" s="54">
        <v>7</v>
      </c>
      <c r="B9" s="55">
        <v>0.360030528595507</v>
      </c>
      <c r="C9" s="55">
        <v>-15.3195421708314</v>
      </c>
      <c r="D9" s="55">
        <v>9.82587667279957</v>
      </c>
      <c r="E9" s="55">
        <v>1.3459563421992</v>
      </c>
      <c r="F9" s="56">
        <v>1</v>
      </c>
      <c r="G9" s="57">
        <f t="shared" si="0"/>
        <v>8.36637353682585e-5</v>
      </c>
      <c r="H9" s="57">
        <f t="shared" si="1"/>
        <v>0.000333333333333333</v>
      </c>
      <c r="I9" s="58">
        <f t="shared" si="2"/>
        <v>0.0260617086412134</v>
      </c>
      <c r="J9" s="58"/>
      <c r="K9" s="58">
        <f t="shared" si="3"/>
        <v>1.82039188236887</v>
      </c>
      <c r="L9" s="57">
        <f t="shared" si="4"/>
        <v>0.000837800325943549</v>
      </c>
      <c r="M9" s="57">
        <f t="shared" si="5"/>
        <v>0.00308371861821514</v>
      </c>
      <c r="N9" s="57">
        <f t="shared" si="6"/>
        <v>0.118096444243126</v>
      </c>
      <c r="O9" s="59">
        <v>0.0302</v>
      </c>
      <c r="P9" s="60">
        <f t="shared" si="7"/>
        <v>0.0302</v>
      </c>
      <c r="Q9" s="61">
        <v>1000</v>
      </c>
      <c r="R9" s="59">
        <v>1.1616</v>
      </c>
      <c r="S9" s="59">
        <v>9.801</v>
      </c>
      <c r="T9" s="62">
        <v>4e-6</v>
      </c>
      <c r="U9" s="63">
        <v>1e-6</v>
      </c>
      <c r="V9" s="63">
        <f t="shared" si="27"/>
        <v>4e-6</v>
      </c>
      <c r="W9" s="64">
        <v>0.001147</v>
      </c>
      <c r="X9" s="64">
        <v>1.85e-5</v>
      </c>
      <c r="Y9" s="65">
        <f t="shared" si="8"/>
        <v>-1.08811917695616</v>
      </c>
      <c r="Z9" s="66">
        <f t="shared" si="9"/>
        <v>0.0013459563421992</v>
      </c>
      <c r="AA9" s="65">
        <f t="shared" si="10"/>
        <v>4.5678889663996</v>
      </c>
      <c r="AB9" s="65">
        <f t="shared" si="11"/>
        <v>11.5540084845228</v>
      </c>
      <c r="AC9" s="65">
        <f t="shared" si="12"/>
        <v>2.3517187621876</v>
      </c>
      <c r="AD9" s="67">
        <f t="shared" si="28"/>
        <v>4.91300604064371</v>
      </c>
      <c r="AE9" s="67">
        <f t="shared" si="29"/>
        <v>0.158786044349334</v>
      </c>
      <c r="AF9" s="67">
        <f t="shared" si="30"/>
        <v>0.0293341709129982</v>
      </c>
      <c r="AG9" s="67">
        <f t="shared" si="31"/>
        <v>0.306315638977643</v>
      </c>
      <c r="AH9" s="67">
        <f t="shared" si="32"/>
        <v>0.102723413035993</v>
      </c>
      <c r="AI9" s="67">
        <f t="shared" si="33"/>
        <v>0.887884994743447</v>
      </c>
      <c r="AJ9" s="67">
        <f t="shared" si="34"/>
        <v>0.283945437353176</v>
      </c>
      <c r="AK9" s="67">
        <f t="shared" si="35"/>
        <v>1.08849526528257</v>
      </c>
      <c r="AL9" s="67">
        <f t="shared" si="36"/>
        <v>0.0175898274943452</v>
      </c>
      <c r="AM9" s="67">
        <f t="shared" si="37"/>
        <v>0.510835897053743</v>
      </c>
      <c r="AN9" s="67">
        <f t="shared" si="38"/>
        <v>0.295600402932821</v>
      </c>
      <c r="AO9" s="67">
        <f t="shared" si="39"/>
        <v>0.191436892894816</v>
      </c>
      <c r="AP9" s="63">
        <f t="shared" si="13"/>
        <v>77.8444386152448</v>
      </c>
      <c r="AQ9" s="68">
        <f t="shared" si="14"/>
        <v>0.565174419415744</v>
      </c>
      <c r="AR9" s="69">
        <f t="shared" si="15"/>
        <v>1542.94817633202</v>
      </c>
      <c r="AS9" s="69"/>
      <c r="AT9" s="69">
        <f t="shared" si="16"/>
        <v>0.0136740071622201</v>
      </c>
      <c r="AU9" s="69">
        <f t="shared" si="17"/>
        <v>9.17598659225508e-5</v>
      </c>
      <c r="AV9" s="65">
        <f t="shared" si="18"/>
        <v>0.00898551530709443</v>
      </c>
      <c r="AW9" s="68">
        <v>13.722</v>
      </c>
      <c r="AX9" s="68">
        <f t="shared" si="19"/>
        <v>1.52712443649903</v>
      </c>
      <c r="AY9" s="68">
        <f t="shared" si="20"/>
        <v>11.1150824348758</v>
      </c>
      <c r="AZ9" s="68">
        <f t="shared" si="21"/>
        <v>15.7246517874153</v>
      </c>
      <c r="BA9" s="71">
        <f t="shared" si="40"/>
        <v>0.0227564467487926</v>
      </c>
      <c r="BB9" s="71"/>
      <c r="BC9" s="65"/>
      <c r="BD9" s="65">
        <f t="shared" si="41"/>
        <v>0.0161597648197202</v>
      </c>
      <c r="BE9" s="65">
        <f t="shared" si="42"/>
        <v>0.556042455279372</v>
      </c>
      <c r="BF9" s="65">
        <f t="shared" si="22"/>
        <v>5.43758448688748</v>
      </c>
      <c r="BG9" s="69">
        <f t="shared" si="23"/>
        <v>0.00165248288624529</v>
      </c>
      <c r="BH9" s="69">
        <f t="shared" si="24"/>
        <v>6.61957625598416e-7</v>
      </c>
      <c r="BI9" s="72">
        <f t="shared" si="25"/>
        <v>10.3895020738279</v>
      </c>
      <c r="BJ9" s="72">
        <f t="shared" si="43"/>
        <v>2.54335536602606</v>
      </c>
      <c r="BK9" s="73">
        <f t="shared" si="26"/>
        <v>0.891167986367464</v>
      </c>
      <c r="BL9" s="72">
        <f t="shared" si="44"/>
        <v>16.257446008898</v>
      </c>
      <c r="BM9" s="74"/>
    </row>
    <row r="10" ht="25" customHeight="1" spans="1:65">
      <c r="A10" s="54">
        <v>8</v>
      </c>
      <c r="B10" s="55">
        <v>0.381427083576573</v>
      </c>
      <c r="C10" s="55">
        <v>-11.882242008582</v>
      </c>
      <c r="D10" s="55">
        <v>9.89833889075379</v>
      </c>
      <c r="E10" s="55">
        <v>1.4601683847812</v>
      </c>
      <c r="F10" s="56">
        <v>1</v>
      </c>
      <c r="G10" s="57">
        <f t="shared" si="0"/>
        <v>8.36637353682585e-5</v>
      </c>
      <c r="H10" s="57">
        <f t="shared" si="1"/>
        <v>0.000333333333333333</v>
      </c>
      <c r="I10" s="58">
        <f t="shared" si="2"/>
        <v>0.0251881293040343</v>
      </c>
      <c r="J10" s="58"/>
      <c r="K10" s="58">
        <f t="shared" si="3"/>
        <v>2.02539534423458</v>
      </c>
      <c r="L10" s="57">
        <f t="shared" si="4"/>
        <v>0.000872622705073441</v>
      </c>
      <c r="M10" s="57">
        <f t="shared" si="5"/>
        <v>0.00296291698354233</v>
      </c>
      <c r="N10" s="57">
        <f t="shared" si="6"/>
        <v>0.116745623804102</v>
      </c>
      <c r="O10" s="59">
        <v>0.0302</v>
      </c>
      <c r="P10" s="60">
        <f t="shared" si="7"/>
        <v>0.0302</v>
      </c>
      <c r="Q10" s="61">
        <v>1000</v>
      </c>
      <c r="R10" s="59">
        <v>1.1616</v>
      </c>
      <c r="S10" s="59">
        <v>9.801</v>
      </c>
      <c r="T10" s="62">
        <v>4e-6</v>
      </c>
      <c r="U10" s="63">
        <v>1e-6</v>
      </c>
      <c r="V10" s="63">
        <f t="shared" si="27"/>
        <v>4e-6</v>
      </c>
      <c r="W10" s="64">
        <v>0.001147</v>
      </c>
      <c r="X10" s="64">
        <v>1.85e-5</v>
      </c>
      <c r="Y10" s="65">
        <f t="shared" si="8"/>
        <v>-0.337926487403153</v>
      </c>
      <c r="Z10" s="66">
        <f t="shared" si="9"/>
        <v>0.0014601683847812</v>
      </c>
      <c r="AA10" s="65">
        <f t="shared" si="10"/>
        <v>5.37648420416565</v>
      </c>
      <c r="AB10" s="65">
        <f t="shared" si="11"/>
        <v>14.068540599858</v>
      </c>
      <c r="AC10" s="65">
        <f t="shared" si="12"/>
        <v>2.76776567794363</v>
      </c>
      <c r="AD10" s="67">
        <f t="shared" si="28"/>
        <v>5.08299554112203</v>
      </c>
      <c r="AE10" s="67">
        <f t="shared" si="29"/>
        <v>0.172259942342951</v>
      </c>
      <c r="AF10" s="67">
        <f t="shared" si="30"/>
        <v>0.0308543936806246</v>
      </c>
      <c r="AG10" s="67">
        <f t="shared" si="31"/>
        <v>0.32906669052116</v>
      </c>
      <c r="AH10" s="67">
        <f t="shared" si="32"/>
        <v>0.107324552383112</v>
      </c>
      <c r="AI10" s="67">
        <f t="shared" si="33"/>
        <v>0.884411209858256</v>
      </c>
      <c r="AJ10" s="67">
        <f t="shared" si="34"/>
        <v>0.275454360543136</v>
      </c>
      <c r="AK10" s="67">
        <f t="shared" si="35"/>
        <v>1.26567226779575</v>
      </c>
      <c r="AL10" s="67">
        <f t="shared" si="36"/>
        <v>0.0214464708961205</v>
      </c>
      <c r="AM10" s="67">
        <f t="shared" si="37"/>
        <v>0.473418366392244</v>
      </c>
      <c r="AN10" s="67">
        <f t="shared" si="38"/>
        <v>0.286472747345187</v>
      </c>
      <c r="AO10" s="67">
        <f t="shared" si="39"/>
        <v>0.205746913731626</v>
      </c>
      <c r="AP10" s="63">
        <f t="shared" si="13"/>
        <v>82.4707207733131</v>
      </c>
      <c r="AQ10" s="68">
        <f t="shared" si="14"/>
        <v>2.92122446771101</v>
      </c>
      <c r="AR10" s="69">
        <f t="shared" si="15"/>
        <v>1374.69686134812</v>
      </c>
      <c r="AS10" s="69"/>
      <c r="AT10" s="69">
        <f t="shared" si="16"/>
        <v>0.0144866511543818</v>
      </c>
      <c r="AU10" s="69">
        <f t="shared" si="17"/>
        <v>8.80981495570637e-5</v>
      </c>
      <c r="AV10" s="65">
        <f t="shared" si="18"/>
        <v>0.0101531532165202</v>
      </c>
      <c r="AW10" s="68">
        <v>16.008</v>
      </c>
      <c r="AX10" s="68">
        <f t="shared" si="19"/>
        <v>1.57665305138442</v>
      </c>
      <c r="AY10" s="68">
        <f t="shared" si="20"/>
        <v>12.5594505288354</v>
      </c>
      <c r="AZ10" s="68">
        <f t="shared" si="21"/>
        <v>17.7680181289103</v>
      </c>
      <c r="BA10" s="71">
        <f t="shared" si="40"/>
        <v>0.0218483410901518</v>
      </c>
      <c r="BB10" s="71"/>
      <c r="BC10" s="65"/>
      <c r="BD10" s="65">
        <f t="shared" si="41"/>
        <v>0.0169447268789976</v>
      </c>
      <c r="BE10" s="65">
        <f t="shared" si="42"/>
        <v>0.599192497407829</v>
      </c>
      <c r="BF10" s="65">
        <f t="shared" si="22"/>
        <v>6.18553861936614</v>
      </c>
      <c r="BG10" s="69">
        <f t="shared" si="23"/>
        <v>0.00164143397063789</v>
      </c>
      <c r="BH10" s="69">
        <f t="shared" si="24"/>
        <v>9.48616099626904e-7</v>
      </c>
      <c r="BI10" s="72">
        <f t="shared" si="25"/>
        <v>11.7395834066014</v>
      </c>
      <c r="BJ10" s="72">
        <f t="shared" si="43"/>
        <v>2.36019904870494</v>
      </c>
      <c r="BK10" s="73">
        <f t="shared" si="26"/>
        <v>0.672739903398953</v>
      </c>
      <c r="BL10" s="72">
        <f t="shared" si="44"/>
        <v>19.6040719557453</v>
      </c>
      <c r="BM10" s="74"/>
    </row>
    <row r="11" ht="25" customHeight="1" spans="1:65">
      <c r="A11" s="54">
        <v>9</v>
      </c>
      <c r="B11" s="55">
        <v>0.449709287993055</v>
      </c>
      <c r="C11" s="55">
        <v>-15.1260850526811</v>
      </c>
      <c r="D11" s="55">
        <v>9.79398796943178</v>
      </c>
      <c r="E11" s="55">
        <v>1.36917403574902</v>
      </c>
      <c r="F11" s="56">
        <v>1</v>
      </c>
      <c r="G11" s="57">
        <f t="shared" si="0"/>
        <v>8.36637353682585e-5</v>
      </c>
      <c r="H11" s="57">
        <f t="shared" si="1"/>
        <v>0.000333333333333333</v>
      </c>
      <c r="I11" s="58">
        <f t="shared" si="2"/>
        <v>0.03192996924682</v>
      </c>
      <c r="J11" s="58"/>
      <c r="K11" s="58">
        <f t="shared" si="3"/>
        <v>2.83486160063513</v>
      </c>
      <c r="L11" s="57">
        <f t="shared" si="4"/>
        <v>0.000844995440957432</v>
      </c>
      <c r="M11" s="57">
        <f t="shared" si="5"/>
        <v>0.0020079829514981</v>
      </c>
      <c r="N11" s="57">
        <f t="shared" si="6"/>
        <v>0.179403345793349</v>
      </c>
      <c r="O11" s="59">
        <v>0.0302</v>
      </c>
      <c r="P11" s="60">
        <f t="shared" si="7"/>
        <v>0.0302</v>
      </c>
      <c r="Q11" s="61">
        <v>1000</v>
      </c>
      <c r="R11" s="59">
        <v>1.1616</v>
      </c>
      <c r="S11" s="59">
        <v>9.801</v>
      </c>
      <c r="T11" s="62">
        <v>4e-6</v>
      </c>
      <c r="U11" s="63">
        <v>1e-6</v>
      </c>
      <c r="V11" s="63">
        <f t="shared" si="27"/>
        <v>4e-6</v>
      </c>
      <c r="W11" s="64">
        <v>0.001147</v>
      </c>
      <c r="X11" s="64">
        <v>1.85e-5</v>
      </c>
      <c r="Y11" s="65">
        <f t="shared" si="8"/>
        <v>-1.02502772637726</v>
      </c>
      <c r="Z11" s="66">
        <f t="shared" si="9"/>
        <v>0.00136917403574902</v>
      </c>
      <c r="AA11" s="65">
        <f t="shared" si="10"/>
        <v>8.26903382809482</v>
      </c>
      <c r="AB11" s="65">
        <f t="shared" si="11"/>
        <v>18.3377235863719</v>
      </c>
      <c r="AC11" s="65">
        <f t="shared" si="12"/>
        <v>2.43355265313893</v>
      </c>
      <c r="AD11" s="67">
        <f t="shared" si="28"/>
        <v>7.53537161512365</v>
      </c>
      <c r="AE11" s="67">
        <f t="shared" si="29"/>
        <v>0.161525097320151</v>
      </c>
      <c r="AF11" s="67">
        <f t="shared" si="30"/>
        <v>0.0201017582081878</v>
      </c>
      <c r="AG11" s="67">
        <f t="shared" si="31"/>
        <v>0.45861733457958</v>
      </c>
      <c r="AH11" s="67">
        <f t="shared" si="32"/>
        <v>0.107046680238019</v>
      </c>
      <c r="AI11" s="67">
        <f t="shared" si="33"/>
        <v>0.851948213699902</v>
      </c>
      <c r="AJ11" s="67">
        <f t="shared" si="34"/>
        <v>0.192495584422688</v>
      </c>
      <c r="AK11" s="67">
        <f t="shared" si="35"/>
        <v>1.1405844476845</v>
      </c>
      <c r="AL11" s="67">
        <f t="shared" si="36"/>
        <v>0.0122245473298444</v>
      </c>
      <c r="AM11" s="67">
        <f t="shared" si="37"/>
        <v>0.754139562067504</v>
      </c>
      <c r="AN11" s="67">
        <f t="shared" si="38"/>
        <v>0.183593647997935</v>
      </c>
      <c r="AO11" s="67">
        <f t="shared" si="39"/>
        <v>0.31087575144217</v>
      </c>
      <c r="AP11" s="63">
        <f t="shared" si="13"/>
        <v>97.234440647147</v>
      </c>
      <c r="AQ11" s="68">
        <f t="shared" si="14"/>
        <v>-0.257202049637933</v>
      </c>
      <c r="AR11" s="69">
        <f t="shared" si="15"/>
        <v>988.931660735775</v>
      </c>
      <c r="AS11" s="69"/>
      <c r="AT11" s="69">
        <f t="shared" si="16"/>
        <v>0.0170800183221203</v>
      </c>
      <c r="AU11" s="69">
        <f t="shared" si="17"/>
        <v>9.09785329626674e-5</v>
      </c>
      <c r="AV11" s="65">
        <f t="shared" si="18"/>
        <v>0.00921901476980231</v>
      </c>
      <c r="AW11" s="68">
        <v>14.004</v>
      </c>
      <c r="AX11" s="68">
        <f t="shared" si="19"/>
        <v>1.51903433823225</v>
      </c>
      <c r="AY11" s="68">
        <f t="shared" si="20"/>
        <v>11.4039212702455</v>
      </c>
      <c r="AZ11" s="68">
        <f t="shared" si="21"/>
        <v>16.133275847154</v>
      </c>
      <c r="BA11" s="71">
        <f t="shared" si="40"/>
        <v>0.0225626761747415</v>
      </c>
      <c r="BB11" s="71"/>
      <c r="BC11" s="65"/>
      <c r="BD11" s="65">
        <f t="shared" si="41"/>
        <v>0.0107177924042901</v>
      </c>
      <c r="BE11" s="65">
        <f t="shared" si="42"/>
        <v>0.860159855877793</v>
      </c>
      <c r="BF11" s="65">
        <f t="shared" si="22"/>
        <v>3.66863077012553</v>
      </c>
      <c r="BG11" s="69">
        <f t="shared" si="23"/>
        <v>0.00251293066745086</v>
      </c>
      <c r="BH11" s="69">
        <f t="shared" si="24"/>
        <v>1.08717208518789e-6</v>
      </c>
      <c r="BI11" s="72">
        <f t="shared" si="25"/>
        <v>10.6594858275839</v>
      </c>
      <c r="BJ11" s="72">
        <f t="shared" si="43"/>
        <v>1.64412876596047</v>
      </c>
      <c r="BK11" s="73">
        <f t="shared" si="26"/>
        <v>0.552571023660354</v>
      </c>
      <c r="BL11" s="72">
        <f t="shared" si="44"/>
        <v>23.2048288926498</v>
      </c>
      <c r="BM11" s="74"/>
    </row>
    <row r="12" ht="25" customHeight="1" spans="1:65">
      <c r="A12" s="54">
        <v>10</v>
      </c>
      <c r="B12" s="55">
        <v>0.456369880305615</v>
      </c>
      <c r="C12" s="55">
        <v>-12.4415418612981</v>
      </c>
      <c r="D12" s="55">
        <v>9.09309231243999</v>
      </c>
      <c r="E12" s="55">
        <v>1.39952188008319</v>
      </c>
      <c r="F12" s="56">
        <v>1</v>
      </c>
      <c r="G12" s="57">
        <f t="shared" si="0"/>
        <v>8.36637353682585e-5</v>
      </c>
      <c r="H12" s="57">
        <f t="shared" si="1"/>
        <v>0.000333333333333333</v>
      </c>
      <c r="I12" s="58">
        <f t="shared" si="2"/>
        <v>0.0316109839810334</v>
      </c>
      <c r="J12" s="58"/>
      <c r="K12" s="58">
        <f t="shared" si="3"/>
        <v>2.91252262932112</v>
      </c>
      <c r="L12" s="57">
        <f t="shared" si="4"/>
        <v>0.000854308809326333</v>
      </c>
      <c r="M12" s="57">
        <f t="shared" si="5"/>
        <v>0.00198979423185943</v>
      </c>
      <c r="N12" s="57">
        <f t="shared" si="6"/>
        <v>0.178546949409186</v>
      </c>
      <c r="O12" s="59">
        <v>0.0302</v>
      </c>
      <c r="P12" s="60">
        <f t="shared" si="7"/>
        <v>0.0302</v>
      </c>
      <c r="Q12" s="61">
        <v>1000</v>
      </c>
      <c r="R12" s="59">
        <v>1.1616</v>
      </c>
      <c r="S12" s="59">
        <v>9.801</v>
      </c>
      <c r="T12" s="62">
        <v>4e-6</v>
      </c>
      <c r="U12" s="63">
        <v>1e-6</v>
      </c>
      <c r="V12" s="63">
        <f t="shared" si="27"/>
        <v>4e-6</v>
      </c>
      <c r="W12" s="64">
        <v>0.001147</v>
      </c>
      <c r="X12" s="64">
        <v>1.85e-5</v>
      </c>
      <c r="Y12" s="65">
        <f t="shared" si="8"/>
        <v>-0.383526152741287</v>
      </c>
      <c r="Z12" s="66">
        <f t="shared" si="9"/>
        <v>0.00139952188008319</v>
      </c>
      <c r="AA12" s="65">
        <f t="shared" si="10"/>
        <v>8.57662933996745</v>
      </c>
      <c r="AB12" s="65">
        <f t="shared" si="11"/>
        <v>19.3035281468344</v>
      </c>
      <c r="AC12" s="65">
        <f t="shared" si="12"/>
        <v>2.54262798559502</v>
      </c>
      <c r="AD12" s="67">
        <f t="shared" si="28"/>
        <v>7.59195928629608</v>
      </c>
      <c r="AE12" s="67">
        <f t="shared" si="29"/>
        <v>0.16510531311562</v>
      </c>
      <c r="AF12" s="67">
        <f t="shared" si="30"/>
        <v>0.020403626275682</v>
      </c>
      <c r="AG12" s="67">
        <f t="shared" si="31"/>
        <v>0.466937450028545</v>
      </c>
      <c r="AH12" s="67">
        <f t="shared" si="32"/>
        <v>0.108276745935119</v>
      </c>
      <c r="AI12" s="67">
        <f t="shared" si="33"/>
        <v>0.851449257235402</v>
      </c>
      <c r="AJ12" s="67">
        <f t="shared" si="34"/>
        <v>0.191167962326505</v>
      </c>
      <c r="AK12" s="67">
        <f t="shared" si="35"/>
        <v>1.27896942393674</v>
      </c>
      <c r="AL12" s="67">
        <f t="shared" si="36"/>
        <v>0.0139071245801821</v>
      </c>
      <c r="AM12" s="67">
        <f t="shared" si="37"/>
        <v>0.685060176859194</v>
      </c>
      <c r="AN12" s="67">
        <f t="shared" si="38"/>
        <v>0.182702207663511</v>
      </c>
      <c r="AO12" s="67">
        <f t="shared" si="39"/>
        <v>0.315835703549677</v>
      </c>
      <c r="AP12" s="63">
        <f t="shared" si="13"/>
        <v>98.6745687147276</v>
      </c>
      <c r="AQ12" s="68">
        <f t="shared" si="14"/>
        <v>-27.9395599663014</v>
      </c>
      <c r="AR12" s="69">
        <f t="shared" si="15"/>
        <v>960.275940360976</v>
      </c>
      <c r="AS12" s="69"/>
      <c r="AT12" s="69">
        <f t="shared" si="16"/>
        <v>0.017332988500349</v>
      </c>
      <c r="AU12" s="69">
        <f t="shared" si="17"/>
        <v>8.99867176121835e-5</v>
      </c>
      <c r="AV12" s="65">
        <f t="shared" si="18"/>
        <v>0.00952721722450237</v>
      </c>
      <c r="AW12" s="68">
        <v>15.178</v>
      </c>
      <c r="AX12" s="68">
        <f t="shared" si="19"/>
        <v>1.59311996801803</v>
      </c>
      <c r="AY12" s="68">
        <f t="shared" si="20"/>
        <v>11.7851677067094</v>
      </c>
      <c r="AZ12" s="68">
        <f t="shared" si="21"/>
        <v>16.6726301428791</v>
      </c>
      <c r="BA12" s="71">
        <f t="shared" si="40"/>
        <v>0.0223167059678215</v>
      </c>
      <c r="BB12" s="71"/>
      <c r="BC12" s="65"/>
      <c r="BD12" s="65">
        <f t="shared" si="41"/>
        <v>0.0108736958991366</v>
      </c>
      <c r="BE12" s="65">
        <f t="shared" si="42"/>
        <v>0.876171019759605</v>
      </c>
      <c r="BF12" s="65">
        <f t="shared" si="22"/>
        <v>3.80449383205314</v>
      </c>
      <c r="BG12" s="69">
        <f t="shared" si="23"/>
        <v>0.00250420099100566</v>
      </c>
      <c r="BH12" s="69">
        <f t="shared" si="24"/>
        <v>1.19572590811916e-6</v>
      </c>
      <c r="BI12" s="72">
        <f t="shared" si="25"/>
        <v>11.0158449158309</v>
      </c>
      <c r="BJ12" s="72">
        <f t="shared" si="43"/>
        <v>1.61408392936931</v>
      </c>
      <c r="BK12" s="73">
        <f t="shared" si="26"/>
        <v>0.513623413989007</v>
      </c>
      <c r="BL12" s="72">
        <f t="shared" si="44"/>
        <v>24.3887841180244</v>
      </c>
      <c r="BM12" s="74"/>
    </row>
    <row r="13" ht="25" customHeight="1" spans="1:65">
      <c r="A13" s="54">
        <v>11</v>
      </c>
      <c r="B13" s="55">
        <v>0.839488626875709</v>
      </c>
      <c r="C13" s="55">
        <v>-33.3288531850998</v>
      </c>
      <c r="D13" s="55">
        <v>7.6070861687787</v>
      </c>
      <c r="E13" s="55">
        <v>1.41311904509994</v>
      </c>
      <c r="F13" s="56">
        <v>1</v>
      </c>
      <c r="G13" s="57">
        <f t="shared" si="0"/>
        <v>8.36637353682585e-5</v>
      </c>
      <c r="H13" s="57">
        <f t="shared" si="1"/>
        <v>0.000333333333333333</v>
      </c>
      <c r="I13" s="58">
        <f t="shared" si="2"/>
        <v>0.0575179033849927</v>
      </c>
      <c r="J13" s="58"/>
      <c r="K13" s="58">
        <f t="shared" si="3"/>
        <v>9.84498632192932</v>
      </c>
      <c r="L13" s="57">
        <f t="shared" si="4"/>
        <v>0.000858448830208204</v>
      </c>
      <c r="M13" s="57">
        <f t="shared" si="5"/>
        <v>0.000593342965993863</v>
      </c>
      <c r="N13" s="57">
        <f t="shared" si="6"/>
        <v>0.595117920350521</v>
      </c>
      <c r="O13" s="59">
        <v>0.0302</v>
      </c>
      <c r="P13" s="60">
        <f t="shared" si="7"/>
        <v>0.0302</v>
      </c>
      <c r="Q13" s="61">
        <v>1000</v>
      </c>
      <c r="R13" s="59">
        <v>1.1616</v>
      </c>
      <c r="S13" s="59">
        <v>9.801</v>
      </c>
      <c r="T13" s="62">
        <v>4e-6</v>
      </c>
      <c r="U13" s="63">
        <v>1e-6</v>
      </c>
      <c r="V13" s="63">
        <f t="shared" si="27"/>
        <v>4e-6</v>
      </c>
      <c r="W13" s="64">
        <v>0.001147</v>
      </c>
      <c r="X13" s="64">
        <v>1.85e-5</v>
      </c>
      <c r="Y13" s="65">
        <f t="shared" si="8"/>
        <v>-5.65958877247721</v>
      </c>
      <c r="Z13" s="66">
        <f t="shared" si="9"/>
        <v>0.00141311904509994</v>
      </c>
      <c r="AA13" s="65">
        <f t="shared" si="10"/>
        <v>33.8807927958034</v>
      </c>
      <c r="AB13" s="65">
        <f t="shared" si="11"/>
        <v>65.9525263249546</v>
      </c>
      <c r="AC13" s="65">
        <f t="shared" si="12"/>
        <v>2.59227419530496</v>
      </c>
      <c r="AD13" s="67">
        <f t="shared" si="28"/>
        <v>25.4419561188417</v>
      </c>
      <c r="AE13" s="67">
        <f t="shared" si="29"/>
        <v>0.166709406784696</v>
      </c>
      <c r="AF13" s="67">
        <f t="shared" si="30"/>
        <v>0.00642624657990283</v>
      </c>
      <c r="AG13" s="67">
        <f t="shared" si="31"/>
        <v>1.50420582845749</v>
      </c>
      <c r="AH13" s="67">
        <f t="shared" si="32"/>
        <v>0.113731907006905</v>
      </c>
      <c r="AI13" s="67">
        <f t="shared" si="33"/>
        <v>0.805055804048489</v>
      </c>
      <c r="AJ13" s="67">
        <f t="shared" si="34"/>
        <v>0.0602416496433366</v>
      </c>
      <c r="AK13" s="67">
        <f t="shared" si="35"/>
        <v>0.696523087303548</v>
      </c>
      <c r="AL13" s="67">
        <f t="shared" si="36"/>
        <v>0.00228199730700396</v>
      </c>
      <c r="AM13" s="67">
        <f t="shared" si="37"/>
        <v>4.23593732162895</v>
      </c>
      <c r="AN13" s="67">
        <f t="shared" si="38"/>
        <v>-574.110624850226</v>
      </c>
      <c r="AO13" s="67">
        <f t="shared" si="39"/>
        <v>-0.000100997113656941</v>
      </c>
      <c r="AP13" s="63">
        <f t="shared" si="13"/>
        <v>181.511054459613</v>
      </c>
      <c r="AQ13" s="68">
        <f t="shared" si="14"/>
        <v>-298.714496418609</v>
      </c>
      <c r="AR13" s="69">
        <f t="shared" si="15"/>
        <v>283.79213939661</v>
      </c>
      <c r="AS13" s="69"/>
      <c r="AT13" s="69">
        <f t="shared" si="16"/>
        <v>0.031883889239286</v>
      </c>
      <c r="AU13" s="69">
        <f t="shared" si="17"/>
        <v>8.95527407962152e-5</v>
      </c>
      <c r="AV13" s="65">
        <f t="shared" si="18"/>
        <v>0.00966639756059482</v>
      </c>
      <c r="AW13" s="68">
        <v>16.283</v>
      </c>
      <c r="AX13" s="68">
        <f t="shared" si="19"/>
        <v>1.6844951697805</v>
      </c>
      <c r="AY13" s="68">
        <f t="shared" si="20"/>
        <v>11.9573337824558</v>
      </c>
      <c r="AZ13" s="68">
        <f t="shared" si="21"/>
        <v>16.9161957310409</v>
      </c>
      <c r="BA13" s="71">
        <f t="shared" si="40"/>
        <v>0.0222090797174614</v>
      </c>
      <c r="BB13" s="71"/>
      <c r="BC13" s="65"/>
      <c r="BD13" s="65">
        <f t="shared" si="41"/>
        <v>0.00327626944260852</v>
      </c>
      <c r="BE13" s="65">
        <f t="shared" si="42"/>
        <v>2.95042814088531</v>
      </c>
      <c r="BF13" s="65">
        <f t="shared" si="22"/>
        <v>1.15743968655727</v>
      </c>
      <c r="BG13" s="69">
        <f t="shared" si="23"/>
        <v>0.00835153457485714</v>
      </c>
      <c r="BH13" s="69">
        <f t="shared" si="24"/>
        <v>4.1650910152266e-6</v>
      </c>
      <c r="BI13" s="72">
        <f t="shared" si="25"/>
        <v>11.1767721794378</v>
      </c>
      <c r="BJ13" s="72">
        <f t="shared" si="43"/>
        <v>0.479324862305828</v>
      </c>
      <c r="BK13" s="73">
        <f t="shared" si="26"/>
        <v>0.148826014048778</v>
      </c>
      <c r="BL13" s="72">
        <f t="shared" si="44"/>
        <v>71.1370747155645</v>
      </c>
      <c r="BM13" s="74"/>
    </row>
    <row r="14" ht="25" customHeight="1" spans="1:65">
      <c r="A14" s="54">
        <v>23</v>
      </c>
      <c r="B14" s="55">
        <v>0.515224834674623</v>
      </c>
      <c r="C14" s="55">
        <v>-29.9789765760212</v>
      </c>
      <c r="D14" s="55">
        <v>9.57244412355886</v>
      </c>
      <c r="E14" s="55">
        <v>1.12748012513518</v>
      </c>
      <c r="F14" s="56">
        <v>1</v>
      </c>
      <c r="G14" s="57">
        <f t="shared" si="0"/>
        <v>8.36637353682585e-5</v>
      </c>
      <c r="H14" s="57">
        <f t="shared" si="1"/>
        <v>0.000333333333333333</v>
      </c>
      <c r="I14" s="58">
        <f t="shared" si="2"/>
        <v>0.0456416386691082</v>
      </c>
      <c r="J14" s="58"/>
      <c r="K14" s="58">
        <f t="shared" si="3"/>
        <v>3.80728736665975</v>
      </c>
      <c r="L14" s="57">
        <f t="shared" si="4"/>
        <v>0.000766795377038458</v>
      </c>
      <c r="M14" s="57">
        <f t="shared" si="5"/>
        <v>0.00127969660787076</v>
      </c>
      <c r="N14" s="57">
        <f t="shared" si="6"/>
        <v>0.319161052005455</v>
      </c>
      <c r="O14" s="59">
        <v>0.0302</v>
      </c>
      <c r="P14" s="60">
        <f t="shared" si="7"/>
        <v>0.0302</v>
      </c>
      <c r="Q14" s="61">
        <v>1000</v>
      </c>
      <c r="R14" s="59">
        <v>1.1616</v>
      </c>
      <c r="S14" s="59">
        <v>9.801</v>
      </c>
      <c r="T14" s="62">
        <v>4e-6</v>
      </c>
      <c r="U14" s="63">
        <v>1e-6</v>
      </c>
      <c r="V14" s="63">
        <f t="shared" si="27"/>
        <v>4e-6</v>
      </c>
      <c r="W14" s="64">
        <v>0.001147</v>
      </c>
      <c r="X14" s="64">
        <v>1.85e-5</v>
      </c>
      <c r="Y14" s="65">
        <f t="shared" si="8"/>
        <v>-3.05364040895076</v>
      </c>
      <c r="Z14" s="66">
        <f t="shared" si="9"/>
        <v>0.00112748012513518</v>
      </c>
      <c r="AA14" s="65">
        <f t="shared" si="10"/>
        <v>11.4911636220944</v>
      </c>
      <c r="AB14" s="65">
        <f t="shared" si="11"/>
        <v>19.8209983251457</v>
      </c>
      <c r="AC14" s="65">
        <f t="shared" si="12"/>
        <v>1.65021764909484</v>
      </c>
      <c r="AD14" s="67">
        <f t="shared" si="28"/>
        <v>12.0111418854463</v>
      </c>
      <c r="AE14" s="67">
        <f t="shared" si="29"/>
        <v>0.133011824781915</v>
      </c>
      <c r="AF14" s="67">
        <f t="shared" si="30"/>
        <v>0.0106314696132287</v>
      </c>
      <c r="AG14" s="67">
        <f t="shared" si="31"/>
        <v>0.647987411393893</v>
      </c>
      <c r="AH14" s="67">
        <f t="shared" si="32"/>
        <v>0.0994459184339923</v>
      </c>
      <c r="AI14" s="67">
        <f t="shared" si="33"/>
        <v>0.827074420704892</v>
      </c>
      <c r="AJ14" s="67">
        <f t="shared" si="34"/>
        <v>0.124270110214426</v>
      </c>
      <c r="AK14" s="67">
        <f t="shared" si="35"/>
        <v>0.735450498376656</v>
      </c>
      <c r="AL14" s="67">
        <f t="shared" si="36"/>
        <v>0.00407220286625617</v>
      </c>
      <c r="AM14" s="67">
        <f t="shared" si="37"/>
        <v>1.69172772090366</v>
      </c>
      <c r="AN14" s="67">
        <f t="shared" si="38"/>
        <v>-0.784158953063233</v>
      </c>
      <c r="AO14" s="67">
        <f t="shared" si="39"/>
        <v>-0.0660488885949242</v>
      </c>
      <c r="AP14" s="63">
        <f t="shared" si="13"/>
        <v>111.399964253973</v>
      </c>
      <c r="AQ14" s="68">
        <f t="shared" si="14"/>
        <v>-7.46196760634825</v>
      </c>
      <c r="AR14" s="69">
        <f t="shared" si="15"/>
        <v>753.418740379447</v>
      </c>
      <c r="AS14" s="69"/>
      <c r="AT14" s="69">
        <f t="shared" si="16"/>
        <v>0.0195683074626421</v>
      </c>
      <c r="AU14" s="69">
        <f t="shared" si="17"/>
        <v>0.000100256793246934</v>
      </c>
      <c r="AV14" s="65">
        <f t="shared" si="18"/>
        <v>0.00688905847398889</v>
      </c>
      <c r="AW14" s="68">
        <v>10.619</v>
      </c>
      <c r="AX14" s="68">
        <f t="shared" si="19"/>
        <v>1.54142979626233</v>
      </c>
      <c r="AY14" s="68">
        <f t="shared" si="20"/>
        <v>8.52176533232426</v>
      </c>
      <c r="AZ14" s="68">
        <f t="shared" si="21"/>
        <v>12.0558523294806</v>
      </c>
      <c r="BA14" s="71">
        <f t="shared" si="40"/>
        <v>0.0248636847252396</v>
      </c>
      <c r="BB14" s="71"/>
      <c r="BC14" s="65"/>
      <c r="BD14" s="65">
        <f t="shared" si="41"/>
        <v>0.00553701829728127</v>
      </c>
      <c r="BE14" s="65">
        <f t="shared" si="42"/>
        <v>1.2441819954562</v>
      </c>
      <c r="BF14" s="65">
        <f t="shared" si="22"/>
        <v>1.56071952067362</v>
      </c>
      <c r="BG14" s="69">
        <f t="shared" si="23"/>
        <v>0.00441402723726781</v>
      </c>
      <c r="BH14" s="69">
        <f t="shared" si="24"/>
        <v>7.96854217899883e-7</v>
      </c>
      <c r="BI14" s="72">
        <f t="shared" si="25"/>
        <v>7.96547386054966</v>
      </c>
      <c r="BJ14" s="72">
        <f t="shared" si="43"/>
        <v>1.13666133052709</v>
      </c>
      <c r="BK14" s="73">
        <f t="shared" si="26"/>
        <v>0.590261121558533</v>
      </c>
      <c r="BL14" s="72">
        <f t="shared" si="44"/>
        <v>23.1214336233354</v>
      </c>
      <c r="BM14" s="74"/>
    </row>
    <row r="15" ht="25" customHeight="1" spans="1:65">
      <c r="A15" s="54">
        <v>34</v>
      </c>
      <c r="B15" s="55">
        <v>0.413764589074592</v>
      </c>
      <c r="C15" s="55">
        <v>-22.4763455062503</v>
      </c>
      <c r="D15" s="55">
        <v>10.1814417080287</v>
      </c>
      <c r="E15" s="55">
        <v>1.12344815011812</v>
      </c>
      <c r="F15" s="56">
        <v>1</v>
      </c>
      <c r="G15" s="57">
        <f t="shared" si="0"/>
        <v>8.36637353682585e-5</v>
      </c>
      <c r="H15" s="57">
        <f t="shared" si="1"/>
        <v>0.000333333333333333</v>
      </c>
      <c r="I15" s="58">
        <f t="shared" si="2"/>
        <v>0.0368049303133325</v>
      </c>
      <c r="J15" s="58"/>
      <c r="K15" s="58">
        <f t="shared" si="3"/>
        <v>2.45655467907236</v>
      </c>
      <c r="L15" s="57">
        <f t="shared" si="4"/>
        <v>0.000765423082866653</v>
      </c>
      <c r="M15" s="57">
        <f t="shared" si="5"/>
        <v>0.00197776498658288</v>
      </c>
      <c r="N15" s="57">
        <f t="shared" si="6"/>
        <v>0.206998702536703</v>
      </c>
      <c r="O15" s="59">
        <v>0.0302</v>
      </c>
      <c r="P15" s="60">
        <f t="shared" si="7"/>
        <v>0.0302</v>
      </c>
      <c r="Q15" s="61">
        <v>1000</v>
      </c>
      <c r="R15" s="59">
        <v>1.1616</v>
      </c>
      <c r="S15" s="59">
        <v>9.801</v>
      </c>
      <c r="T15" s="62">
        <v>4e-6</v>
      </c>
      <c r="U15" s="63">
        <v>1e-6</v>
      </c>
      <c r="V15" s="63">
        <f t="shared" si="27"/>
        <v>4e-6</v>
      </c>
      <c r="W15" s="64">
        <v>0.001147</v>
      </c>
      <c r="X15" s="64">
        <v>1.85e-5</v>
      </c>
      <c r="Y15" s="65">
        <f t="shared" si="8"/>
        <v>-1.84450012998403</v>
      </c>
      <c r="Z15" s="66">
        <f t="shared" si="9"/>
        <v>0.00112344815011812</v>
      </c>
      <c r="AA15" s="65">
        <f t="shared" si="10"/>
        <v>6.68711188440703</v>
      </c>
      <c r="AB15" s="65">
        <f t="shared" si="11"/>
        <v>12.7374568614026</v>
      </c>
      <c r="AC15" s="65">
        <f t="shared" si="12"/>
        <v>1.6384360856402</v>
      </c>
      <c r="AD15" s="67">
        <f t="shared" si="28"/>
        <v>7.77415547242762</v>
      </c>
      <c r="AE15" s="67">
        <f t="shared" si="29"/>
        <v>0.132536161980826</v>
      </c>
      <c r="AF15" s="67">
        <f t="shared" si="30"/>
        <v>0.0160180893896039</v>
      </c>
      <c r="AG15" s="67">
        <f t="shared" si="31"/>
        <v>0.427774966333123</v>
      </c>
      <c r="AH15" s="67">
        <f t="shared" si="32"/>
        <v>0.0971518844391379</v>
      </c>
      <c r="AI15" s="67">
        <f t="shared" si="33"/>
        <v>0.849892526223708</v>
      </c>
      <c r="AJ15" s="67">
        <f t="shared" si="34"/>
        <v>0.187015269774109</v>
      </c>
      <c r="AK15" s="67">
        <f t="shared" si="35"/>
        <v>0.882880663802017</v>
      </c>
      <c r="AL15" s="67">
        <f t="shared" si="36"/>
        <v>0.00752580875713203</v>
      </c>
      <c r="AM15" s="67">
        <f t="shared" si="37"/>
        <v>0.910485220989062</v>
      </c>
      <c r="AN15" s="67">
        <f t="shared" si="38"/>
        <v>0.180376832468722</v>
      </c>
      <c r="AO15" s="67">
        <f t="shared" si="39"/>
        <v>0.286622930838206</v>
      </c>
      <c r="AP15" s="63">
        <f t="shared" si="13"/>
        <v>89.4626138539658</v>
      </c>
      <c r="AQ15" s="68">
        <f t="shared" si="14"/>
        <v>7.95335613996153</v>
      </c>
      <c r="AR15" s="69">
        <f t="shared" si="15"/>
        <v>1168.21655299768</v>
      </c>
      <c r="AS15" s="69"/>
      <c r="AT15" s="69">
        <f t="shared" si="16"/>
        <v>0.0157148338963098</v>
      </c>
      <c r="AU15" s="69">
        <f t="shared" si="17"/>
        <v>0.000100436539345708</v>
      </c>
      <c r="AV15" s="65">
        <f t="shared" si="18"/>
        <v>0.00685213764935877</v>
      </c>
      <c r="AW15" s="68">
        <v>10.545</v>
      </c>
      <c r="AX15" s="68">
        <f t="shared" si="19"/>
        <v>1.53893580946769</v>
      </c>
      <c r="AY15" s="68">
        <f t="shared" si="20"/>
        <v>8.4760942722568</v>
      </c>
      <c r="AZ15" s="68">
        <f t="shared" si="21"/>
        <v>11.9912408863779</v>
      </c>
      <c r="BA15" s="71">
        <f t="shared" si="40"/>
        <v>0.0249082617577355</v>
      </c>
      <c r="BB15" s="71"/>
      <c r="BC15" s="65"/>
      <c r="BD15" s="65">
        <f t="shared" si="41"/>
        <v>0.00852415175197412</v>
      </c>
      <c r="BE15" s="65">
        <f t="shared" si="42"/>
        <v>0.803849796288749</v>
      </c>
      <c r="BF15" s="65">
        <f t="shared" si="22"/>
        <v>2.39411062927036</v>
      </c>
      <c r="BG15" s="69">
        <f t="shared" si="23"/>
        <v>0.00286208062634393</v>
      </c>
      <c r="BH15" s="69">
        <f t="shared" si="24"/>
        <v>5.08422022621902e-7</v>
      </c>
      <c r="BI15" s="72">
        <f t="shared" si="25"/>
        <v>7.92278415707108</v>
      </c>
      <c r="BJ15" s="72">
        <f t="shared" si="43"/>
        <v>1.75930076601661</v>
      </c>
      <c r="BK15" s="73">
        <f t="shared" si="26"/>
        <v>0.920366440199168</v>
      </c>
      <c r="BL15" s="72">
        <f t="shared" si="44"/>
        <v>16.014329032683</v>
      </c>
      <c r="BM15" s="74"/>
    </row>
    <row r="16" ht="25" customHeight="1" spans="1:65">
      <c r="A16" s="54">
        <v>35</v>
      </c>
      <c r="B16" s="55">
        <v>0.39823539947186</v>
      </c>
      <c r="C16" s="55">
        <v>-22.7517607063105</v>
      </c>
      <c r="D16" s="55">
        <v>10.0744543592977</v>
      </c>
      <c r="E16" s="55">
        <v>1.12528803677558</v>
      </c>
      <c r="F16" s="56">
        <v>1</v>
      </c>
      <c r="G16" s="57">
        <f t="shared" si="0"/>
        <v>8.36637353682585e-5</v>
      </c>
      <c r="H16" s="57">
        <f t="shared" si="1"/>
        <v>0.000333333333333333</v>
      </c>
      <c r="I16" s="58">
        <f t="shared" si="2"/>
        <v>0.0353570203221665</v>
      </c>
      <c r="J16" s="58"/>
      <c r="K16" s="58">
        <f t="shared" si="3"/>
        <v>2.27514533494251</v>
      </c>
      <c r="L16" s="57">
        <f t="shared" si="4"/>
        <v>0.000766049598471429</v>
      </c>
      <c r="M16" s="57">
        <f t="shared" si="5"/>
        <v>0.00213820739921697</v>
      </c>
      <c r="N16" s="57">
        <f t="shared" si="6"/>
        <v>0.191259940524074</v>
      </c>
      <c r="O16" s="59">
        <v>0.0302</v>
      </c>
      <c r="P16" s="60">
        <f t="shared" si="7"/>
        <v>0.0302</v>
      </c>
      <c r="Q16" s="61">
        <v>1000</v>
      </c>
      <c r="R16" s="59">
        <v>1.1616</v>
      </c>
      <c r="S16" s="59">
        <v>9.801</v>
      </c>
      <c r="T16" s="62">
        <v>4e-6</v>
      </c>
      <c r="U16" s="63">
        <v>1e-6</v>
      </c>
      <c r="V16" s="63">
        <f t="shared" si="27"/>
        <v>4e-6</v>
      </c>
      <c r="W16" s="64">
        <v>0.001147</v>
      </c>
      <c r="X16" s="64">
        <v>1.85e-5</v>
      </c>
      <c r="Y16" s="65">
        <f t="shared" si="8"/>
        <v>-1.90826863293298</v>
      </c>
      <c r="Z16" s="66">
        <f t="shared" si="9"/>
        <v>0.00112528803677558</v>
      </c>
      <c r="AA16" s="65">
        <f t="shared" si="10"/>
        <v>6.04441556536758</v>
      </c>
      <c r="AB16" s="65">
        <f t="shared" si="11"/>
        <v>11.8186121014361</v>
      </c>
      <c r="AC16" s="65">
        <f t="shared" si="12"/>
        <v>1.64380705922199</v>
      </c>
      <c r="AD16" s="67">
        <f t="shared" si="28"/>
        <v>7.18978059811337</v>
      </c>
      <c r="AE16" s="67">
        <f t="shared" si="29"/>
        <v>0.132753218296272</v>
      </c>
      <c r="AF16" s="67">
        <f t="shared" si="30"/>
        <v>0.0172635898518148</v>
      </c>
      <c r="AG16" s="67">
        <f t="shared" si="31"/>
        <v>0.397888119441966</v>
      </c>
      <c r="AH16" s="67">
        <f t="shared" si="32"/>
        <v>0.0967561785822384</v>
      </c>
      <c r="AI16" s="67">
        <f t="shared" si="33"/>
        <v>0.855167508065723</v>
      </c>
      <c r="AJ16" s="67">
        <f t="shared" si="34"/>
        <v>0.201022215836245</v>
      </c>
      <c r="AK16" s="67">
        <f t="shared" si="35"/>
        <v>0.87024448689218</v>
      </c>
      <c r="AL16" s="67">
        <f t="shared" si="36"/>
        <v>0.00803416423929821</v>
      </c>
      <c r="AM16" s="67">
        <f t="shared" si="37"/>
        <v>0.854970983460504</v>
      </c>
      <c r="AN16" s="67">
        <f t="shared" si="38"/>
        <v>0.190888917779542</v>
      </c>
      <c r="AO16" s="67">
        <f t="shared" si="39"/>
        <v>0.271060544931168</v>
      </c>
      <c r="AP16" s="63">
        <f t="shared" si="13"/>
        <v>86.1049512371589</v>
      </c>
      <c r="AQ16" s="68">
        <f t="shared" si="14"/>
        <v>5.31302157330274</v>
      </c>
      <c r="AR16" s="69">
        <f t="shared" si="15"/>
        <v>1261.10216498897</v>
      </c>
      <c r="AS16" s="69"/>
      <c r="AT16" s="69">
        <f t="shared" si="16"/>
        <v>0.0151250332183518</v>
      </c>
      <c r="AU16" s="69">
        <f t="shared" si="17"/>
        <v>0.000100354397067564</v>
      </c>
      <c r="AV16" s="65">
        <f t="shared" si="18"/>
        <v>0.006868977300956</v>
      </c>
      <c r="AW16" s="68">
        <v>10.236</v>
      </c>
      <c r="AX16" s="68">
        <f t="shared" si="19"/>
        <v>1.49017816648999</v>
      </c>
      <c r="AY16" s="68">
        <f t="shared" si="20"/>
        <v>8.49692492128257</v>
      </c>
      <c r="AZ16" s="68">
        <f t="shared" si="21"/>
        <v>12.020710276673</v>
      </c>
      <c r="BA16" s="71">
        <f t="shared" si="40"/>
        <v>0.0248878904727558</v>
      </c>
      <c r="BB16" s="71"/>
      <c r="BC16" s="65"/>
      <c r="BD16" s="65">
        <f t="shared" si="41"/>
        <v>0.00923207714649229</v>
      </c>
      <c r="BE16" s="65">
        <f t="shared" si="42"/>
        <v>0.744033784809289</v>
      </c>
      <c r="BF16" s="65">
        <f t="shared" si="22"/>
        <v>2.59718649188425</v>
      </c>
      <c r="BG16" s="69">
        <f t="shared" si="23"/>
        <v>0.00264477630790871</v>
      </c>
      <c r="BH16" s="69">
        <f t="shared" si="24"/>
        <v>4.73292304856492e-7</v>
      </c>
      <c r="BI16" s="72">
        <f t="shared" si="25"/>
        <v>7.94225500423038</v>
      </c>
      <c r="BJ16" s="72">
        <f t="shared" si="43"/>
        <v>1.90073836866909</v>
      </c>
      <c r="BK16" s="73">
        <f t="shared" si="26"/>
        <v>0.9910119547906</v>
      </c>
      <c r="BL16" s="72">
        <f t="shared" si="44"/>
        <v>15.1062262198801</v>
      </c>
      <c r="BM16" s="74"/>
    </row>
    <row r="17" ht="25" customHeight="1" spans="1:65">
      <c r="A17" s="54">
        <v>36</v>
      </c>
      <c r="B17" s="55">
        <v>0.351669338204214</v>
      </c>
      <c r="C17" s="55">
        <v>-21.1230303559552</v>
      </c>
      <c r="D17" s="55">
        <v>10.1389246156869</v>
      </c>
      <c r="E17" s="55">
        <v>1.13200164611805</v>
      </c>
      <c r="F17" s="56">
        <v>1</v>
      </c>
      <c r="G17" s="57">
        <f t="shared" si="0"/>
        <v>8.36637353682585e-5</v>
      </c>
      <c r="H17" s="57">
        <f t="shared" si="1"/>
        <v>0.000333333333333333</v>
      </c>
      <c r="I17" s="58">
        <f t="shared" si="2"/>
        <v>0.0310100070007248</v>
      </c>
      <c r="J17" s="58"/>
      <c r="K17" s="58">
        <f t="shared" si="3"/>
        <v>1.77284526607401</v>
      </c>
      <c r="L17" s="57">
        <f t="shared" si="4"/>
        <v>0.00076833137410955</v>
      </c>
      <c r="M17" s="57">
        <f t="shared" si="5"/>
        <v>0.00275687854345832</v>
      </c>
      <c r="N17" s="57">
        <f t="shared" si="6"/>
        <v>0.147759224854633</v>
      </c>
      <c r="O17" s="59">
        <v>0.0302</v>
      </c>
      <c r="P17" s="60">
        <f t="shared" si="7"/>
        <v>0.0302</v>
      </c>
      <c r="Q17" s="61">
        <v>1000</v>
      </c>
      <c r="R17" s="59">
        <v>1.1616</v>
      </c>
      <c r="S17" s="59">
        <v>9.801</v>
      </c>
      <c r="T17" s="62">
        <v>4e-6</v>
      </c>
      <c r="U17" s="63">
        <v>1e-6</v>
      </c>
      <c r="V17" s="63">
        <f t="shared" si="27"/>
        <v>4e-6</v>
      </c>
      <c r="W17" s="64">
        <v>0.001147</v>
      </c>
      <c r="X17" s="64">
        <v>1.85e-5</v>
      </c>
      <c r="Y17" s="65">
        <f t="shared" si="8"/>
        <v>-1.68971151338025</v>
      </c>
      <c r="Z17" s="66">
        <f t="shared" si="9"/>
        <v>0.00113200164611805</v>
      </c>
      <c r="AA17" s="65">
        <f t="shared" si="10"/>
        <v>4.26459344714525</v>
      </c>
      <c r="AB17" s="65">
        <f t="shared" si="11"/>
        <v>9.27126766249949</v>
      </c>
      <c r="AC17" s="65">
        <f t="shared" si="12"/>
        <v>1.66347988748394</v>
      </c>
      <c r="AD17" s="67">
        <f t="shared" si="28"/>
        <v>5.57341734772792</v>
      </c>
      <c r="AE17" s="67">
        <f t="shared" si="29"/>
        <v>0.133545240620753</v>
      </c>
      <c r="AF17" s="67">
        <f t="shared" si="30"/>
        <v>0.0219884840732561</v>
      </c>
      <c r="AG17" s="67">
        <f t="shared" si="31"/>
        <v>0.315189562049516</v>
      </c>
      <c r="AH17" s="67">
        <f t="shared" si="32"/>
        <v>0.0952482787628058</v>
      </c>
      <c r="AI17" s="67">
        <f t="shared" si="33"/>
        <v>0.875598181726309</v>
      </c>
      <c r="AJ17" s="67">
        <f t="shared" si="34"/>
        <v>0.253584427158041</v>
      </c>
      <c r="AK17" s="67">
        <f t="shared" si="35"/>
        <v>0.895814667957215</v>
      </c>
      <c r="AL17" s="67">
        <f t="shared" si="36"/>
        <v>0.0107323548480283</v>
      </c>
      <c r="AM17" s="67">
        <f t="shared" si="37"/>
        <v>0.64576141614024</v>
      </c>
      <c r="AN17" s="67">
        <f t="shared" si="38"/>
        <v>0.260151054818393</v>
      </c>
      <c r="AO17" s="67">
        <f t="shared" si="39"/>
        <v>0.199486315963662</v>
      </c>
      <c r="AP17" s="63">
        <f t="shared" si="13"/>
        <v>76.036613665776</v>
      </c>
      <c r="AQ17" s="68">
        <f t="shared" si="14"/>
        <v>5.18122621067381</v>
      </c>
      <c r="AR17" s="69">
        <f t="shared" si="15"/>
        <v>1617.18977729197</v>
      </c>
      <c r="AS17" s="69"/>
      <c r="AT17" s="69">
        <f t="shared" si="16"/>
        <v>0.0133564480437163</v>
      </c>
      <c r="AU17" s="69">
        <f t="shared" si="17"/>
        <v>0.00010005636652225</v>
      </c>
      <c r="AV17" s="65">
        <f t="shared" si="18"/>
        <v>0.00693054066518234</v>
      </c>
      <c r="AW17" s="68">
        <v>10.505</v>
      </c>
      <c r="AX17" s="68">
        <f t="shared" si="19"/>
        <v>1.51575475962143</v>
      </c>
      <c r="AY17" s="68">
        <f t="shared" si="20"/>
        <v>8.57307880283055</v>
      </c>
      <c r="AZ17" s="68">
        <f t="shared" si="21"/>
        <v>12.1284461640691</v>
      </c>
      <c r="BA17" s="71">
        <f t="shared" si="40"/>
        <v>0.0248139788975181</v>
      </c>
      <c r="BB17" s="71"/>
      <c r="BC17" s="65"/>
      <c r="BD17" s="65">
        <f t="shared" si="41"/>
        <v>0.0119805527101962</v>
      </c>
      <c r="BE17" s="65">
        <f t="shared" si="42"/>
        <v>0.57848254857925</v>
      </c>
      <c r="BF17" s="65">
        <f t="shared" si="22"/>
        <v>3.39050134733654</v>
      </c>
      <c r="BG17" s="69">
        <f t="shared" si="23"/>
        <v>0.0020441049730379</v>
      </c>
      <c r="BH17" s="69">
        <f t="shared" si="24"/>
        <v>3.75723878758349e-7</v>
      </c>
      <c r="BI17" s="72">
        <f t="shared" si="25"/>
        <v>8.01343764411708</v>
      </c>
      <c r="BJ17" s="72">
        <f t="shared" si="43"/>
        <v>2.44469529088889</v>
      </c>
      <c r="BK17" s="73">
        <f t="shared" si="26"/>
        <v>1.25905546576412</v>
      </c>
      <c r="BL17" s="72">
        <f t="shared" si="44"/>
        <v>12.5982274374674</v>
      </c>
      <c r="BM17" s="74"/>
    </row>
    <row r="18" ht="25" customHeight="1" spans="1:65">
      <c r="A18" s="54">
        <v>39</v>
      </c>
      <c r="B18" s="55">
        <v>0.34844810002651</v>
      </c>
      <c r="C18" s="55">
        <v>-21.4933309330614</v>
      </c>
      <c r="D18" s="55">
        <v>10.192037738067</v>
      </c>
      <c r="E18" s="55">
        <v>1.12992329148895</v>
      </c>
      <c r="F18" s="56">
        <v>1</v>
      </c>
      <c r="G18" s="57">
        <f t="shared" si="0"/>
        <v>8.36637353682585e-5</v>
      </c>
      <c r="H18" s="57">
        <f t="shared" si="1"/>
        <v>0.000333333333333333</v>
      </c>
      <c r="I18" s="58">
        <f t="shared" si="2"/>
        <v>0.0307908978115504</v>
      </c>
      <c r="J18" s="58"/>
      <c r="K18" s="58">
        <f t="shared" si="3"/>
        <v>1.74092105229327</v>
      </c>
      <c r="L18" s="57">
        <f t="shared" si="4"/>
        <v>0.000767625721998486</v>
      </c>
      <c r="M18" s="57">
        <f t="shared" si="5"/>
        <v>0.0028033810079273</v>
      </c>
      <c r="N18" s="57">
        <f t="shared" si="6"/>
        <v>0.145484117332185</v>
      </c>
      <c r="O18" s="59">
        <v>0.0302</v>
      </c>
      <c r="P18" s="60">
        <f t="shared" si="7"/>
        <v>0.0302</v>
      </c>
      <c r="Q18" s="61">
        <v>1000</v>
      </c>
      <c r="R18" s="59">
        <v>1.1616</v>
      </c>
      <c r="S18" s="59">
        <v>9.801</v>
      </c>
      <c r="T18" s="62">
        <v>4e-6</v>
      </c>
      <c r="U18" s="63">
        <v>1e-6</v>
      </c>
      <c r="V18" s="63">
        <f t="shared" si="27"/>
        <v>4e-6</v>
      </c>
      <c r="W18" s="64">
        <v>0.001147</v>
      </c>
      <c r="X18" s="64">
        <v>1.85e-5</v>
      </c>
      <c r="Y18" s="65">
        <f t="shared" si="8"/>
        <v>-1.74746721568073</v>
      </c>
      <c r="Z18" s="66">
        <f t="shared" si="9"/>
        <v>0.00112992329148895</v>
      </c>
      <c r="AA18" s="65">
        <f t="shared" si="10"/>
        <v>4.14964721774132</v>
      </c>
      <c r="AB18" s="65">
        <f t="shared" si="11"/>
        <v>9.08548708338167</v>
      </c>
      <c r="AC18" s="65">
        <f t="shared" si="12"/>
        <v>1.65737719790822</v>
      </c>
      <c r="AD18" s="67">
        <f t="shared" si="28"/>
        <v>5.48184631407293</v>
      </c>
      <c r="AE18" s="67">
        <f t="shared" si="29"/>
        <v>0.133300051605356</v>
      </c>
      <c r="AF18" s="67">
        <f t="shared" si="30"/>
        <v>0.0222840983546759</v>
      </c>
      <c r="AG18" s="67">
        <f t="shared" si="31"/>
        <v>0.31015222663607</v>
      </c>
      <c r="AH18" s="67">
        <f t="shared" si="32"/>
        <v>0.0950301145901484</v>
      </c>
      <c r="AI18" s="67">
        <f t="shared" si="33"/>
        <v>0.877121906836395</v>
      </c>
      <c r="AJ18" s="67">
        <f t="shared" si="34"/>
        <v>0.257399577947131</v>
      </c>
      <c r="AK18" s="67">
        <f t="shared" si="35"/>
        <v>0.883769408899967</v>
      </c>
      <c r="AL18" s="67">
        <f t="shared" si="36"/>
        <v>0.0107451487203472</v>
      </c>
      <c r="AM18" s="67">
        <f t="shared" si="37"/>
        <v>0.643217037116692</v>
      </c>
      <c r="AN18" s="67">
        <f t="shared" si="38"/>
        <v>0.265036623740735</v>
      </c>
      <c r="AO18" s="67">
        <f t="shared" si="39"/>
        <v>0.195629237398728</v>
      </c>
      <c r="AP18" s="63">
        <f t="shared" si="13"/>
        <v>75.3401297354616</v>
      </c>
      <c r="AQ18" s="68">
        <f t="shared" si="14"/>
        <v>5.86465401334791</v>
      </c>
      <c r="AR18" s="69">
        <f t="shared" si="15"/>
        <v>1647.22829641394</v>
      </c>
      <c r="AS18" s="69"/>
      <c r="AT18" s="69">
        <f t="shared" si="16"/>
        <v>0.0132341049910731</v>
      </c>
      <c r="AU18" s="69">
        <f t="shared" si="17"/>
        <v>0.000100148344922972</v>
      </c>
      <c r="AV18" s="65">
        <f t="shared" si="18"/>
        <v>0.00691146272327992</v>
      </c>
      <c r="AW18" s="68">
        <v>10.43</v>
      </c>
      <c r="AX18" s="68">
        <f t="shared" si="19"/>
        <v>1.50908721027585</v>
      </c>
      <c r="AY18" s="68">
        <f t="shared" si="20"/>
        <v>8.54947938869726</v>
      </c>
      <c r="AZ18" s="68">
        <f t="shared" si="21"/>
        <v>12.0950597657399</v>
      </c>
      <c r="BA18" s="71">
        <f t="shared" si="40"/>
        <v>0.0248367895408969</v>
      </c>
      <c r="BB18" s="71"/>
      <c r="BC18" s="65"/>
      <c r="BD18" s="65">
        <f t="shared" si="41"/>
        <v>0.0121583171041434</v>
      </c>
      <c r="BE18" s="65">
        <f t="shared" si="42"/>
        <v>0.568455540687007</v>
      </c>
      <c r="BF18" s="65">
        <f t="shared" si="22"/>
        <v>3.43449142032002</v>
      </c>
      <c r="BG18" s="69">
        <f t="shared" si="23"/>
        <v>0.00201236860933428</v>
      </c>
      <c r="BH18" s="69">
        <f t="shared" si="24"/>
        <v>3.66844234776734e-7</v>
      </c>
      <c r="BI18" s="72">
        <f t="shared" si="25"/>
        <v>7.9913787737924</v>
      </c>
      <c r="BJ18" s="72">
        <f t="shared" si="43"/>
        <v>2.48781735976035</v>
      </c>
      <c r="BK18" s="73">
        <f t="shared" si="26"/>
        <v>1.28614409958902</v>
      </c>
      <c r="BL18" s="72">
        <f t="shared" si="44"/>
        <v>12.4002414791981</v>
      </c>
      <c r="BM18" s="74"/>
    </row>
    <row r="19" ht="25" customHeight="1" spans="1:65">
      <c r="A19" s="54">
        <v>44</v>
      </c>
      <c r="B19" s="55">
        <v>0.18248599114776</v>
      </c>
      <c r="C19" s="55">
        <v>-14.2504330683497</v>
      </c>
      <c r="D19" s="55">
        <v>11.0154936145945</v>
      </c>
      <c r="E19" s="55">
        <v>1.75057525713118</v>
      </c>
      <c r="F19" s="56">
        <v>1</v>
      </c>
      <c r="G19" s="57">
        <f t="shared" si="0"/>
        <v>8.36637353682585e-5</v>
      </c>
      <c r="H19" s="57">
        <f t="shared" si="1"/>
        <v>0.000333333333333333</v>
      </c>
      <c r="I19" s="58">
        <f t="shared" si="2"/>
        <v>0.00984339140834744</v>
      </c>
      <c r="J19" s="58"/>
      <c r="K19" s="58">
        <f t="shared" si="3"/>
        <v>0.455533317814771</v>
      </c>
      <c r="L19" s="57">
        <f t="shared" si="4"/>
        <v>0.00095546642649772</v>
      </c>
      <c r="M19" s="57">
        <f t="shared" si="5"/>
        <v>0.0153363286211498</v>
      </c>
      <c r="N19" s="57">
        <f t="shared" si="6"/>
        <v>0.0201641374260595</v>
      </c>
      <c r="O19" s="59">
        <v>0.0302</v>
      </c>
      <c r="P19" s="60">
        <f t="shared" si="7"/>
        <v>0.0302</v>
      </c>
      <c r="Q19" s="61">
        <v>1000</v>
      </c>
      <c r="R19" s="59">
        <v>1.1616</v>
      </c>
      <c r="S19" s="59">
        <v>9.801</v>
      </c>
      <c r="T19" s="62">
        <v>4e-6</v>
      </c>
      <c r="U19" s="63">
        <v>1e-6</v>
      </c>
      <c r="V19" s="63">
        <f t="shared" si="27"/>
        <v>4e-6</v>
      </c>
      <c r="W19" s="64">
        <v>0.001147</v>
      </c>
      <c r="X19" s="64">
        <v>1.85e-5</v>
      </c>
      <c r="Y19" s="65">
        <f t="shared" si="8"/>
        <v>-1.6943806110218</v>
      </c>
      <c r="Z19" s="66">
        <f t="shared" si="9"/>
        <v>0.00175057525713118</v>
      </c>
      <c r="AA19" s="65">
        <f t="shared" si="10"/>
        <v>-0.34143032797246</v>
      </c>
      <c r="AB19" s="65">
        <f t="shared" si="11"/>
        <v>3.86067194738948</v>
      </c>
      <c r="AC19" s="65">
        <f t="shared" si="12"/>
        <v>3.97818530812634</v>
      </c>
      <c r="AD19" s="67">
        <f t="shared" si="28"/>
        <v>0.970460561377871</v>
      </c>
      <c r="AE19" s="67">
        <f t="shared" si="29"/>
        <v>0.206520012351589</v>
      </c>
      <c r="AF19" s="67">
        <f t="shared" si="30"/>
        <v>0.140445801659633</v>
      </c>
      <c r="AG19" s="67">
        <f t="shared" si="31"/>
        <v>0.0948984121509783</v>
      </c>
      <c r="AH19" s="67">
        <f t="shared" si="32"/>
        <v>0.0851844003031743</v>
      </c>
      <c r="AI19" s="67" t="e">
        <f t="shared" si="33"/>
        <v>#NUM!</v>
      </c>
      <c r="AJ19" s="67" t="e">
        <f t="shared" si="34"/>
        <v>#NUM!</v>
      </c>
      <c r="AK19" s="67" t="e">
        <f t="shared" si="35"/>
        <v>#NUM!</v>
      </c>
      <c r="AL19" s="67" t="e">
        <f t="shared" si="36"/>
        <v>#NUM!</v>
      </c>
      <c r="AM19" s="67" t="e">
        <f t="shared" si="37"/>
        <v>#NUM!</v>
      </c>
      <c r="AN19" s="67">
        <f t="shared" si="38"/>
        <v>1.04982609293703</v>
      </c>
      <c r="AO19" s="67">
        <f t="shared" si="39"/>
        <v>0.0614735370417059</v>
      </c>
      <c r="AP19" s="63">
        <f t="shared" si="13"/>
        <v>39.4564305184346</v>
      </c>
      <c r="AQ19" s="68">
        <f t="shared" si="14"/>
        <v>11.9912779294493</v>
      </c>
      <c r="AR19" s="69">
        <f t="shared" si="15"/>
        <v>6005.80094935257</v>
      </c>
      <c r="AS19" s="69"/>
      <c r="AT19" s="69">
        <f t="shared" si="16"/>
        <v>0.00693084211412188</v>
      </c>
      <c r="AU19" s="69">
        <f t="shared" si="17"/>
        <v>8.04595990465531e-5</v>
      </c>
      <c r="AV19" s="65">
        <f t="shared" si="18"/>
        <v>0.0133280835707704</v>
      </c>
      <c r="AW19" s="68">
        <v>20.909</v>
      </c>
      <c r="AX19" s="68">
        <f t="shared" si="19"/>
        <v>1.56879268418268</v>
      </c>
      <c r="AY19" s="68">
        <f t="shared" si="20"/>
        <v>16.486839377043</v>
      </c>
      <c r="AZ19" s="68">
        <f t="shared" si="21"/>
        <v>23.3241462488483</v>
      </c>
      <c r="BA19" s="71">
        <f t="shared" si="40"/>
        <v>0.0199539805635452</v>
      </c>
      <c r="BB19" s="71"/>
      <c r="BC19" s="65"/>
      <c r="BD19" s="65">
        <f t="shared" si="41"/>
        <v>0.106403093835349</v>
      </c>
      <c r="BE19" s="65">
        <f t="shared" si="42"/>
        <v>0.125260301090443</v>
      </c>
      <c r="BF19" s="65">
        <f t="shared" si="22"/>
        <v>46.5666558375921</v>
      </c>
      <c r="BG19" s="69">
        <f t="shared" si="23"/>
        <v>0.000286215175452024</v>
      </c>
      <c r="BH19" s="69">
        <f t="shared" si="24"/>
        <v>3.7416230508182e-7</v>
      </c>
      <c r="BI19" s="72">
        <f t="shared" si="25"/>
        <v>15.4105966287033</v>
      </c>
      <c r="BJ19" s="72">
        <f t="shared" si="43"/>
        <v>11.2901976928187</v>
      </c>
      <c r="BK19" s="73">
        <f t="shared" si="26"/>
        <v>1.82445685096608</v>
      </c>
      <c r="BL19" s="72">
        <f t="shared" si="44"/>
        <v>11.8170425636422</v>
      </c>
      <c r="BM19" s="74"/>
    </row>
    <row r="20" ht="25" customHeight="1" spans="1:65">
      <c r="A20" s="54">
        <v>45</v>
      </c>
      <c r="B20" s="55">
        <v>1.75763280241481</v>
      </c>
      <c r="C20" s="55">
        <v>-95.4574380371422</v>
      </c>
      <c r="D20" s="55">
        <v>9.04189162333139</v>
      </c>
      <c r="E20" s="55">
        <v>1.73275075410634</v>
      </c>
      <c r="F20" s="56">
        <v>1</v>
      </c>
      <c r="G20" s="57">
        <f t="shared" si="0"/>
        <v>8.36637353682585e-5</v>
      </c>
      <c r="H20" s="57">
        <f t="shared" si="1"/>
        <v>0.000333333333333333</v>
      </c>
      <c r="I20" s="58">
        <f t="shared" si="2"/>
        <v>0.095888767776451</v>
      </c>
      <c r="J20" s="58"/>
      <c r="K20" s="58">
        <f t="shared" si="3"/>
        <v>42.2978640576897</v>
      </c>
      <c r="L20" s="57">
        <f t="shared" si="4"/>
        <v>0.000950589661474662</v>
      </c>
      <c r="M20" s="57">
        <f t="shared" si="5"/>
        <v>0.000163737566859572</v>
      </c>
      <c r="N20" s="57">
        <f t="shared" si="6"/>
        <v>1.90046326897932</v>
      </c>
      <c r="O20" s="59">
        <v>0.0302</v>
      </c>
      <c r="P20" s="60">
        <f t="shared" si="7"/>
        <v>0.0302</v>
      </c>
      <c r="Q20" s="61">
        <v>1000</v>
      </c>
      <c r="R20" s="59">
        <v>1.1616</v>
      </c>
      <c r="S20" s="59">
        <v>9.801</v>
      </c>
      <c r="T20" s="62">
        <v>4e-6</v>
      </c>
      <c r="U20" s="63">
        <v>1e-6</v>
      </c>
      <c r="V20" s="63">
        <f t="shared" si="27"/>
        <v>4e-6</v>
      </c>
      <c r="W20" s="64">
        <v>0.001147</v>
      </c>
      <c r="X20" s="64">
        <v>1.85e-5</v>
      </c>
      <c r="Y20" s="65">
        <f t="shared" si="8"/>
        <v>-32.8745882567762</v>
      </c>
      <c r="Z20" s="66">
        <f t="shared" si="9"/>
        <v>0.00173275075410634</v>
      </c>
      <c r="AA20" s="65">
        <f t="shared" si="10"/>
        <v>155.416568202066</v>
      </c>
      <c r="AB20" s="65">
        <f t="shared" si="11"/>
        <v>354.499353538623</v>
      </c>
      <c r="AC20" s="65">
        <f t="shared" si="12"/>
        <v>3.8975853176908</v>
      </c>
      <c r="AD20" s="67">
        <f t="shared" si="28"/>
        <v>90.9535839868805</v>
      </c>
      <c r="AE20" s="67">
        <f t="shared" si="29"/>
        <v>0.204417208390517</v>
      </c>
      <c r="AF20" s="67">
        <f t="shared" si="30"/>
        <v>0.00223520172178098</v>
      </c>
      <c r="AG20" s="67">
        <f t="shared" si="31"/>
        <v>5.87197164829566</v>
      </c>
      <c r="AH20" s="67">
        <f t="shared" si="32"/>
        <v>0.127712175542715</v>
      </c>
      <c r="AI20" s="67">
        <f t="shared" si="33"/>
        <v>0.790895583643039</v>
      </c>
      <c r="AJ20" s="67">
        <f t="shared" si="34"/>
        <v>0.017150459631833</v>
      </c>
      <c r="AK20" s="67">
        <f t="shared" si="35"/>
        <v>0.290468376132686</v>
      </c>
      <c r="AL20" s="67">
        <f t="shared" si="36"/>
        <v>0.000326412286201581</v>
      </c>
      <c r="AM20" s="67">
        <f t="shared" si="37"/>
        <v>40.2100095289122</v>
      </c>
      <c r="AN20" s="67">
        <f t="shared" si="38"/>
        <v>-973491.32042453</v>
      </c>
      <c r="AO20" s="67">
        <f t="shared" si="39"/>
        <v>-6.59555181451193e-8</v>
      </c>
      <c r="AP20" s="63">
        <f t="shared" si="13"/>
        <v>380.028714035635</v>
      </c>
      <c r="AQ20" s="68">
        <f t="shared" si="14"/>
        <v>-681.211350148647</v>
      </c>
      <c r="AR20" s="69">
        <f t="shared" si="15"/>
        <v>64.74014941043</v>
      </c>
      <c r="AS20" s="69"/>
      <c r="AT20" s="69">
        <f t="shared" si="16"/>
        <v>0.0667551266347612</v>
      </c>
      <c r="AU20" s="69">
        <f t="shared" si="17"/>
        <v>8.08723771087411e-5</v>
      </c>
      <c r="AV20" s="65">
        <f t="shared" si="18"/>
        <v>0.0131250411385196</v>
      </c>
      <c r="AW20" s="68"/>
      <c r="AX20" s="68"/>
      <c r="AY20" s="68">
        <f t="shared" si="20"/>
        <v>16.2356758883487</v>
      </c>
      <c r="AZ20" s="68">
        <f t="shared" si="21"/>
        <v>22.9688219924093</v>
      </c>
      <c r="BA20" s="71">
        <f t="shared" si="40"/>
        <v>0.0200563495229678</v>
      </c>
      <c r="BB20" s="71"/>
      <c r="BC20" s="65"/>
      <c r="BD20" s="65">
        <f t="shared" si="41"/>
        <v>0.00112374465870417</v>
      </c>
      <c r="BE20" s="65">
        <f t="shared" si="42"/>
        <v>11.679736172143</v>
      </c>
      <c r="BF20" s="65">
        <f t="shared" si="22"/>
        <v>0.486792351198157</v>
      </c>
      <c r="BG20" s="69">
        <f t="shared" si="23"/>
        <v>0.0269622994408489</v>
      </c>
      <c r="BH20" s="69">
        <f t="shared" si="24"/>
        <v>3.36607045195473e-5</v>
      </c>
      <c r="BI20" s="72">
        <f t="shared" si="25"/>
        <v>15.1758288164133</v>
      </c>
      <c r="BJ20" s="72">
        <f t="shared" si="43"/>
        <v>0.121082663300743</v>
      </c>
      <c r="BK20" s="73">
        <f t="shared" si="26"/>
        <v>0.0203239562856733</v>
      </c>
      <c r="BL20" s="72">
        <f t="shared" si="44"/>
        <v>362.294524174004</v>
      </c>
      <c r="BM20" s="74"/>
    </row>
    <row r="21" ht="25" customHeight="1" spans="1:65">
      <c r="A21" s="54">
        <v>46</v>
      </c>
      <c r="B21" s="55">
        <v>0.368767369066553</v>
      </c>
      <c r="C21" s="55">
        <v>-9.5297995869277</v>
      </c>
      <c r="D21" s="55">
        <v>10.2311976738908</v>
      </c>
      <c r="E21" s="55">
        <v>1.90436999185702</v>
      </c>
      <c r="F21" s="56">
        <v>1</v>
      </c>
      <c r="G21" s="57">
        <f t="shared" si="0"/>
        <v>8.36637353682585e-5</v>
      </c>
      <c r="H21" s="57">
        <f t="shared" si="1"/>
        <v>0.000333333333333333</v>
      </c>
      <c r="I21" s="58">
        <f t="shared" si="2"/>
        <v>0.0181256713581543</v>
      </c>
      <c r="J21" s="58"/>
      <c r="K21" s="58">
        <f t="shared" si="3"/>
        <v>1.8466793858566</v>
      </c>
      <c r="L21" s="57">
        <f t="shared" si="4"/>
        <v>0.000996553693503585</v>
      </c>
      <c r="M21" s="57">
        <f t="shared" si="5"/>
        <v>0.00406559123690894</v>
      </c>
      <c r="N21" s="57">
        <f t="shared" si="6"/>
        <v>0.0722886245136612</v>
      </c>
      <c r="O21" s="59">
        <v>0.0302</v>
      </c>
      <c r="P21" s="60">
        <f t="shared" si="7"/>
        <v>0.0302</v>
      </c>
      <c r="Q21" s="61">
        <v>1000</v>
      </c>
      <c r="R21" s="59">
        <v>1.1616</v>
      </c>
      <c r="S21" s="59">
        <v>9.801</v>
      </c>
      <c r="T21" s="62">
        <v>4e-6</v>
      </c>
      <c r="U21" s="63">
        <v>1e-6</v>
      </c>
      <c r="V21" s="63">
        <f t="shared" si="27"/>
        <v>4e-6</v>
      </c>
      <c r="W21" s="64">
        <v>0.001147</v>
      </c>
      <c r="X21" s="64">
        <v>1.85e-5</v>
      </c>
      <c r="Y21" s="65">
        <f t="shared" si="8"/>
        <v>0.368092720605909</v>
      </c>
      <c r="Z21" s="66">
        <f t="shared" si="9"/>
        <v>0.00190436999185702</v>
      </c>
      <c r="AA21" s="65">
        <f t="shared" si="10"/>
        <v>4.89242469359161</v>
      </c>
      <c r="AB21" s="65">
        <f t="shared" si="11"/>
        <v>17.1506013362995</v>
      </c>
      <c r="AC21" s="65">
        <f t="shared" si="12"/>
        <v>4.70788771797932</v>
      </c>
      <c r="AD21" s="67">
        <f t="shared" si="28"/>
        <v>3.64295037683286</v>
      </c>
      <c r="AE21" s="67">
        <f t="shared" si="29"/>
        <v>0.224663585663165</v>
      </c>
      <c r="AF21" s="67">
        <f t="shared" si="30"/>
        <v>0.0542279209810166</v>
      </c>
      <c r="AG21" s="67">
        <f t="shared" si="31"/>
        <v>0.278869211143206</v>
      </c>
      <c r="AH21" s="67">
        <f t="shared" si="32"/>
        <v>0.118376189587216</v>
      </c>
      <c r="AI21" s="67">
        <f t="shared" si="33"/>
        <v>0.924434453127747</v>
      </c>
      <c r="AJ21" s="67">
        <f t="shared" si="34"/>
        <v>0.36903214821258</v>
      </c>
      <c r="AK21" s="67">
        <f t="shared" si="35"/>
        <v>1.3631579379825</v>
      </c>
      <c r="AL21" s="67">
        <f t="shared" si="36"/>
        <v>0.0420335056057787</v>
      </c>
      <c r="AM21" s="67">
        <f t="shared" si="37"/>
        <v>0.35977245599599</v>
      </c>
      <c r="AN21" s="67">
        <f t="shared" si="38"/>
        <v>0.367655244611475</v>
      </c>
      <c r="AO21" s="67">
        <f t="shared" si="39"/>
        <v>0.183083864611129</v>
      </c>
      <c r="AP21" s="63">
        <f t="shared" si="13"/>
        <v>79.733485203579</v>
      </c>
      <c r="AQ21" s="68">
        <f t="shared" si="14"/>
        <v>20.526990754591</v>
      </c>
      <c r="AR21" s="69">
        <f t="shared" si="15"/>
        <v>1470.70316114044</v>
      </c>
      <c r="AS21" s="69"/>
      <c r="AT21" s="69">
        <f t="shared" si="16"/>
        <v>0.0140058335205078</v>
      </c>
      <c r="AU21" s="69">
        <f t="shared" si="17"/>
        <v>7.71423015935798e-5</v>
      </c>
      <c r="AV21" s="65">
        <f t="shared" si="18"/>
        <v>0.0151224975459122</v>
      </c>
      <c r="AW21" s="68">
        <v>23.407</v>
      </c>
      <c r="AX21" s="68">
        <f>AW21/(1000*AV21)</f>
        <v>1.54782633813865</v>
      </c>
      <c r="AY21" s="68">
        <f t="shared" si="20"/>
        <v>18.7065294642934</v>
      </c>
      <c r="AZ21" s="68">
        <f t="shared" si="21"/>
        <v>26.4643707053464</v>
      </c>
      <c r="BA21" s="71">
        <f t="shared" si="40"/>
        <v>0.0191312907952078</v>
      </c>
      <c r="BB21" s="71"/>
      <c r="BC21" s="65"/>
      <c r="BD21" s="65">
        <f t="shared" si="41"/>
        <v>0.0308353892344926</v>
      </c>
      <c r="BE21" s="65">
        <f t="shared" si="42"/>
        <v>0.490426679258394</v>
      </c>
      <c r="BF21" s="65">
        <f t="shared" si="22"/>
        <v>14.6804974863497</v>
      </c>
      <c r="BG21" s="69">
        <f t="shared" si="23"/>
        <v>0.00103010797556238</v>
      </c>
      <c r="BH21" s="69">
        <f t="shared" si="24"/>
        <v>1.96705983980724e-6</v>
      </c>
      <c r="BI21" s="72">
        <f t="shared" si="25"/>
        <v>17.485387787461</v>
      </c>
      <c r="BJ21" s="72">
        <f t="shared" si="43"/>
        <v>2.88363912932229</v>
      </c>
      <c r="BK21" s="73">
        <f t="shared" si="26"/>
        <v>0.325599345150788</v>
      </c>
      <c r="BL21" s="72">
        <f t="shared" si="44"/>
        <v>26.5663767722582</v>
      </c>
      <c r="BM21" s="74"/>
    </row>
    <row r="22" ht="25" customHeight="1" spans="1:65">
      <c r="A22" s="54">
        <v>47</v>
      </c>
      <c r="B22" s="55">
        <v>0.362662844019943</v>
      </c>
      <c r="C22" s="55">
        <v>-15.8177025636706</v>
      </c>
      <c r="D22" s="55">
        <v>11.285341625366</v>
      </c>
      <c r="E22" s="55">
        <v>2.01633771782216</v>
      </c>
      <c r="F22" s="56">
        <v>1</v>
      </c>
      <c r="G22" s="57">
        <f t="shared" si="0"/>
        <v>8.36637353682585e-5</v>
      </c>
      <c r="H22" s="57">
        <f t="shared" si="1"/>
        <v>0.000333333333333333</v>
      </c>
      <c r="I22" s="58">
        <f t="shared" si="2"/>
        <v>0.0167414895488641</v>
      </c>
      <c r="J22" s="58"/>
      <c r="K22" s="58">
        <f t="shared" si="3"/>
        <v>1.77771400804465</v>
      </c>
      <c r="L22" s="57">
        <f t="shared" si="4"/>
        <v>0.00102543154993125</v>
      </c>
      <c r="M22" s="57">
        <f t="shared" si="5"/>
        <v>0.00443692664900576</v>
      </c>
      <c r="N22" s="57">
        <f t="shared" si="6"/>
        <v>0.064013549221014</v>
      </c>
      <c r="O22" s="59">
        <v>0.0302</v>
      </c>
      <c r="P22" s="60">
        <f t="shared" si="7"/>
        <v>0.0302</v>
      </c>
      <c r="Q22" s="61">
        <v>1000</v>
      </c>
      <c r="R22" s="59">
        <v>1.1616</v>
      </c>
      <c r="S22" s="59">
        <v>9.801</v>
      </c>
      <c r="T22" s="62">
        <v>4e-6</v>
      </c>
      <c r="U22" s="63">
        <v>1e-6</v>
      </c>
      <c r="V22" s="63">
        <f t="shared" si="27"/>
        <v>4e-6</v>
      </c>
      <c r="W22" s="64">
        <v>0.001147</v>
      </c>
      <c r="X22" s="64">
        <v>1.85e-5</v>
      </c>
      <c r="Y22" s="65">
        <f t="shared" si="8"/>
        <v>-3.00713958248647</v>
      </c>
      <c r="Z22" s="66">
        <f t="shared" si="9"/>
        <v>0.00201633771782216</v>
      </c>
      <c r="AA22" s="65">
        <f t="shared" si="10"/>
        <v>4.66484905365104</v>
      </c>
      <c r="AB22" s="65">
        <f t="shared" si="11"/>
        <v>17.5627473108163</v>
      </c>
      <c r="AC22" s="65">
        <f t="shared" si="12"/>
        <v>5.27776423608644</v>
      </c>
      <c r="AD22" s="67">
        <f t="shared" si="28"/>
        <v>3.32768697599864</v>
      </c>
      <c r="AE22" s="67">
        <f t="shared" si="29"/>
        <v>0.237872715664919</v>
      </c>
      <c r="AF22" s="67">
        <f t="shared" si="30"/>
        <v>0.0621452896113215</v>
      </c>
      <c r="AG22" s="67">
        <f t="shared" si="31"/>
        <v>0.265114342552584</v>
      </c>
      <c r="AH22" s="67">
        <f t="shared" si="32"/>
        <v>0.120429492786217</v>
      </c>
      <c r="AI22" s="67">
        <f t="shared" si="33"/>
        <v>0.938011319338899</v>
      </c>
      <c r="AJ22" s="67">
        <f t="shared" si="34"/>
        <v>0.398745658939422</v>
      </c>
      <c r="AK22" s="67">
        <f t="shared" si="35"/>
        <v>1.01520635430675</v>
      </c>
      <c r="AL22" s="67">
        <f t="shared" si="36"/>
        <v>0.0362849472022165</v>
      </c>
      <c r="AM22" s="67">
        <f t="shared" si="37"/>
        <v>0.45406177680862</v>
      </c>
      <c r="AN22" s="67">
        <f t="shared" si="38"/>
        <v>0.39106836965605</v>
      </c>
      <c r="AO22" s="67">
        <f t="shared" si="39"/>
        <v>0.17711042215498</v>
      </c>
      <c r="AP22" s="63">
        <f t="shared" si="13"/>
        <v>78.4135878962039</v>
      </c>
      <c r="AQ22" s="68">
        <f t="shared" si="14"/>
        <v>76.7920287130282</v>
      </c>
      <c r="AR22" s="69">
        <f t="shared" si="15"/>
        <v>1520.63110435214</v>
      </c>
      <c r="AS22" s="69"/>
      <c r="AT22" s="69">
        <f t="shared" si="16"/>
        <v>0.0137739828506912</v>
      </c>
      <c r="AU22" s="69">
        <f t="shared" si="17"/>
        <v>7.49698461916876e-5</v>
      </c>
      <c r="AV22" s="65">
        <f t="shared" si="18"/>
        <v>0.0164756075980454</v>
      </c>
      <c r="AW22" s="68">
        <v>27.02</v>
      </c>
      <c r="AX22" s="68">
        <f>AW22/(1000*AV22)</f>
        <v>1.64000021481487</v>
      </c>
      <c r="AY22" s="68">
        <f t="shared" si="20"/>
        <v>20.3803265987822</v>
      </c>
      <c r="AZ22" s="68">
        <f t="shared" si="21"/>
        <v>28.8323132965795</v>
      </c>
      <c r="BA22" s="71">
        <f t="shared" si="40"/>
        <v>0.0185925218555385</v>
      </c>
      <c r="BB22" s="71"/>
      <c r="BC22" s="65"/>
      <c r="BD22" s="65">
        <f t="shared" si="41"/>
        <v>0.0357414500493294</v>
      </c>
      <c r="BE22" s="65">
        <f t="shared" si="42"/>
        <v>0.460966401063924</v>
      </c>
      <c r="BF22" s="65">
        <f t="shared" si="22"/>
        <v>18.0167084560299</v>
      </c>
      <c r="BG22" s="69">
        <f t="shared" si="23"/>
        <v>0.00091446268547079</v>
      </c>
      <c r="BH22" s="69">
        <f t="shared" si="24"/>
        <v>2.2581592295742e-6</v>
      </c>
      <c r="BI22" s="72">
        <f t="shared" si="25"/>
        <v>19.04992128524</v>
      </c>
      <c r="BJ22" s="72">
        <f t="shared" si="43"/>
        <v>3.0679319774913</v>
      </c>
      <c r="BK22" s="73">
        <f t="shared" si="26"/>
        <v>0.253062430903958</v>
      </c>
      <c r="BL22" s="72">
        <f t="shared" si="44"/>
        <v>28.1182757829891</v>
      </c>
      <c r="BM22" s="74"/>
    </row>
    <row r="23" ht="25" customHeight="1" spans="1:65">
      <c r="A23" s="54">
        <v>48</v>
      </c>
      <c r="B23" s="55">
        <v>0.450193968613005</v>
      </c>
      <c r="C23" s="55">
        <v>-2.57509198377522</v>
      </c>
      <c r="D23" s="55">
        <v>8.44410816909724</v>
      </c>
      <c r="E23" s="55">
        <v>2.16749446777331</v>
      </c>
      <c r="F23" s="56">
        <v>1</v>
      </c>
      <c r="G23" s="57">
        <f t="shared" si="0"/>
        <v>8.36637353682585e-5</v>
      </c>
      <c r="H23" s="57">
        <f t="shared" si="1"/>
        <v>0.000333333333333333</v>
      </c>
      <c r="I23" s="58">
        <f t="shared" si="2"/>
        <v>0.0192029303367667</v>
      </c>
      <c r="J23" s="58"/>
      <c r="K23" s="58">
        <f t="shared" si="3"/>
        <v>2.72409032413233</v>
      </c>
      <c r="L23" s="57">
        <f t="shared" si="4"/>
        <v>0.00106317324073926</v>
      </c>
      <c r="M23" s="57">
        <f t="shared" si="5"/>
        <v>0.00308367662950136</v>
      </c>
      <c r="N23" s="57">
        <f t="shared" si="6"/>
        <v>0.088243653161185</v>
      </c>
      <c r="O23" s="59">
        <v>0.0302</v>
      </c>
      <c r="P23" s="60">
        <f t="shared" si="7"/>
        <v>0.0302</v>
      </c>
      <c r="Q23" s="61">
        <v>1000</v>
      </c>
      <c r="R23" s="59">
        <v>1.1616</v>
      </c>
      <c r="S23" s="59">
        <v>9.801</v>
      </c>
      <c r="T23" s="62">
        <v>4e-6</v>
      </c>
      <c r="U23" s="63">
        <v>1e-6</v>
      </c>
      <c r="V23" s="63">
        <f t="shared" si="27"/>
        <v>4e-6</v>
      </c>
      <c r="W23" s="64">
        <v>0.001147</v>
      </c>
      <c r="X23" s="64">
        <v>1.85e-5</v>
      </c>
      <c r="Y23" s="65">
        <f t="shared" si="8"/>
        <v>4.78787957872036</v>
      </c>
      <c r="Z23" s="66">
        <f t="shared" si="9"/>
        <v>0.00216749446777331</v>
      </c>
      <c r="AA23" s="65">
        <f t="shared" si="10"/>
        <v>8.29126449416551</v>
      </c>
      <c r="AB23" s="65">
        <f t="shared" si="11"/>
        <v>29.0924565946736</v>
      </c>
      <c r="AC23" s="65">
        <f t="shared" si="12"/>
        <v>6.09873036516308</v>
      </c>
      <c r="AD23" s="67">
        <f t="shared" si="28"/>
        <v>4.77024804389687</v>
      </c>
      <c r="AE23" s="67">
        <f t="shared" si="29"/>
        <v>0.255705078906529</v>
      </c>
      <c r="AF23" s="67">
        <f t="shared" si="30"/>
        <v>0.0485186042054784</v>
      </c>
      <c r="AG23" s="67">
        <f t="shared" si="31"/>
        <v>0.378464567670327</v>
      </c>
      <c r="AH23" s="67">
        <f t="shared" si="32"/>
        <v>0.12999722235501</v>
      </c>
      <c r="AI23" s="67">
        <f t="shared" si="33"/>
        <v>0.890997814764431</v>
      </c>
      <c r="AJ23" s="67">
        <f t="shared" si="34"/>
        <v>0.291492914423216</v>
      </c>
      <c r="AK23" s="67">
        <f t="shared" si="35"/>
        <v>2.20230061566733</v>
      </c>
      <c r="AL23" s="67">
        <f t="shared" si="36"/>
        <v>0.0590262233245503</v>
      </c>
      <c r="AM23" s="67">
        <f t="shared" si="37"/>
        <v>0.311091774644452</v>
      </c>
      <c r="AN23" s="67">
        <f t="shared" si="38"/>
        <v>0.303246496597838</v>
      </c>
      <c r="AO23" s="67">
        <f t="shared" si="39"/>
        <v>0.236809095299693</v>
      </c>
      <c r="AP23" s="63">
        <f t="shared" si="13"/>
        <v>97.3392364568659</v>
      </c>
      <c r="AQ23" s="68">
        <f t="shared" si="14"/>
        <v>-125.00004462862</v>
      </c>
      <c r="AR23" s="69">
        <f t="shared" si="15"/>
        <v>986.803431452178</v>
      </c>
      <c r="AS23" s="69"/>
      <c r="AT23" s="69">
        <f t="shared" si="16"/>
        <v>0.0170984265562621</v>
      </c>
      <c r="AU23" s="69">
        <f t="shared" si="17"/>
        <v>7.23084842927337e-5</v>
      </c>
      <c r="AV23" s="65">
        <f t="shared" si="18"/>
        <v>0.0183625725645941</v>
      </c>
      <c r="AW23" s="68">
        <v>26.33</v>
      </c>
      <c r="AX23" s="68">
        <f>AW23/(1000*AV23)</f>
        <v>1.43389494622166</v>
      </c>
      <c r="AY23" s="68">
        <f t="shared" si="20"/>
        <v>22.7145022624029</v>
      </c>
      <c r="AZ23" s="68">
        <f t="shared" si="21"/>
        <v>32.1345019880396</v>
      </c>
      <c r="BA23" s="71">
        <f t="shared" si="40"/>
        <v>0.017932504104598</v>
      </c>
      <c r="BB23" s="71"/>
      <c r="BC23" s="65"/>
      <c r="BD23" s="65">
        <f t="shared" si="41"/>
        <v>0.0268020736608951</v>
      </c>
      <c r="BE23" s="65">
        <f t="shared" si="42"/>
        <v>0.685117606828518</v>
      </c>
      <c r="BF23" s="65">
        <f t="shared" si="22"/>
        <v>14.5233365962107</v>
      </c>
      <c r="BG23" s="69">
        <f t="shared" si="23"/>
        <v>0.00126434944497431</v>
      </c>
      <c r="BH23" s="69">
        <f t="shared" si="24"/>
        <v>4.3224696373897e-6</v>
      </c>
      <c r="BI23" s="72">
        <f t="shared" si="25"/>
        <v>21.2317245278119</v>
      </c>
      <c r="BJ23" s="72">
        <f t="shared" si="43"/>
        <v>2.06419094806166</v>
      </c>
      <c r="BK23" s="73">
        <f t="shared" si="26"/>
        <v>0.0963321629630593</v>
      </c>
      <c r="BL23" s="72">
        <f t="shared" si="44"/>
        <v>41.2899173249998</v>
      </c>
      <c r="BM23" s="74"/>
    </row>
    <row r="24" ht="25" customHeight="1" spans="1:65">
      <c r="A24" s="54">
        <v>49</v>
      </c>
      <c r="B24" s="55">
        <v>0.204631832448739</v>
      </c>
      <c r="C24" s="55">
        <v>-4.56304512411118</v>
      </c>
      <c r="D24" s="55"/>
      <c r="E24" s="55">
        <v>1.68994957274352</v>
      </c>
      <c r="F24" s="56">
        <v>1</v>
      </c>
      <c r="G24" s="57">
        <f t="shared" si="0"/>
        <v>8.36637353682585e-5</v>
      </c>
      <c r="H24" s="57">
        <f t="shared" si="1"/>
        <v>0.000333333333333333</v>
      </c>
      <c r="I24" s="58">
        <f t="shared" si="2"/>
        <v>0.011477933418663</v>
      </c>
      <c r="J24" s="58"/>
      <c r="K24" s="58">
        <f t="shared" si="3"/>
        <v>0.574649328957882</v>
      </c>
      <c r="L24" s="57">
        <f t="shared" si="4"/>
        <v>0.000938775855107679</v>
      </c>
      <c r="M24" s="57">
        <f t="shared" si="5"/>
        <v>0.0117994889289525</v>
      </c>
      <c r="N24" s="57">
        <f t="shared" si="6"/>
        <v>0.0267780133722264</v>
      </c>
      <c r="O24" s="59">
        <v>0.0302</v>
      </c>
      <c r="P24" s="60">
        <f t="shared" si="7"/>
        <v>0.0302</v>
      </c>
      <c r="Q24" s="61">
        <v>1000</v>
      </c>
      <c r="R24" s="59">
        <v>1.1616</v>
      </c>
      <c r="S24" s="59">
        <v>9.801</v>
      </c>
      <c r="T24" s="62">
        <v>4e-6</v>
      </c>
      <c r="U24" s="63">
        <v>1e-6</v>
      </c>
      <c r="V24" s="63">
        <f t="shared" si="27"/>
        <v>4e-6</v>
      </c>
      <c r="W24" s="64">
        <v>0.001147</v>
      </c>
      <c r="X24" s="64">
        <v>1.85e-5</v>
      </c>
      <c r="Y24" s="65">
        <f t="shared" si="8"/>
        <v>2.1085753595136</v>
      </c>
      <c r="Z24" s="66">
        <f t="shared" si="9"/>
        <v>0.00168994957274352</v>
      </c>
      <c r="AA24" s="65">
        <f t="shared" si="10"/>
        <v>0.0955243043490716</v>
      </c>
      <c r="AB24" s="65">
        <f t="shared" si="11"/>
        <v>4.68644133631692</v>
      </c>
      <c r="AC24" s="65">
        <f t="shared" si="12"/>
        <v>3.70741266252123</v>
      </c>
      <c r="AD24" s="67">
        <f t="shared" si="28"/>
        <v>1.26407329394238</v>
      </c>
      <c r="AE24" s="67">
        <f t="shared" si="29"/>
        <v>0.199367839351566</v>
      </c>
      <c r="AF24" s="67">
        <f t="shared" si="30"/>
        <v>0.113015621310164</v>
      </c>
      <c r="AG24" s="67">
        <f t="shared" si="31"/>
        <v>0.111858417288777</v>
      </c>
      <c r="AH24" s="67">
        <f t="shared" si="32"/>
        <v>0.0908735870473899</v>
      </c>
      <c r="AI24" s="67">
        <f t="shared" si="33"/>
        <v>1.24169535158993</v>
      </c>
      <c r="AJ24" s="67">
        <f t="shared" si="34"/>
        <v>0.851239332589162</v>
      </c>
      <c r="AK24" s="67">
        <f t="shared" si="35"/>
        <v>1.46836317762104</v>
      </c>
      <c r="AL24" s="67">
        <f t="shared" si="36"/>
        <v>0.115794074405566</v>
      </c>
      <c r="AM24" s="67">
        <f t="shared" si="37"/>
        <v>0.109174399411711</v>
      </c>
      <c r="AN24" s="67">
        <f t="shared" si="38"/>
        <v>0.877963742030876</v>
      </c>
      <c r="AO24" s="67">
        <f t="shared" si="39"/>
        <v>0.0722229899788666</v>
      </c>
      <c r="AP24" s="63">
        <f t="shared" si="13"/>
        <v>44.2447205294571</v>
      </c>
      <c r="AQ24" s="68"/>
      <c r="AR24" s="69">
        <f t="shared" si="15"/>
        <v>4776.21214974479</v>
      </c>
      <c r="AS24" s="69"/>
      <c r="AT24" s="69">
        <f t="shared" si="16"/>
        <v>0.00777194409995707</v>
      </c>
      <c r="AU24" s="69">
        <f t="shared" si="17"/>
        <v>8.18900967256253e-5</v>
      </c>
      <c r="AV24" s="65">
        <f t="shared" si="18"/>
        <v>0.0126417485286627</v>
      </c>
      <c r="AW24" s="68"/>
      <c r="AX24" s="68"/>
      <c r="AY24" s="68">
        <f t="shared" si="20"/>
        <v>15.6378429299557</v>
      </c>
      <c r="AZ24" s="68">
        <f t="shared" si="21"/>
        <v>22.1230599251596</v>
      </c>
      <c r="BA24" s="71">
        <f t="shared" si="40"/>
        <v>0.0203087439879551</v>
      </c>
      <c r="BB24" s="71"/>
      <c r="BC24" s="65"/>
      <c r="BD24" s="65">
        <f t="shared" si="41"/>
        <v>0.0788592877908916</v>
      </c>
      <c r="BE24" s="65">
        <f t="shared" si="42"/>
        <v>0.160307668035049</v>
      </c>
      <c r="BF24" s="65">
        <f t="shared" si="22"/>
        <v>33.3170549272689</v>
      </c>
      <c r="BG24" s="69">
        <f t="shared" si="23"/>
        <v>0.000379437755115498</v>
      </c>
      <c r="BH24" s="69">
        <f t="shared" si="24"/>
        <v>4.23278527096446e-7</v>
      </c>
      <c r="BI24" s="72">
        <f t="shared" si="25"/>
        <v>14.6170217362662</v>
      </c>
      <c r="BJ24" s="72">
        <f t="shared" si="43"/>
        <v>8.82187096667077</v>
      </c>
      <c r="BK24" s="73">
        <f t="shared" si="26"/>
        <v>1.61853614088313</v>
      </c>
      <c r="BL24" s="72">
        <f t="shared" si="44"/>
        <v>12.1012666613594</v>
      </c>
      <c r="BM24" s="74"/>
    </row>
    <row r="25" ht="25" customHeight="1" spans="1:65">
      <c r="A25" s="54">
        <v>50</v>
      </c>
      <c r="B25" s="55">
        <v>0.634555126504022</v>
      </c>
      <c r="C25" s="55">
        <v>-3.54335492802703</v>
      </c>
      <c r="D25" s="55"/>
      <c r="E25" s="55">
        <v>2.15011440859963</v>
      </c>
      <c r="F25" s="56">
        <v>1</v>
      </c>
      <c r="G25" s="57">
        <f t="shared" si="0"/>
        <v>8.36637353682585e-5</v>
      </c>
      <c r="H25" s="57">
        <f t="shared" si="1"/>
        <v>0.000333333333333333</v>
      </c>
      <c r="I25" s="58">
        <f t="shared" si="2"/>
        <v>0.0273055728946871</v>
      </c>
      <c r="J25" s="58"/>
      <c r="K25" s="58">
        <f t="shared" si="3"/>
        <v>5.41532587943642</v>
      </c>
      <c r="L25" s="57">
        <f t="shared" si="4"/>
        <v>0.00105890213304625</v>
      </c>
      <c r="M25" s="57">
        <f t="shared" si="5"/>
        <v>0.00154030860691307</v>
      </c>
      <c r="N25" s="57">
        <f t="shared" si="6"/>
        <v>0.177503494948134</v>
      </c>
      <c r="O25" s="59">
        <v>0.0302</v>
      </c>
      <c r="P25" s="60">
        <f t="shared" si="7"/>
        <v>0.0302</v>
      </c>
      <c r="Q25" s="61">
        <v>1000</v>
      </c>
      <c r="R25" s="59">
        <v>1.1616</v>
      </c>
      <c r="S25" s="59">
        <v>9.801</v>
      </c>
      <c r="T25" s="62">
        <v>4e-6</v>
      </c>
      <c r="U25" s="63">
        <v>1e-6</v>
      </c>
      <c r="V25" s="63">
        <f t="shared" si="27"/>
        <v>4e-6</v>
      </c>
      <c r="W25" s="64">
        <v>0.001147</v>
      </c>
      <c r="X25" s="64">
        <v>1.85e-5</v>
      </c>
      <c r="Y25" s="65">
        <f t="shared" si="8"/>
        <v>4.2493442352753</v>
      </c>
      <c r="Z25" s="66">
        <f t="shared" si="9"/>
        <v>0.00215011440859963</v>
      </c>
      <c r="AA25" s="65">
        <f t="shared" si="10"/>
        <v>18.4842104267347</v>
      </c>
      <c r="AB25" s="65">
        <f t="shared" si="11"/>
        <v>57.3354646504331</v>
      </c>
      <c r="AC25" s="65">
        <f t="shared" si="12"/>
        <v>6.00131712564687</v>
      </c>
      <c r="AD25" s="67">
        <f t="shared" si="28"/>
        <v>9.5538135129383</v>
      </c>
      <c r="AE25" s="67">
        <f t="shared" si="29"/>
        <v>0.253654707166955</v>
      </c>
      <c r="AF25" s="67">
        <f t="shared" si="30"/>
        <v>0.0252297008334723</v>
      </c>
      <c r="AG25" s="67">
        <f t="shared" si="31"/>
        <v>0.719079291801672</v>
      </c>
      <c r="AH25" s="67">
        <f t="shared" si="32"/>
        <v>0.135932056354603</v>
      </c>
      <c r="AI25" s="67">
        <f t="shared" si="33"/>
        <v>0.837829322787427</v>
      </c>
      <c r="AJ25" s="67">
        <f t="shared" si="34"/>
        <v>0.1542871736276</v>
      </c>
      <c r="AK25" s="67">
        <f t="shared" si="35"/>
        <v>2.16519799463131</v>
      </c>
      <c r="AL25" s="67">
        <f t="shared" si="36"/>
        <v>0.0287431119805148</v>
      </c>
      <c r="AM25" s="67">
        <f t="shared" si="37"/>
        <v>0.631182713270576</v>
      </c>
      <c r="AN25" s="67">
        <f t="shared" si="38"/>
        <v>0.158377310232307</v>
      </c>
      <c r="AO25" s="67">
        <f t="shared" si="39"/>
        <v>0.45159902311155</v>
      </c>
      <c r="AP25" s="63">
        <f t="shared" si="13"/>
        <v>137.201108433302</v>
      </c>
      <c r="AQ25" s="68"/>
      <c r="AR25" s="69">
        <f t="shared" si="15"/>
        <v>496.696707899241</v>
      </c>
      <c r="AS25" s="69"/>
      <c r="AT25" s="69">
        <f t="shared" si="16"/>
        <v>0.0241004877516594</v>
      </c>
      <c r="AU25" s="69">
        <f t="shared" si="17"/>
        <v>7.26001423354315e-5</v>
      </c>
      <c r="AV25" s="65">
        <f t="shared" si="18"/>
        <v>0.0181421554077013</v>
      </c>
      <c r="AW25" s="68"/>
      <c r="AX25" s="68"/>
      <c r="AY25" s="68">
        <f t="shared" si="20"/>
        <v>22.4418462393265</v>
      </c>
      <c r="AZ25" s="68">
        <f t="shared" si="21"/>
        <v>31.7487719634773</v>
      </c>
      <c r="BA25" s="71">
        <f t="shared" si="40"/>
        <v>0.018004835299187</v>
      </c>
      <c r="BB25" s="71"/>
      <c r="BC25" s="65"/>
      <c r="BD25" s="65">
        <f t="shared" si="41"/>
        <v>0.0132750501578998</v>
      </c>
      <c r="BE25" s="65">
        <f t="shared" si="42"/>
        <v>1.3666355450194</v>
      </c>
      <c r="BF25" s="65">
        <f t="shared" si="22"/>
        <v>7.13571915484581</v>
      </c>
      <c r="BG25" s="69">
        <f t="shared" si="23"/>
        <v>0.00254244246641645</v>
      </c>
      <c r="BH25" s="69">
        <f t="shared" si="24"/>
        <v>8.38266356817404e-6</v>
      </c>
      <c r="BI25" s="72">
        <f t="shared" si="25"/>
        <v>20.9768671901547</v>
      </c>
      <c r="BJ25" s="72">
        <f t="shared" si="43"/>
        <v>1.03481397621121</v>
      </c>
      <c r="BK25" s="73">
        <f t="shared" si="26"/>
        <v>0.0522776917738576</v>
      </c>
      <c r="BL25" s="72">
        <f t="shared" si="44"/>
        <v>69.3380989017269</v>
      </c>
      <c r="BM25" s="74"/>
    </row>
    <row r="26" ht="25" customHeight="1" spans="1:65">
      <c r="A26" s="54">
        <v>51</v>
      </c>
      <c r="B26" s="55">
        <v>0.819239556223383</v>
      </c>
      <c r="C26" s="55">
        <v>-5.33377152921793</v>
      </c>
      <c r="D26" s="55"/>
      <c r="E26" s="55">
        <v>2.20188660414056</v>
      </c>
      <c r="F26" s="56">
        <v>1</v>
      </c>
      <c r="G26" s="57">
        <f t="shared" si="0"/>
        <v>8.36637353682585e-5</v>
      </c>
      <c r="H26" s="57">
        <f t="shared" si="1"/>
        <v>0.000333333333333333</v>
      </c>
      <c r="I26" s="58">
        <f t="shared" si="2"/>
        <v>0.034349991647207</v>
      </c>
      <c r="J26" s="58"/>
      <c r="K26" s="58">
        <f t="shared" si="3"/>
        <v>9.01018036257252</v>
      </c>
      <c r="L26" s="57">
        <f t="shared" si="4"/>
        <v>0.0010715748522625</v>
      </c>
      <c r="M26" s="57">
        <f t="shared" si="5"/>
        <v>0.000945246997778419</v>
      </c>
      <c r="N26" s="57">
        <f t="shared" si="6"/>
        <v>0.285220596141648</v>
      </c>
      <c r="O26" s="59">
        <v>0.0302</v>
      </c>
      <c r="P26" s="60">
        <f t="shared" si="7"/>
        <v>0.0302</v>
      </c>
      <c r="Q26" s="61">
        <v>1000</v>
      </c>
      <c r="R26" s="59">
        <v>1.1616</v>
      </c>
      <c r="S26" s="59">
        <v>9.801</v>
      </c>
      <c r="T26" s="62">
        <v>4e-6</v>
      </c>
      <c r="U26" s="63">
        <v>1e-6</v>
      </c>
      <c r="V26" s="63">
        <f t="shared" si="27"/>
        <v>4e-6</v>
      </c>
      <c r="W26" s="64">
        <v>0.001147</v>
      </c>
      <c r="X26" s="64">
        <v>1.85e-5</v>
      </c>
      <c r="Y26" s="65">
        <f t="shared" si="8"/>
        <v>3.41222616725554</v>
      </c>
      <c r="Z26" s="66">
        <f t="shared" si="9"/>
        <v>0.00220188660414056</v>
      </c>
      <c r="AA26" s="65">
        <f t="shared" si="10"/>
        <v>32.1688812681491</v>
      </c>
      <c r="AB26" s="65">
        <f t="shared" si="11"/>
        <v>97.8678007905309</v>
      </c>
      <c r="AC26" s="65">
        <f t="shared" si="12"/>
        <v>6.29380576901394</v>
      </c>
      <c r="AD26" s="67">
        <f t="shared" si="28"/>
        <v>15.5498603519606</v>
      </c>
      <c r="AE26" s="67">
        <f t="shared" si="29"/>
        <v>0.259762410574178</v>
      </c>
      <c r="AF26" s="67">
        <f t="shared" si="30"/>
        <v>0.0161847146877167</v>
      </c>
      <c r="AG26" s="67">
        <f t="shared" si="31"/>
        <v>1.16167302454505</v>
      </c>
      <c r="AH26" s="67">
        <f t="shared" si="32"/>
        <v>0.140248387735494</v>
      </c>
      <c r="AI26" s="67">
        <f t="shared" si="33"/>
        <v>0.81757499789765</v>
      </c>
      <c r="AJ26" s="67">
        <f t="shared" si="34"/>
        <v>0.097079163561089</v>
      </c>
      <c r="AK26" s="67">
        <f t="shared" si="35"/>
        <v>1.95506597264896</v>
      </c>
      <c r="AL26" s="67">
        <f t="shared" si="36"/>
        <v>0.0163298138501549</v>
      </c>
      <c r="AM26" s="67">
        <f t="shared" si="37"/>
        <v>1.15135093609778</v>
      </c>
      <c r="AN26" s="67">
        <f t="shared" si="38"/>
        <v>-13.6539773378653</v>
      </c>
      <c r="AO26" s="67">
        <f t="shared" si="39"/>
        <v>-0.00530094708353372</v>
      </c>
      <c r="AP26" s="63">
        <f t="shared" si="13"/>
        <v>177.132877021272</v>
      </c>
      <c r="AQ26" s="68"/>
      <c r="AR26" s="69">
        <f t="shared" si="15"/>
        <v>297.99444502094</v>
      </c>
      <c r="AS26" s="69"/>
      <c r="AT26" s="69">
        <f t="shared" si="16"/>
        <v>0.0311148268539146</v>
      </c>
      <c r="AU26" s="69">
        <f t="shared" si="17"/>
        <v>7.17415544197718e-5</v>
      </c>
      <c r="AV26" s="65">
        <f t="shared" si="18"/>
        <v>0.0188013464626785</v>
      </c>
      <c r="AW26" s="68"/>
      <c r="AX26" s="68"/>
      <c r="AY26" s="68">
        <f t="shared" si="20"/>
        <v>23.2572655743332</v>
      </c>
      <c r="AZ26" s="68">
        <f t="shared" si="21"/>
        <v>32.9023563096873</v>
      </c>
      <c r="BA26" s="71">
        <f t="shared" si="40"/>
        <v>0.0177919054961034</v>
      </c>
      <c r="BB26" s="71"/>
      <c r="BC26" s="65"/>
      <c r="BD26" s="65">
        <f t="shared" si="41"/>
        <v>0.00835256409686746</v>
      </c>
      <c r="BE26" s="65">
        <f t="shared" si="42"/>
        <v>2.2509670377423</v>
      </c>
      <c r="BF26" s="65">
        <f t="shared" si="22"/>
        <v>4.59784974877946</v>
      </c>
      <c r="BG26" s="69">
        <f t="shared" si="23"/>
        <v>0.00408916069248879</v>
      </c>
      <c r="BH26" s="69">
        <f t="shared" si="24"/>
        <v>1.5006011980122e-5</v>
      </c>
      <c r="BI26" s="72">
        <f t="shared" si="25"/>
        <v>21.739056847472</v>
      </c>
      <c r="BJ26" s="72">
        <f t="shared" si="43"/>
        <v>0.628269334317546</v>
      </c>
      <c r="BK26" s="73">
        <f t="shared" si="26"/>
        <v>0.0246494602155762</v>
      </c>
      <c r="BL26" s="72">
        <f t="shared" si="44"/>
        <v>110.455412328559</v>
      </c>
      <c r="BM26" s="74"/>
    </row>
    <row r="27" ht="25" customHeight="1" spans="1:65">
      <c r="A27" s="54">
        <v>52</v>
      </c>
      <c r="B27" s="55">
        <v>0.610272638304513</v>
      </c>
      <c r="C27" s="55">
        <v>-3.89850946261095</v>
      </c>
      <c r="D27" s="55"/>
      <c r="E27" s="55">
        <v>2.22019576052202</v>
      </c>
      <c r="F27" s="56">
        <v>1</v>
      </c>
      <c r="G27" s="57">
        <f t="shared" si="0"/>
        <v>8.36637353682585e-5</v>
      </c>
      <c r="H27" s="57">
        <f t="shared" si="1"/>
        <v>0.000333333333333333</v>
      </c>
      <c r="I27" s="58">
        <f t="shared" si="2"/>
        <v>0.0253584611706192</v>
      </c>
      <c r="J27" s="58"/>
      <c r="K27" s="58">
        <f t="shared" si="3"/>
        <v>4.99681945905948</v>
      </c>
      <c r="L27" s="57">
        <f t="shared" si="4"/>
        <v>0.00107602081574822</v>
      </c>
      <c r="M27" s="57">
        <f t="shared" si="5"/>
        <v>0.00171687937957434</v>
      </c>
      <c r="N27" s="57">
        <f t="shared" si="6"/>
        <v>0.156268734951819</v>
      </c>
      <c r="O27" s="59">
        <v>0.0302</v>
      </c>
      <c r="P27" s="60">
        <f t="shared" si="7"/>
        <v>0.0302</v>
      </c>
      <c r="Q27" s="61">
        <v>1000</v>
      </c>
      <c r="R27" s="59">
        <v>1.1616</v>
      </c>
      <c r="S27" s="59">
        <v>9.801</v>
      </c>
      <c r="T27" s="62">
        <v>4e-6</v>
      </c>
      <c r="U27" s="63">
        <v>1e-6</v>
      </c>
      <c r="V27" s="63">
        <f t="shared" si="27"/>
        <v>4e-6</v>
      </c>
      <c r="W27" s="64">
        <v>0.001147</v>
      </c>
      <c r="X27" s="64">
        <v>1.85e-5</v>
      </c>
      <c r="Y27" s="65">
        <f t="shared" si="8"/>
        <v>4.25419450803783</v>
      </c>
      <c r="Z27" s="66">
        <f t="shared" si="9"/>
        <v>0.00222019576052202</v>
      </c>
      <c r="AA27" s="65">
        <f t="shared" si="10"/>
        <v>16.9435623375714</v>
      </c>
      <c r="AB27" s="65">
        <f t="shared" si="11"/>
        <v>54.759833524411</v>
      </c>
      <c r="AC27" s="65">
        <f t="shared" si="12"/>
        <v>6.39890961279557</v>
      </c>
      <c r="AD27" s="67">
        <f t="shared" si="28"/>
        <v>8.55768198614817</v>
      </c>
      <c r="AE27" s="67">
        <f t="shared" si="29"/>
        <v>0.261922390378899</v>
      </c>
      <c r="AF27" s="67">
        <f t="shared" si="30"/>
        <v>0.0289171546074872</v>
      </c>
      <c r="AG27" s="67">
        <f t="shared" si="31"/>
        <v>0.658306093500589</v>
      </c>
      <c r="AH27" s="67">
        <f t="shared" si="32"/>
        <v>0.137334571590895</v>
      </c>
      <c r="AI27" s="67">
        <f t="shared" si="33"/>
        <v>0.843958992891791</v>
      </c>
      <c r="AJ27" s="67">
        <f t="shared" si="34"/>
        <v>0.171039582389443</v>
      </c>
      <c r="AK27" s="67">
        <f t="shared" si="35"/>
        <v>2.09428377588811</v>
      </c>
      <c r="AL27" s="67">
        <f t="shared" si="36"/>
        <v>0.0320495558026256</v>
      </c>
      <c r="AM27" s="67">
        <f t="shared" si="37"/>
        <v>0.593965769823491</v>
      </c>
      <c r="AN27" s="67">
        <f t="shared" si="38"/>
        <v>0.176910977958691</v>
      </c>
      <c r="AO27" s="67">
        <f t="shared" si="39"/>
        <v>0.410824204724696</v>
      </c>
      <c r="AP27" s="63">
        <f t="shared" si="13"/>
        <v>131.950840714489</v>
      </c>
      <c r="AQ27" s="68"/>
      <c r="AR27" s="69">
        <f t="shared" si="15"/>
        <v>537.009783848614</v>
      </c>
      <c r="AS27" s="69"/>
      <c r="AT27" s="69">
        <f t="shared" si="16"/>
        <v>0.0231782356336184</v>
      </c>
      <c r="AU27" s="69">
        <f t="shared" si="17"/>
        <v>7.14451286195542e-5</v>
      </c>
      <c r="AV27" s="65">
        <f t="shared" si="18"/>
        <v>0.0190363390848075</v>
      </c>
      <c r="AW27" s="68"/>
      <c r="AX27" s="68"/>
      <c r="AY27" s="68">
        <f t="shared" si="20"/>
        <v>23.5479514479068</v>
      </c>
      <c r="AZ27" s="68">
        <f t="shared" si="21"/>
        <v>33.3135933984131</v>
      </c>
      <c r="BA27" s="71">
        <f t="shared" si="40"/>
        <v>0.0177183918976494</v>
      </c>
      <c r="BB27" s="71"/>
      <c r="BC27" s="65"/>
      <c r="BD27" s="65">
        <f t="shared" si="41"/>
        <v>0.015303349131392</v>
      </c>
      <c r="BE27" s="65">
        <f t="shared" si="42"/>
        <v>1.24393287517423</v>
      </c>
      <c r="BF27" s="65">
        <f t="shared" si="22"/>
        <v>8.4941077158262</v>
      </c>
      <c r="BG27" s="69">
        <f t="shared" si="23"/>
        <v>0.00224112287266372</v>
      </c>
      <c r="BH27" s="69">
        <f t="shared" si="24"/>
        <v>8.53650734135381e-6</v>
      </c>
      <c r="BI27" s="72">
        <f t="shared" si="25"/>
        <v>22.0107670668086</v>
      </c>
      <c r="BJ27" s="72">
        <f t="shared" si="43"/>
        <v>1.13688896772265</v>
      </c>
      <c r="BK27" s="73">
        <f t="shared" si="26"/>
        <v>0.0402152569259943</v>
      </c>
      <c r="BL27" s="72">
        <f t="shared" si="44"/>
        <v>67.5576527500021</v>
      </c>
      <c r="BM27" s="74"/>
    </row>
    <row r="28" ht="25" customHeight="1" spans="1:65">
      <c r="A28" s="54">
        <v>53</v>
      </c>
      <c r="B28" s="55">
        <v>0.847624513445347</v>
      </c>
      <c r="C28" s="55">
        <v>-13.663454497276</v>
      </c>
      <c r="D28" s="55"/>
      <c r="E28" s="55">
        <v>2.09954401146699</v>
      </c>
      <c r="F28" s="56">
        <v>1</v>
      </c>
      <c r="G28" s="57">
        <f t="shared" si="0"/>
        <v>8.36637353682585e-5</v>
      </c>
      <c r="H28" s="57">
        <f t="shared" si="1"/>
        <v>0.000333333333333333</v>
      </c>
      <c r="I28" s="58">
        <f t="shared" si="2"/>
        <v>0.0374346251542761</v>
      </c>
      <c r="J28" s="58"/>
      <c r="K28" s="58">
        <f t="shared" si="3"/>
        <v>9.68017397760985</v>
      </c>
      <c r="L28" s="57">
        <f t="shared" si="4"/>
        <v>0.00104637542139294</v>
      </c>
      <c r="M28" s="57">
        <f t="shared" si="5"/>
        <v>0.000843969619626209</v>
      </c>
      <c r="N28" s="57">
        <f t="shared" si="6"/>
        <v>0.328547633314034</v>
      </c>
      <c r="O28" s="59">
        <v>0.0302</v>
      </c>
      <c r="P28" s="60">
        <f t="shared" si="7"/>
        <v>0.0302</v>
      </c>
      <c r="Q28" s="61">
        <v>1000</v>
      </c>
      <c r="R28" s="59">
        <v>1.1616</v>
      </c>
      <c r="S28" s="59">
        <v>9.801</v>
      </c>
      <c r="T28" s="62">
        <v>4e-6</v>
      </c>
      <c r="U28" s="63">
        <v>1e-6</v>
      </c>
      <c r="V28" s="63">
        <f t="shared" si="27"/>
        <v>4e-6</v>
      </c>
      <c r="W28" s="64">
        <v>0.001147</v>
      </c>
      <c r="X28" s="64">
        <v>1.85e-5</v>
      </c>
      <c r="Y28" s="65">
        <f t="shared" si="8"/>
        <v>-1.69137757652439</v>
      </c>
      <c r="Z28" s="66">
        <f t="shared" si="9"/>
        <v>0.00209954401146699</v>
      </c>
      <c r="AA28" s="65">
        <f t="shared" si="10"/>
        <v>34.5803932616443</v>
      </c>
      <c r="AB28" s="65">
        <f t="shared" si="11"/>
        <v>99.8975993582069</v>
      </c>
      <c r="AC28" s="65">
        <f t="shared" si="12"/>
        <v>5.72233664035863</v>
      </c>
      <c r="AD28" s="67">
        <f t="shared" si="28"/>
        <v>17.4574838281353</v>
      </c>
      <c r="AE28" s="67">
        <f t="shared" si="29"/>
        <v>0.247688783109755</v>
      </c>
      <c r="AF28" s="67">
        <f t="shared" si="30"/>
        <v>0.0137930673072183</v>
      </c>
      <c r="AG28" s="67">
        <f t="shared" si="31"/>
        <v>1.26917978855048</v>
      </c>
      <c r="AH28" s="67">
        <f t="shared" si="32"/>
        <v>0.137418063292558</v>
      </c>
      <c r="AI28" s="67">
        <f t="shared" si="33"/>
        <v>0.814054861310507</v>
      </c>
      <c r="AJ28" s="67">
        <f t="shared" si="34"/>
        <v>0.0868379496263286</v>
      </c>
      <c r="AK28" s="67">
        <f t="shared" si="35"/>
        <v>1.26635458509925</v>
      </c>
      <c r="AL28" s="67">
        <f t="shared" si="36"/>
        <v>0.00898359205875879</v>
      </c>
      <c r="AM28" s="67">
        <f t="shared" si="37"/>
        <v>1.94865062148164</v>
      </c>
      <c r="AN28" s="67">
        <f t="shared" si="38"/>
        <v>-36.6360602396188</v>
      </c>
      <c r="AO28" s="67">
        <f t="shared" si="39"/>
        <v>-0.00192916288948385</v>
      </c>
      <c r="AP28" s="63">
        <f t="shared" si="13"/>
        <v>183.270165069264</v>
      </c>
      <c r="AQ28" s="68"/>
      <c r="AR28" s="69">
        <f t="shared" si="15"/>
        <v>278.370352559634</v>
      </c>
      <c r="AS28" s="69"/>
      <c r="AT28" s="69">
        <f t="shared" si="16"/>
        <v>0.0321928912888018</v>
      </c>
      <c r="AU28" s="69">
        <f t="shared" si="17"/>
        <v>7.34692769026542e-5</v>
      </c>
      <c r="AV28" s="65">
        <f t="shared" si="18"/>
        <v>0.0175058822484379</v>
      </c>
      <c r="AW28" s="68"/>
      <c r="AX28" s="68"/>
      <c r="AY28" s="68">
        <f t="shared" si="20"/>
        <v>21.6547763413176</v>
      </c>
      <c r="AZ28" s="68">
        <f t="shared" si="21"/>
        <v>30.6352939347662</v>
      </c>
      <c r="BA28" s="71">
        <f t="shared" si="40"/>
        <v>0.0182203806718582</v>
      </c>
      <c r="BB28" s="71"/>
      <c r="BC28" s="65"/>
      <c r="BD28" s="65">
        <f t="shared" si="41"/>
        <v>0.0070940573552349</v>
      </c>
      <c r="BE28" s="65">
        <f t="shared" si="42"/>
        <v>2.46768264926978</v>
      </c>
      <c r="BF28" s="65">
        <f t="shared" si="22"/>
        <v>3.7235714092967</v>
      </c>
      <c r="BG28" s="69">
        <f t="shared" si="23"/>
        <v>0.00470136874634139</v>
      </c>
      <c r="BH28" s="69">
        <f t="shared" si="24"/>
        <v>1.39264549487805e-5</v>
      </c>
      <c r="BI28" s="72">
        <f t="shared" si="25"/>
        <v>20.2411763497563</v>
      </c>
      <c r="BJ28" s="72">
        <f t="shared" si="43"/>
        <v>0.573093773946815</v>
      </c>
      <c r="BK28" s="73">
        <f t="shared" si="26"/>
        <v>0.0355897112855961</v>
      </c>
      <c r="BL28" s="72">
        <f t="shared" si="44"/>
        <v>111.342272638924</v>
      </c>
      <c r="BM28" s="74"/>
    </row>
    <row r="29" ht="25" customHeight="1" spans="1:65">
      <c r="A29" s="54">
        <v>54</v>
      </c>
      <c r="B29" s="55">
        <v>0.594689333958517</v>
      </c>
      <c r="C29" s="76" t="s">
        <v>34</v>
      </c>
      <c r="D29" s="55"/>
      <c r="E29" s="55">
        <v>2.09149505591736</v>
      </c>
      <c r="F29" s="56">
        <v>1</v>
      </c>
      <c r="G29" s="57">
        <f t="shared" si="0"/>
        <v>8.36637353682585e-5</v>
      </c>
      <c r="H29" s="57">
        <f t="shared" si="1"/>
        <v>0.000333333333333333</v>
      </c>
      <c r="I29" s="58">
        <f t="shared" si="2"/>
        <v>0.0263744587667309</v>
      </c>
      <c r="J29" s="58"/>
      <c r="K29" s="58">
        <f t="shared" si="3"/>
        <v>4.76634504185034</v>
      </c>
      <c r="L29" s="57">
        <f t="shared" si="4"/>
        <v>0.00104436776717674</v>
      </c>
      <c r="M29" s="57">
        <f t="shared" si="5"/>
        <v>0.00170832699228325</v>
      </c>
      <c r="N29" s="57">
        <f t="shared" si="6"/>
        <v>0.162683008839813</v>
      </c>
      <c r="O29" s="59">
        <v>0.0302</v>
      </c>
      <c r="P29" s="60">
        <f t="shared" si="7"/>
        <v>0.0302</v>
      </c>
      <c r="Q29" s="61">
        <v>1000</v>
      </c>
      <c r="R29" s="59">
        <v>1.1616</v>
      </c>
      <c r="S29" s="59">
        <v>9.801</v>
      </c>
      <c r="T29" s="62">
        <v>4e-6</v>
      </c>
      <c r="U29" s="63">
        <v>1e-6</v>
      </c>
      <c r="V29" s="63">
        <f t="shared" si="27"/>
        <v>4e-6</v>
      </c>
      <c r="W29" s="64">
        <v>0.001147</v>
      </c>
      <c r="X29" s="64">
        <v>1.85e-5</v>
      </c>
      <c r="Y29" s="65" t="e">
        <f t="shared" si="8"/>
        <v>#VALUE!</v>
      </c>
      <c r="Z29" s="66">
        <f t="shared" si="9"/>
        <v>0.00209149505591736</v>
      </c>
      <c r="AA29" s="65">
        <f t="shared" si="10"/>
        <v>15.9865139614691</v>
      </c>
      <c r="AB29" s="65">
        <f t="shared" si="11"/>
        <v>48.9846707818248</v>
      </c>
      <c r="AC29" s="65">
        <f t="shared" si="12"/>
        <v>5.67854565921208</v>
      </c>
      <c r="AD29" s="67">
        <f t="shared" si="28"/>
        <v>8.62627047866718</v>
      </c>
      <c r="AE29" s="67">
        <f t="shared" si="29"/>
        <v>0.246739226446735</v>
      </c>
      <c r="AF29" s="67">
        <f t="shared" si="30"/>
        <v>0.0270361509691711</v>
      </c>
      <c r="AG29" s="67">
        <f t="shared" si="31"/>
        <v>0.643779182546157</v>
      </c>
      <c r="AH29" s="67">
        <f t="shared" si="32"/>
        <v>0.133353163940366</v>
      </c>
      <c r="AI29" s="67">
        <f t="shared" si="33"/>
        <v>0.843491253702324</v>
      </c>
      <c r="AJ29" s="67">
        <f t="shared" si="34"/>
        <v>0.169770207816867</v>
      </c>
      <c r="AK29" s="67" t="e">
        <f t="shared" si="35"/>
        <v>#VALUE!</v>
      </c>
      <c r="AL29" s="67" t="e">
        <f t="shared" si="36"/>
        <v>#VALUE!</v>
      </c>
      <c r="AM29" s="67" t="e">
        <f t="shared" si="37"/>
        <v>#VALUE!</v>
      </c>
      <c r="AN29" s="67">
        <f t="shared" si="38"/>
        <v>0.176743726634296</v>
      </c>
      <c r="AO29" s="67">
        <f t="shared" si="39"/>
        <v>0.399116410691301</v>
      </c>
      <c r="AP29" s="63">
        <f t="shared" si="13"/>
        <v>128.581477612652</v>
      </c>
      <c r="AQ29" s="68"/>
      <c r="AR29" s="69">
        <f t="shared" si="15"/>
        <v>565.522250701889</v>
      </c>
      <c r="AS29" s="69"/>
      <c r="AT29" s="69">
        <f t="shared" si="16"/>
        <v>0.0225863796705437</v>
      </c>
      <c r="AU29" s="69">
        <f t="shared" si="17"/>
        <v>7.36105115406531e-5</v>
      </c>
      <c r="AV29" s="65">
        <f t="shared" si="18"/>
        <v>0.0174053111701274</v>
      </c>
      <c r="AW29" s="68"/>
      <c r="AX29" s="68"/>
      <c r="AY29" s="68">
        <f t="shared" si="20"/>
        <v>21.5303699174476</v>
      </c>
      <c r="AZ29" s="68">
        <f t="shared" si="21"/>
        <v>30.459294547723</v>
      </c>
      <c r="BA29" s="71">
        <f t="shared" si="40"/>
        <v>0.018255406862082</v>
      </c>
      <c r="BB29" s="71"/>
      <c r="BC29" s="65"/>
      <c r="BD29" s="65">
        <f t="shared" si="41"/>
        <v>0.014301616617339</v>
      </c>
      <c r="BE29" s="65">
        <f t="shared" si="42"/>
        <v>1.21701704330583</v>
      </c>
      <c r="BF29" s="65">
        <f t="shared" si="22"/>
        <v>7.47794011169753</v>
      </c>
      <c r="BG29" s="69">
        <f t="shared" si="23"/>
        <v>0.00232755423420693</v>
      </c>
      <c r="BH29" s="69">
        <f t="shared" si="24"/>
        <v>6.7765623582677e-6</v>
      </c>
      <c r="BI29" s="72">
        <f t="shared" si="25"/>
        <v>20.1248910404598</v>
      </c>
      <c r="BJ29" s="72">
        <f t="shared" si="43"/>
        <v>1.16203266844285</v>
      </c>
      <c r="BK29" s="73">
        <f t="shared" si="26"/>
        <v>0.0743683406141724</v>
      </c>
      <c r="BL29" s="72">
        <f t="shared" si="44"/>
        <v>60.3417621002489</v>
      </c>
      <c r="BM29" s="74"/>
    </row>
    <row r="30" ht="25" customHeight="1" spans="1:65">
      <c r="A30" s="54">
        <v>55</v>
      </c>
      <c r="B30" s="55">
        <v>0.616903896608032</v>
      </c>
      <c r="C30" s="55">
        <v>-13.97951683482</v>
      </c>
      <c r="D30" s="55"/>
      <c r="E30" s="55">
        <v>2.00797902117415</v>
      </c>
      <c r="F30" s="56">
        <v>1</v>
      </c>
      <c r="G30" s="57">
        <f t="shared" si="0"/>
        <v>8.36637353682585e-5</v>
      </c>
      <c r="H30" s="57">
        <f t="shared" si="1"/>
        <v>0.000333333333333333</v>
      </c>
      <c r="I30" s="58">
        <f t="shared" si="2"/>
        <v>0.0286079152661532</v>
      </c>
      <c r="J30" s="58"/>
      <c r="K30" s="58">
        <f t="shared" si="3"/>
        <v>5.14559026865392</v>
      </c>
      <c r="L30" s="57">
        <f t="shared" si="4"/>
        <v>0.00102330388732262</v>
      </c>
      <c r="M30" s="57">
        <f t="shared" si="5"/>
        <v>0.00152737354113344</v>
      </c>
      <c r="N30" s="57">
        <f t="shared" si="6"/>
        <v>0.186416219565195</v>
      </c>
      <c r="O30" s="59">
        <v>0.0302</v>
      </c>
      <c r="P30" s="60">
        <f t="shared" si="7"/>
        <v>0.0302</v>
      </c>
      <c r="Q30" s="61">
        <v>1000</v>
      </c>
      <c r="R30" s="59">
        <v>1.1616</v>
      </c>
      <c r="S30" s="59">
        <v>9.801</v>
      </c>
      <c r="T30" s="62">
        <v>4e-6</v>
      </c>
      <c r="U30" s="63">
        <v>1e-6</v>
      </c>
      <c r="V30" s="63">
        <f t="shared" si="27"/>
        <v>4e-6</v>
      </c>
      <c r="W30" s="64">
        <v>0.001147</v>
      </c>
      <c r="X30" s="64">
        <v>1.85e-5</v>
      </c>
      <c r="Y30" s="65">
        <f t="shared" si="8"/>
        <v>-1.82480100802229</v>
      </c>
      <c r="Z30" s="66">
        <f t="shared" si="9"/>
        <v>0.00200797902117415</v>
      </c>
      <c r="AA30" s="65">
        <f t="shared" si="10"/>
        <v>17.3583291360945</v>
      </c>
      <c r="AB30" s="65">
        <f t="shared" si="11"/>
        <v>50.6077758093399</v>
      </c>
      <c r="AC30" s="65">
        <f t="shared" si="12"/>
        <v>5.2340971555774</v>
      </c>
      <c r="AD30" s="67">
        <f t="shared" si="28"/>
        <v>9.66886442973509</v>
      </c>
      <c r="AE30" s="67">
        <f t="shared" si="29"/>
        <v>0.236886618021897</v>
      </c>
      <c r="AF30" s="67">
        <f t="shared" si="30"/>
        <v>0.0232952872622836</v>
      </c>
      <c r="AG30" s="67">
        <f t="shared" si="31"/>
        <v>0.702857389129974</v>
      </c>
      <c r="AH30" s="67">
        <f t="shared" si="32"/>
        <v>0.131440065447674</v>
      </c>
      <c r="AI30" s="67">
        <f t="shared" si="33"/>
        <v>0.837203182692511</v>
      </c>
      <c r="AJ30" s="67">
        <f t="shared" si="34"/>
        <v>0.152561537109189</v>
      </c>
      <c r="AK30" s="67">
        <f t="shared" si="35"/>
        <v>1.21583200630382</v>
      </c>
      <c r="AL30" s="67">
        <f t="shared" si="36"/>
        <v>0.0148939068361712</v>
      </c>
      <c r="AM30" s="67">
        <f t="shared" si="37"/>
        <v>1.09932638657558</v>
      </c>
      <c r="AN30" s="67">
        <f t="shared" si="38"/>
        <v>0.151767664519561</v>
      </c>
      <c r="AO30" s="67">
        <f t="shared" si="39"/>
        <v>0.455423573300957</v>
      </c>
      <c r="AP30" s="63">
        <f t="shared" si="13"/>
        <v>133.384626293629</v>
      </c>
      <c r="AQ30" s="68"/>
      <c r="AR30" s="69">
        <f t="shared" si="15"/>
        <v>525.526921495625</v>
      </c>
      <c r="AS30" s="69"/>
      <c r="AT30" s="69">
        <f t="shared" si="16"/>
        <v>0.0234300917022984</v>
      </c>
      <c r="AU30" s="69">
        <f t="shared" si="17"/>
        <v>7.51257241674216e-5</v>
      </c>
      <c r="AV30" s="65">
        <f t="shared" si="18"/>
        <v>0.0163732647842014</v>
      </c>
      <c r="AW30" s="68"/>
      <c r="AX30" s="68"/>
      <c r="AY30" s="68">
        <f t="shared" si="20"/>
        <v>20.2537285380571</v>
      </c>
      <c r="AZ30" s="68">
        <f t="shared" si="21"/>
        <v>28.6532133723525</v>
      </c>
      <c r="BA30" s="71">
        <f t="shared" si="40"/>
        <v>0.0186311795935206</v>
      </c>
      <c r="BB30" s="71"/>
      <c r="BC30" s="65"/>
      <c r="BD30" s="65">
        <f t="shared" si="41"/>
        <v>0.0122499710148686</v>
      </c>
      <c r="BE30" s="65">
        <f t="shared" si="42"/>
        <v>1.33659620617291</v>
      </c>
      <c r="BF30" s="65">
        <f t="shared" si="22"/>
        <v>6.14942120196187</v>
      </c>
      <c r="BG30" s="69">
        <f t="shared" si="23"/>
        <v>0.00266257006089903</v>
      </c>
      <c r="BH30" s="69">
        <f t="shared" si="24"/>
        <v>6.45314099016643e-6</v>
      </c>
      <c r="BI30" s="72">
        <f t="shared" si="25"/>
        <v>18.9315874067329</v>
      </c>
      <c r="BJ30" s="72">
        <f t="shared" si="43"/>
        <v>1.05807090865717</v>
      </c>
      <c r="BK30" s="73">
        <f t="shared" si="26"/>
        <v>0.0895476162777507</v>
      </c>
      <c r="BL30" s="72">
        <f t="shared" si="44"/>
        <v>61.0759701204947</v>
      </c>
      <c r="BM30" s="74"/>
    </row>
    <row r="31" ht="25" customHeight="1" spans="1:65">
      <c r="A31" s="54">
        <v>56</v>
      </c>
      <c r="B31" s="55">
        <v>1.17645914580751</v>
      </c>
      <c r="C31" s="55">
        <v>-14.4243720516871</v>
      </c>
      <c r="D31" s="55"/>
      <c r="E31" s="55">
        <v>1.98494818465063</v>
      </c>
      <c r="F31" s="56">
        <v>1</v>
      </c>
      <c r="G31" s="57">
        <f t="shared" si="0"/>
        <v>8.36637353682585e-5</v>
      </c>
      <c r="H31" s="57">
        <f t="shared" si="1"/>
        <v>0.000333333333333333</v>
      </c>
      <c r="I31" s="58">
        <f t="shared" si="2"/>
        <v>0.0552510564157517</v>
      </c>
      <c r="J31" s="58"/>
      <c r="K31" s="58">
        <f t="shared" si="3"/>
        <v>18.7308523771913</v>
      </c>
      <c r="L31" s="57">
        <f t="shared" si="4"/>
        <v>0.0010174184889762</v>
      </c>
      <c r="M31" s="57">
        <f t="shared" si="5"/>
        <v>0.00041541780836039</v>
      </c>
      <c r="N31" s="57">
        <f t="shared" si="6"/>
        <v>0.690131721891611</v>
      </c>
      <c r="O31" s="59">
        <v>0.0302</v>
      </c>
      <c r="P31" s="60">
        <f t="shared" si="7"/>
        <v>0.0302</v>
      </c>
      <c r="Q31" s="61">
        <v>1000</v>
      </c>
      <c r="R31" s="59">
        <v>1.1616</v>
      </c>
      <c r="S31" s="59">
        <v>9.801</v>
      </c>
      <c r="T31" s="62">
        <v>4e-6</v>
      </c>
      <c r="U31" s="63">
        <v>1e-6</v>
      </c>
      <c r="V31" s="63">
        <f t="shared" si="27"/>
        <v>4e-6</v>
      </c>
      <c r="W31" s="64">
        <v>0.001147</v>
      </c>
      <c r="X31" s="64">
        <v>1.85e-5</v>
      </c>
      <c r="Y31" s="65">
        <f t="shared" si="8"/>
        <v>-1.62334819932964</v>
      </c>
      <c r="Z31" s="66">
        <f t="shared" si="9"/>
        <v>0.00198494818465063</v>
      </c>
      <c r="AA31" s="65">
        <f t="shared" si="10"/>
        <v>68.5043894879784</v>
      </c>
      <c r="AB31" s="65">
        <f t="shared" si="11"/>
        <v>181.939052074865</v>
      </c>
      <c r="AC31" s="65">
        <f t="shared" si="12"/>
        <v>5.11471908842709</v>
      </c>
      <c r="AD31" s="67">
        <f t="shared" si="28"/>
        <v>35.5716607167211</v>
      </c>
      <c r="AE31" s="67">
        <f t="shared" si="29"/>
        <v>0.234169609070737</v>
      </c>
      <c r="AF31" s="67">
        <f t="shared" si="30"/>
        <v>0.00649178896723729</v>
      </c>
      <c r="AG31" s="67">
        <f t="shared" si="31"/>
        <v>2.47888224343609</v>
      </c>
      <c r="AH31" s="67">
        <f t="shared" si="32"/>
        <v>0.135536965697224</v>
      </c>
      <c r="AI31" s="67">
        <f t="shared" si="33"/>
        <v>0.799456148648912</v>
      </c>
      <c r="AJ31" s="67">
        <f t="shared" si="34"/>
        <v>0.0433853881580188</v>
      </c>
      <c r="AK31" s="67">
        <f t="shared" si="35"/>
        <v>1.24868004688902</v>
      </c>
      <c r="AL31" s="67">
        <f t="shared" si="36"/>
        <v>0.00411005435988799</v>
      </c>
      <c r="AM31" s="67">
        <f t="shared" si="37"/>
        <v>3.91536923600626</v>
      </c>
      <c r="AN31" s="67">
        <f t="shared" si="38"/>
        <v>-4836.39798764455</v>
      </c>
      <c r="AO31" s="67">
        <f t="shared" si="39"/>
        <v>-1.4209137842586e-5</v>
      </c>
      <c r="AP31" s="63">
        <f t="shared" si="13"/>
        <v>254.369545039462</v>
      </c>
      <c r="AQ31" s="68"/>
      <c r="AR31" s="69">
        <f t="shared" si="15"/>
        <v>144.502810873393</v>
      </c>
      <c r="AS31" s="69"/>
      <c r="AT31" s="69">
        <f t="shared" si="16"/>
        <v>0.0446820741801726</v>
      </c>
      <c r="AU31" s="69">
        <f t="shared" si="17"/>
        <v>7.55602993374026e-5</v>
      </c>
      <c r="AV31" s="65">
        <f t="shared" si="18"/>
        <v>0.0160923803990188</v>
      </c>
      <c r="AW31" s="68"/>
      <c r="AX31" s="68"/>
      <c r="AY31" s="68">
        <f t="shared" si="20"/>
        <v>19.9062745535863</v>
      </c>
      <c r="AZ31" s="68">
        <f t="shared" si="21"/>
        <v>28.161665698283</v>
      </c>
      <c r="BA31" s="71">
        <f t="shared" si="40"/>
        <v>0.0187389542356759</v>
      </c>
      <c r="BB31" s="71"/>
      <c r="BC31" s="65"/>
      <c r="BD31" s="65">
        <f t="shared" si="41"/>
        <v>0.00329151920872591</v>
      </c>
      <c r="BE31" s="65">
        <f t="shared" si="42"/>
        <v>4.88904344120413</v>
      </c>
      <c r="BF31" s="65">
        <f t="shared" si="22"/>
        <v>1.6333737695258</v>
      </c>
      <c r="BG31" s="69">
        <f t="shared" si="23"/>
        <v>0.00985223388501629</v>
      </c>
      <c r="BH31" s="69">
        <f t="shared" si="24"/>
        <v>2.26704341582156e-5</v>
      </c>
      <c r="BI31" s="72">
        <f t="shared" si="25"/>
        <v>18.6068148363655</v>
      </c>
      <c r="BJ31" s="72">
        <f t="shared" si="43"/>
        <v>0.289261811513948</v>
      </c>
      <c r="BK31" s="73">
        <f t="shared" si="26"/>
        <v>0.0262206588895649</v>
      </c>
      <c r="BL31" s="72">
        <f t="shared" si="44"/>
        <v>192.168490251719</v>
      </c>
      <c r="BM31" s="74"/>
    </row>
    <row r="32" ht="25" customHeight="1" spans="1:65">
      <c r="A32" s="54">
        <v>57</v>
      </c>
      <c r="B32" s="55">
        <v>0.720804587198689</v>
      </c>
      <c r="C32" s="55">
        <v>-10.1212507808833</v>
      </c>
      <c r="D32" s="55"/>
      <c r="E32" s="55">
        <v>2.00659867762683</v>
      </c>
      <c r="F32" s="56">
        <v>1</v>
      </c>
      <c r="G32" s="57">
        <f t="shared" si="0"/>
        <v>8.36637353682585e-5</v>
      </c>
      <c r="H32" s="57">
        <f t="shared" si="1"/>
        <v>0.000333333333333333</v>
      </c>
      <c r="I32" s="58">
        <f t="shared" si="2"/>
        <v>0.0334513520490555</v>
      </c>
      <c r="J32" s="58"/>
      <c r="K32" s="58">
        <f t="shared" si="3"/>
        <v>7.02520839522701</v>
      </c>
      <c r="L32" s="57">
        <f t="shared" si="4"/>
        <v>0.00102295210233465</v>
      </c>
      <c r="M32" s="57">
        <f t="shared" si="5"/>
        <v>0.001118053243659</v>
      </c>
      <c r="N32" s="57">
        <f t="shared" si="6"/>
        <v>0.254767753710822</v>
      </c>
      <c r="O32" s="59">
        <v>0.0302</v>
      </c>
      <c r="P32" s="60">
        <f t="shared" si="7"/>
        <v>0.0302</v>
      </c>
      <c r="Q32" s="61">
        <v>1000</v>
      </c>
      <c r="R32" s="59">
        <v>1.1616</v>
      </c>
      <c r="S32" s="59">
        <v>9.801</v>
      </c>
      <c r="T32" s="62">
        <v>4e-6</v>
      </c>
      <c r="U32" s="63">
        <v>1e-6</v>
      </c>
      <c r="V32" s="63">
        <f t="shared" si="27"/>
        <v>4e-6</v>
      </c>
      <c r="W32" s="64">
        <v>0.001147</v>
      </c>
      <c r="X32" s="64">
        <v>1.85e-5</v>
      </c>
      <c r="Y32" s="65">
        <f t="shared" si="8"/>
        <v>0.306932348607492</v>
      </c>
      <c r="Z32" s="66">
        <f t="shared" si="9"/>
        <v>0.00200659867762683</v>
      </c>
      <c r="AA32" s="65">
        <f t="shared" si="10"/>
        <v>24.4423676313289</v>
      </c>
      <c r="AB32" s="65">
        <f t="shared" si="11"/>
        <v>69.0428417133407</v>
      </c>
      <c r="AC32" s="65">
        <f t="shared" si="12"/>
        <v>5.22690348585162</v>
      </c>
      <c r="AD32" s="67">
        <f t="shared" si="28"/>
        <v>13.2091288657287</v>
      </c>
      <c r="AE32" s="67">
        <f t="shared" si="29"/>
        <v>0.236723775227632</v>
      </c>
      <c r="AF32" s="67">
        <f t="shared" si="30"/>
        <v>0.0172676015774726</v>
      </c>
      <c r="AG32" s="67">
        <f t="shared" si="31"/>
        <v>0.94722966710393</v>
      </c>
      <c r="AH32" s="67">
        <f t="shared" si="32"/>
        <v>0.133149563414853</v>
      </c>
      <c r="AI32" s="67">
        <f t="shared" si="33"/>
        <v>0.823287024031497</v>
      </c>
      <c r="AJ32" s="67">
        <f t="shared" si="34"/>
        <v>0.11350644769032</v>
      </c>
      <c r="AK32" s="67">
        <f t="shared" si="35"/>
        <v>1.47514318744471</v>
      </c>
      <c r="AL32" s="67">
        <f t="shared" si="36"/>
        <v>0.0132181867511052</v>
      </c>
      <c r="AM32" s="67">
        <f t="shared" si="37"/>
        <v>1.23741514641144</v>
      </c>
      <c r="AN32" s="67">
        <f t="shared" si="38"/>
        <v>-2.67988407635757</v>
      </c>
      <c r="AO32" s="67">
        <f t="shared" si="39"/>
        <v>-0.0257827611080991</v>
      </c>
      <c r="AP32" s="63">
        <f t="shared" si="13"/>
        <v>155.849640475392</v>
      </c>
      <c r="AQ32" s="68"/>
      <c r="AR32" s="69">
        <f t="shared" si="15"/>
        <v>384.941657517216</v>
      </c>
      <c r="AS32" s="69"/>
      <c r="AT32" s="69">
        <f t="shared" si="16"/>
        <v>0.0273762536926125</v>
      </c>
      <c r="AU32" s="69">
        <f t="shared" si="17"/>
        <v>7.51515592988146e-5</v>
      </c>
      <c r="AV32" s="65">
        <f t="shared" si="18"/>
        <v>0.0163563844939126</v>
      </c>
      <c r="AW32" s="68"/>
      <c r="AX32" s="68"/>
      <c r="AY32" s="68">
        <f t="shared" si="20"/>
        <v>20.2328476189699</v>
      </c>
      <c r="AZ32" s="68">
        <f t="shared" si="21"/>
        <v>28.6236728643471</v>
      </c>
      <c r="BA32" s="71">
        <f t="shared" si="40"/>
        <v>0.018637586706106</v>
      </c>
      <c r="BB32" s="71"/>
      <c r="BC32" s="65"/>
      <c r="BD32" s="65">
        <f t="shared" si="41"/>
        <v>0.0089606126805915</v>
      </c>
      <c r="BE32" s="65">
        <f t="shared" si="42"/>
        <v>1.82536452326973</v>
      </c>
      <c r="BF32" s="65">
        <f t="shared" si="22"/>
        <v>4.49508838890028</v>
      </c>
      <c r="BG32" s="69">
        <f t="shared" si="23"/>
        <v>0.00363872366432248</v>
      </c>
      <c r="BH32" s="69">
        <f t="shared" si="24"/>
        <v>8.79174862968932e-6</v>
      </c>
      <c r="BI32" s="72">
        <f t="shared" si="25"/>
        <v>18.9120695710865</v>
      </c>
      <c r="BJ32" s="72">
        <f t="shared" si="43"/>
        <v>0.774756792051511</v>
      </c>
      <c r="BK32" s="73">
        <f t="shared" si="26"/>
        <v>0.0658459720874775</v>
      </c>
      <c r="BL32" s="72">
        <f t="shared" si="44"/>
        <v>79.496648685044</v>
      </c>
      <c r="BM32" s="74"/>
    </row>
    <row r="33" ht="25" customHeight="1" spans="1:65">
      <c r="A33" s="54">
        <v>58</v>
      </c>
      <c r="B33" s="55">
        <v>0.728891351645135</v>
      </c>
      <c r="C33" s="55">
        <v>-12.1237456072811</v>
      </c>
      <c r="D33" s="55"/>
      <c r="E33" s="55">
        <v>1.98118568043834</v>
      </c>
      <c r="F33" s="56">
        <v>1</v>
      </c>
      <c r="G33" s="57">
        <f t="shared" si="0"/>
        <v>8.36637353682585e-5</v>
      </c>
      <c r="H33" s="57">
        <f t="shared" si="1"/>
        <v>0.000333333333333333</v>
      </c>
      <c r="I33" s="58">
        <f t="shared" si="2"/>
        <v>0.0343028919143357</v>
      </c>
      <c r="J33" s="58"/>
      <c r="K33" s="58">
        <f t="shared" si="3"/>
        <v>7.19111444964365</v>
      </c>
      <c r="L33" s="57">
        <f t="shared" si="4"/>
        <v>0.00101645376427172</v>
      </c>
      <c r="M33" s="57">
        <f t="shared" si="5"/>
        <v>0.00108027332069931</v>
      </c>
      <c r="N33" s="57">
        <f t="shared" si="6"/>
        <v>0.265690112010712</v>
      </c>
      <c r="O33" s="59">
        <v>0.0302</v>
      </c>
      <c r="P33" s="60">
        <f t="shared" si="7"/>
        <v>0.0302</v>
      </c>
      <c r="Q33" s="61">
        <v>1000</v>
      </c>
      <c r="R33" s="59">
        <v>1.1616</v>
      </c>
      <c r="S33" s="59">
        <v>9.801</v>
      </c>
      <c r="T33" s="62">
        <v>4e-6</v>
      </c>
      <c r="U33" s="63">
        <v>1e-6</v>
      </c>
      <c r="V33" s="63">
        <f t="shared" si="27"/>
        <v>4e-6</v>
      </c>
      <c r="W33" s="64">
        <v>0.001147</v>
      </c>
      <c r="X33" s="64">
        <v>1.85e-5</v>
      </c>
      <c r="Y33" s="65">
        <f t="shared" si="8"/>
        <v>-0.724107688289476</v>
      </c>
      <c r="Z33" s="66">
        <f t="shared" si="9"/>
        <v>0.00198118568043834</v>
      </c>
      <c r="AA33" s="65">
        <f t="shared" si="10"/>
        <v>25.0398879970985</v>
      </c>
      <c r="AB33" s="65">
        <f t="shared" si="11"/>
        <v>69.7065883672252</v>
      </c>
      <c r="AC33" s="65">
        <f t="shared" si="12"/>
        <v>5.09534738547879</v>
      </c>
      <c r="AD33" s="67">
        <f t="shared" si="28"/>
        <v>13.6804388579828</v>
      </c>
      <c r="AE33" s="67">
        <f t="shared" si="29"/>
        <v>0.233725736456161</v>
      </c>
      <c r="AF33" s="67">
        <f t="shared" si="30"/>
        <v>0.016482263969185</v>
      </c>
      <c r="AG33" s="67">
        <f t="shared" si="31"/>
        <v>0.9735705624507</v>
      </c>
      <c r="AH33" s="67">
        <f t="shared" si="32"/>
        <v>0.132470176693089</v>
      </c>
      <c r="AI33" s="67">
        <f t="shared" si="33"/>
        <v>0.821979324598632</v>
      </c>
      <c r="AJ33" s="67">
        <f t="shared" si="34"/>
        <v>0.109766301418309</v>
      </c>
      <c r="AK33" s="67">
        <f t="shared" si="35"/>
        <v>1.34248789242194</v>
      </c>
      <c r="AL33" s="67">
        <f t="shared" si="36"/>
        <v>0.0114679790099242</v>
      </c>
      <c r="AM33" s="67">
        <f t="shared" si="37"/>
        <v>1.39925674689967</v>
      </c>
      <c r="AN33" s="67">
        <f t="shared" si="38"/>
        <v>-3.93638683959713</v>
      </c>
      <c r="AO33" s="67">
        <f t="shared" si="39"/>
        <v>-0.0174413457306193</v>
      </c>
      <c r="AP33" s="63">
        <f t="shared" si="13"/>
        <v>157.598130085435</v>
      </c>
      <c r="AQ33" s="68"/>
      <c r="AR33" s="69">
        <f t="shared" si="15"/>
        <v>376.447485872349</v>
      </c>
      <c r="AS33" s="69"/>
      <c r="AT33" s="69">
        <f t="shared" si="16"/>
        <v>0.0276833900773831</v>
      </c>
      <c r="AU33" s="69">
        <f t="shared" si="17"/>
        <v>7.5632014244672e-5</v>
      </c>
      <c r="AV33" s="65">
        <f t="shared" si="18"/>
        <v>0.0160466470029403</v>
      </c>
      <c r="AW33" s="68"/>
      <c r="AX33" s="68"/>
      <c r="AY33" s="68">
        <f t="shared" si="20"/>
        <v>19.8497023426372</v>
      </c>
      <c r="AZ33" s="68">
        <f t="shared" si="21"/>
        <v>28.0816322551456</v>
      </c>
      <c r="BA33" s="71">
        <f t="shared" si="40"/>
        <v>0.0187567395326787</v>
      </c>
      <c r="BB33" s="71"/>
      <c r="BC33" s="65"/>
      <c r="BD33" s="65">
        <f t="shared" si="41"/>
        <v>0.00854233328632499</v>
      </c>
      <c r="BE33" s="65">
        <f t="shared" si="42"/>
        <v>1.87848524110253</v>
      </c>
      <c r="BF33" s="65">
        <f t="shared" si="22"/>
        <v>4.23098709609971</v>
      </c>
      <c r="BG33" s="69">
        <f t="shared" si="23"/>
        <v>0.00379264853294702</v>
      </c>
      <c r="BH33" s="69">
        <f t="shared" si="24"/>
        <v>8.65286143941666e-6</v>
      </c>
      <c r="BI33" s="72">
        <f t="shared" si="25"/>
        <v>18.5539355971497</v>
      </c>
      <c r="BJ33" s="72">
        <f t="shared" si="43"/>
        <v>0.752847843267089</v>
      </c>
      <c r="BK33" s="73">
        <f t="shared" si="26"/>
        <v>0.0689935534315099</v>
      </c>
      <c r="BL33" s="72">
        <f t="shared" si="44"/>
        <v>79.8972831381828</v>
      </c>
      <c r="BM33" s="74"/>
    </row>
    <row r="34" ht="25" customHeight="1" spans="1:65">
      <c r="A34" s="54">
        <v>59</v>
      </c>
      <c r="B34" s="55">
        <v>0.440889958896289</v>
      </c>
      <c r="C34" s="76" t="s">
        <v>34</v>
      </c>
      <c r="D34" s="55"/>
      <c r="E34" s="55">
        <v>2.25471248226262</v>
      </c>
      <c r="F34" s="56">
        <v>1</v>
      </c>
      <c r="G34" s="57">
        <f t="shared" si="0"/>
        <v>8.36637353682585e-5</v>
      </c>
      <c r="H34" s="57">
        <f t="shared" si="1"/>
        <v>0.000333333333333333</v>
      </c>
      <c r="I34" s="58">
        <f t="shared" si="2"/>
        <v>0.0180151625057177</v>
      </c>
      <c r="J34" s="58"/>
      <c r="K34" s="58">
        <f t="shared" si="3"/>
        <v>2.60505010098834</v>
      </c>
      <c r="L34" s="57">
        <f t="shared" si="4"/>
        <v>0.00108435284420679</v>
      </c>
      <c r="M34" s="57">
        <f t="shared" si="5"/>
        <v>0.0033381273802777</v>
      </c>
      <c r="N34" s="57">
        <f t="shared" si="6"/>
        <v>0.0796482742501747</v>
      </c>
      <c r="O34" s="59">
        <v>0.0302</v>
      </c>
      <c r="P34" s="60">
        <f t="shared" si="7"/>
        <v>0.0302</v>
      </c>
      <c r="Q34" s="61">
        <v>1000</v>
      </c>
      <c r="R34" s="59">
        <v>1.1616</v>
      </c>
      <c r="S34" s="59">
        <v>9.801</v>
      </c>
      <c r="T34" s="62">
        <v>4e-6</v>
      </c>
      <c r="U34" s="63">
        <v>1e-6</v>
      </c>
      <c r="V34" s="63">
        <f t="shared" si="27"/>
        <v>4e-6</v>
      </c>
      <c r="W34" s="64">
        <v>0.001147</v>
      </c>
      <c r="X34" s="64">
        <v>1.85e-5</v>
      </c>
      <c r="Y34" s="65" t="e">
        <f t="shared" si="8"/>
        <v>#VALUE!</v>
      </c>
      <c r="Z34" s="66">
        <f t="shared" si="9"/>
        <v>0.00225471248226262</v>
      </c>
      <c r="AA34" s="65">
        <f t="shared" si="10"/>
        <v>7.86870315267948</v>
      </c>
      <c r="AB34" s="65">
        <f t="shared" si="11"/>
        <v>29.0251610343803</v>
      </c>
      <c r="AC34" s="65">
        <f t="shared" si="12"/>
        <v>6.59942010987446</v>
      </c>
      <c r="AD34" s="67">
        <f t="shared" si="28"/>
        <v>4.39813810170247</v>
      </c>
      <c r="AE34" s="67">
        <f t="shared" si="29"/>
        <v>0.265994419713923</v>
      </c>
      <c r="AF34" s="67">
        <f t="shared" si="30"/>
        <v>0.0543052103045992</v>
      </c>
      <c r="AG34" s="67">
        <f t="shared" si="31"/>
        <v>0.358749894736535</v>
      </c>
      <c r="AH34" s="67">
        <f t="shared" si="32"/>
        <v>0.13153114130069</v>
      </c>
      <c r="AI34" s="67">
        <f t="shared" si="33"/>
        <v>0.90008566486992</v>
      </c>
      <c r="AJ34" s="67">
        <f t="shared" si="34"/>
        <v>0.313200681157157</v>
      </c>
      <c r="AK34" s="67" t="e">
        <f t="shared" si="35"/>
        <v>#VALUE!</v>
      </c>
      <c r="AL34" s="67" t="e">
        <f t="shared" si="36"/>
        <v>#VALUE!</v>
      </c>
      <c r="AM34" s="67" t="e">
        <f t="shared" si="37"/>
        <v>#VALUE!</v>
      </c>
      <c r="AN34" s="67">
        <f t="shared" si="38"/>
        <v>0.323217936236707</v>
      </c>
      <c r="AO34" s="67">
        <f t="shared" si="39"/>
        <v>0.226602816540826</v>
      </c>
      <c r="AP34" s="63">
        <f t="shared" si="13"/>
        <v>95.3275586802787</v>
      </c>
      <c r="AQ34" s="68"/>
      <c r="AR34" s="69">
        <f t="shared" si="15"/>
        <v>1028.89150043125</v>
      </c>
      <c r="AS34" s="69"/>
      <c r="AT34" s="69">
        <f t="shared" si="16"/>
        <v>0.0167450590349021</v>
      </c>
      <c r="AU34" s="69">
        <f t="shared" si="17"/>
        <v>7.08961533961622e-5</v>
      </c>
      <c r="AV34" s="65">
        <f t="shared" si="18"/>
        <v>0.0194819884804204</v>
      </c>
      <c r="AW34" s="68"/>
      <c r="AX34" s="68"/>
      <c r="AY34" s="68">
        <f t="shared" si="20"/>
        <v>24.09921975028</v>
      </c>
      <c r="AZ34" s="68">
        <f t="shared" si="21"/>
        <v>34.0934798407356</v>
      </c>
      <c r="BA34" s="71">
        <f t="shared" si="40"/>
        <v>0.0175822460422482</v>
      </c>
      <c r="BB34" s="71"/>
      <c r="BC34" s="65"/>
      <c r="BD34" s="65">
        <f t="shared" si="41"/>
        <v>0.0302394346838449</v>
      </c>
      <c r="BE34" s="65">
        <f t="shared" si="42"/>
        <v>0.64425769476532</v>
      </c>
      <c r="BF34" s="65">
        <f t="shared" si="22"/>
        <v>17.0453077095576</v>
      </c>
      <c r="BG34" s="69">
        <f t="shared" si="23"/>
        <v>0.00114295317000916</v>
      </c>
      <c r="BH34" s="69">
        <f t="shared" si="24"/>
        <v>4.66651361340249e-6</v>
      </c>
      <c r="BI34" s="72">
        <f t="shared" si="25"/>
        <v>22.5260491804861</v>
      </c>
      <c r="BJ34" s="72">
        <f t="shared" si="43"/>
        <v>2.19510542732166</v>
      </c>
      <c r="BK34" s="73">
        <f t="shared" si="26"/>
        <v>0.0620551175622284</v>
      </c>
      <c r="BL34" s="72">
        <f t="shared" si="44"/>
        <v>42.2240012541292</v>
      </c>
      <c r="BM34" s="74"/>
    </row>
    <row r="35" ht="25" customHeight="1" spans="1:65">
      <c r="A35" s="54">
        <v>60</v>
      </c>
      <c r="B35" s="55">
        <v>0.456876595583573</v>
      </c>
      <c r="C35" s="76" t="s">
        <v>34</v>
      </c>
      <c r="D35" s="55"/>
      <c r="E35" s="55">
        <v>2.17396943901787</v>
      </c>
      <c r="F35" s="56">
        <v>1</v>
      </c>
      <c r="G35" s="57">
        <f t="shared" si="0"/>
        <v>8.36637353682585e-5</v>
      </c>
      <c r="H35" s="57">
        <f t="shared" si="1"/>
        <v>0.000333333333333333</v>
      </c>
      <c r="I35" s="58">
        <f t="shared" si="2"/>
        <v>0.0194246919289947</v>
      </c>
      <c r="J35" s="58"/>
      <c r="K35" s="58">
        <f t="shared" si="3"/>
        <v>2.80493452292224</v>
      </c>
      <c r="L35" s="57">
        <f t="shared" si="4"/>
        <v>0.00106476006893226</v>
      </c>
      <c r="M35" s="57">
        <f t="shared" si="5"/>
        <v>0.00300262695505429</v>
      </c>
      <c r="N35" s="57">
        <f t="shared" si="6"/>
        <v>0.0904664207317878</v>
      </c>
      <c r="O35" s="59">
        <v>0.0302</v>
      </c>
      <c r="P35" s="60">
        <f t="shared" si="7"/>
        <v>0.0302</v>
      </c>
      <c r="Q35" s="61">
        <v>1000</v>
      </c>
      <c r="R35" s="59">
        <v>1.1616</v>
      </c>
      <c r="S35" s="59">
        <v>9.801</v>
      </c>
      <c r="T35" s="62">
        <v>4e-6</v>
      </c>
      <c r="U35" s="63">
        <v>1e-6</v>
      </c>
      <c r="V35" s="63">
        <f t="shared" si="27"/>
        <v>4e-6</v>
      </c>
      <c r="W35" s="64">
        <v>0.001147</v>
      </c>
      <c r="X35" s="64">
        <v>1.85e-5</v>
      </c>
      <c r="Y35" s="65" t="e">
        <f t="shared" si="8"/>
        <v>#VALUE!</v>
      </c>
      <c r="Z35" s="66">
        <f t="shared" si="9"/>
        <v>0.00217396943901787</v>
      </c>
      <c r="AA35" s="65">
        <f t="shared" si="10"/>
        <v>8.60021526972659</v>
      </c>
      <c r="AB35" s="65">
        <f t="shared" si="11"/>
        <v>30.0520642983501</v>
      </c>
      <c r="AC35" s="65">
        <f t="shared" si="12"/>
        <v>6.13522234921878</v>
      </c>
      <c r="AD35" s="67">
        <f t="shared" si="28"/>
        <v>4.89828446106387</v>
      </c>
      <c r="AE35" s="67">
        <f t="shared" si="29"/>
        <v>0.256468948460811</v>
      </c>
      <c r="AF35" s="67">
        <f t="shared" si="30"/>
        <v>0.047509343071978</v>
      </c>
      <c r="AG35" s="67">
        <f t="shared" si="31"/>
        <v>0.388237654999176</v>
      </c>
      <c r="AH35" s="67">
        <f t="shared" si="32"/>
        <v>0.130514908026045</v>
      </c>
      <c r="AI35" s="67">
        <f t="shared" si="33"/>
        <v>0.888197422226069</v>
      </c>
      <c r="AJ35" s="67">
        <f t="shared" si="34"/>
        <v>0.284705569072661</v>
      </c>
      <c r="AK35" s="67" t="e">
        <f t="shared" si="35"/>
        <v>#VALUE!</v>
      </c>
      <c r="AL35" s="67" t="e">
        <f t="shared" si="36"/>
        <v>#VALUE!</v>
      </c>
      <c r="AM35" s="67" t="e">
        <f t="shared" si="37"/>
        <v>#VALUE!</v>
      </c>
      <c r="AN35" s="67">
        <f t="shared" si="38"/>
        <v>0.296389628519924</v>
      </c>
      <c r="AO35" s="67">
        <f t="shared" si="39"/>
        <v>0.242649212873308</v>
      </c>
      <c r="AP35" s="63">
        <f t="shared" si="13"/>
        <v>98.7841287748266</v>
      </c>
      <c r="AQ35" s="68"/>
      <c r="AR35" s="69">
        <f t="shared" si="15"/>
        <v>958.147065029258</v>
      </c>
      <c r="AS35" s="69"/>
      <c r="AT35" s="69">
        <f t="shared" si="16"/>
        <v>0.0173522336137205</v>
      </c>
      <c r="AU35" s="69">
        <f t="shared" si="17"/>
        <v>7.22007218542115e-5</v>
      </c>
      <c r="AV35" s="65">
        <f t="shared" si="18"/>
        <v>0.0184449159448161</v>
      </c>
      <c r="AW35" s="68"/>
      <c r="AX35" s="68"/>
      <c r="AY35" s="68">
        <f t="shared" si="20"/>
        <v>22.8163610237375</v>
      </c>
      <c r="AZ35" s="68">
        <f t="shared" si="21"/>
        <v>32.2786029034282</v>
      </c>
      <c r="BA35" s="71">
        <f t="shared" si="40"/>
        <v>0.0179057790198445</v>
      </c>
      <c r="BB35" s="71"/>
      <c r="BC35" s="65"/>
      <c r="BD35" s="65">
        <f t="shared" si="41"/>
        <v>0.0261794665560428</v>
      </c>
      <c r="BE35" s="65">
        <f t="shared" si="42"/>
        <v>0.704556599934181</v>
      </c>
      <c r="BF35" s="65">
        <f t="shared" si="22"/>
        <v>14.2283400556569</v>
      </c>
      <c r="BG35" s="69">
        <f t="shared" si="23"/>
        <v>0.00129635051402098</v>
      </c>
      <c r="BH35" s="69">
        <f t="shared" si="24"/>
        <v>4.49176202912594e-6</v>
      </c>
      <c r="BI35" s="72">
        <f t="shared" si="25"/>
        <v>21.3269340611936</v>
      </c>
      <c r="BJ35" s="72">
        <f t="shared" si="43"/>
        <v>2.0072391096829</v>
      </c>
      <c r="BK35" s="73">
        <f t="shared" si="26"/>
        <v>0.0908275476341337</v>
      </c>
      <c r="BL35" s="72">
        <f t="shared" si="44"/>
        <v>42.3225089967877</v>
      </c>
      <c r="BM35" s="74"/>
    </row>
    <row r="36" ht="25" customHeight="1" spans="1:65">
      <c r="A36" s="54">
        <v>61</v>
      </c>
      <c r="B36" s="55">
        <v>0.958670797549637</v>
      </c>
      <c r="C36" s="55">
        <v>0.239926808823828</v>
      </c>
      <c r="D36" s="55"/>
      <c r="E36" s="55">
        <v>2.15492154926932</v>
      </c>
      <c r="F36" s="56">
        <v>1</v>
      </c>
      <c r="G36" s="57">
        <f t="shared" si="0"/>
        <v>8.36637353682585e-5</v>
      </c>
      <c r="H36" s="57">
        <f t="shared" si="1"/>
        <v>0.000333333333333333</v>
      </c>
      <c r="I36" s="58">
        <f t="shared" si="2"/>
        <v>0.0411522142893953</v>
      </c>
      <c r="J36" s="58"/>
      <c r="K36" s="58">
        <f t="shared" si="3"/>
        <v>12.3580953703783</v>
      </c>
      <c r="L36" s="57">
        <f t="shared" si="4"/>
        <v>0.00106008519788612</v>
      </c>
      <c r="M36" s="57">
        <f t="shared" si="5"/>
        <v>0.000676283455924891</v>
      </c>
      <c r="N36" s="57">
        <f t="shared" si="6"/>
        <v>0.403750963452386</v>
      </c>
      <c r="O36" s="59">
        <v>0.0302</v>
      </c>
      <c r="P36" s="60">
        <f t="shared" si="7"/>
        <v>0.0302</v>
      </c>
      <c r="Q36" s="61">
        <v>1000</v>
      </c>
      <c r="R36" s="59">
        <v>1.1616</v>
      </c>
      <c r="S36" s="59">
        <v>9.801</v>
      </c>
      <c r="T36" s="62">
        <v>4e-6</v>
      </c>
      <c r="U36" s="63">
        <v>1e-6</v>
      </c>
      <c r="V36" s="63">
        <f t="shared" ref="V36:V67" si="45">0.000003+0.000001*F36</f>
        <v>4e-6</v>
      </c>
      <c r="W36" s="64">
        <v>0.001147</v>
      </c>
      <c r="X36" s="64">
        <v>1.85e-5</v>
      </c>
      <c r="Y36" s="65">
        <f t="shared" si="8"/>
        <v>6.81497708731085</v>
      </c>
      <c r="Z36" s="66">
        <f t="shared" si="9"/>
        <v>0.00215492154926932</v>
      </c>
      <c r="AA36" s="65">
        <f t="shared" si="10"/>
        <v>44.8037562729081</v>
      </c>
      <c r="AB36" s="65">
        <f t="shared" si="11"/>
        <v>131.157615843054</v>
      </c>
      <c r="AC36" s="65">
        <f t="shared" si="12"/>
        <v>6.02818213844176</v>
      </c>
      <c r="AD36" s="67">
        <f t="shared" ref="AD36:AD67" si="46">AB36/AC36</f>
        <v>21.7574075950129</v>
      </c>
      <c r="AE36" s="67">
        <f t="shared" ref="AE36:AE67" si="47">2*AD36*BD36</f>
        <v>0.254221818318809</v>
      </c>
      <c r="AF36" s="67">
        <f t="shared" ref="AF36:AF67" si="48">HARMEAN(AE36,BD36)</f>
        <v>0.0114218970575788</v>
      </c>
      <c r="AG36" s="67">
        <f t="shared" ref="AG36:AG67" si="49">AV36/AF36</f>
        <v>1.59369600160588</v>
      </c>
      <c r="AH36" s="67">
        <f t="shared" ref="AH36:AH67" si="50">AV36/AVERAGE((AE36,BD36))</f>
        <v>0.139988857272699</v>
      </c>
      <c r="AI36" s="67">
        <f t="shared" ref="AI36:AI67" si="51">ATAN((1+1/AD36)/SQRT(1-1/(AD36^2)))</f>
        <v>0.808386941015838</v>
      </c>
      <c r="AJ36" s="67">
        <f t="shared" ref="AJ36:AJ67" si="52">2*(PI()/2-AI36)/SQRT(AD36^2-1)</f>
        <v>0.0701568819735122</v>
      </c>
      <c r="AK36" s="67">
        <f t="shared" ref="AK36:AK67" si="53">((9.8)/(9.8-C36))*2*AD36*(PI()-2*AI36)/SQRT(AD36^2-1)</f>
        <v>3.12948072518892</v>
      </c>
      <c r="AL36" s="67">
        <f t="shared" ref="AL36:AL67" si="54">AK36*BD36</f>
        <v>0.018283021009671</v>
      </c>
      <c r="AM36" s="67">
        <f t="shared" ref="AM36:AM67" si="55">AV36/AL36</f>
        <v>0.995624938667884</v>
      </c>
      <c r="AN36" s="67">
        <f t="shared" ref="AN36:AN67" si="56">1.99297-1.34937*AD36+0.460643*(AD36^2)-0.0802005*(AD36^3)+0.00679617*(AD36^4)-0.000222018*AD36^5</f>
        <v>-194.854470478062</v>
      </c>
      <c r="AO36" s="67">
        <f t="shared" ref="AO36:AO67" si="57">AV36/(2*AD36*AN36*BD36)</f>
        <v>-0.000367468849739799</v>
      </c>
      <c r="AP36" s="63">
        <f t="shared" si="13"/>
        <v>207.280172443165</v>
      </c>
      <c r="AQ36" s="68"/>
      <c r="AR36" s="69">
        <f t="shared" si="15"/>
        <v>217.616088029874</v>
      </c>
      <c r="AS36" s="69"/>
      <c r="AT36" s="69">
        <f t="shared" si="16"/>
        <v>0.0364104438671998</v>
      </c>
      <c r="AU36" s="69">
        <f t="shared" si="17"/>
        <v>7.25191199082357e-5</v>
      </c>
      <c r="AV36" s="65">
        <f t="shared" si="18"/>
        <v>0.0182030316714174</v>
      </c>
      <c r="AW36" s="68"/>
      <c r="AX36" s="68"/>
      <c r="AY36" s="68">
        <f t="shared" si="20"/>
        <v>22.5171501775433</v>
      </c>
      <c r="AZ36" s="68">
        <f t="shared" si="21"/>
        <v>31.8553054249804</v>
      </c>
      <c r="BA36" s="71">
        <f t="shared" si="40"/>
        <v>0.0179847417372425</v>
      </c>
      <c r="BB36" s="71"/>
      <c r="BC36" s="65"/>
      <c r="BD36" s="65">
        <f t="shared" ref="BD36:BD67" si="58">X36*(Z36)^2/(Q36*(B36*V36)^2)</f>
        <v>0.00584219000376408</v>
      </c>
      <c r="BE36" s="65">
        <f t="shared" si="42"/>
        <v>3.11578905507854</v>
      </c>
      <c r="BF36" s="65">
        <f t="shared" si="22"/>
        <v>3.14736528350926</v>
      </c>
      <c r="BG36" s="69">
        <f t="shared" si="23"/>
        <v>0.00578357770125789</v>
      </c>
      <c r="BH36" s="69">
        <f t="shared" si="24"/>
        <v>1.92615841661487e-5</v>
      </c>
      <c r="BI36" s="72">
        <f t="shared" si="25"/>
        <v>21.0472553700763</v>
      </c>
      <c r="BJ36" s="72">
        <f t="shared" ref="BJ36:BJ67" si="59">((Z36*2)^2)*(AU36)/(SQRT(2)*AB36*((V36)^2))</f>
        <v>0.453886170524932</v>
      </c>
      <c r="BK36" s="73">
        <f t="shared" si="26"/>
        <v>0.0224434982611982</v>
      </c>
      <c r="BL36" s="72">
        <f t="shared" ref="BL36:BL67" si="60">AB36+2*AC36</f>
        <v>143.213980119937</v>
      </c>
      <c r="BM36" s="74"/>
    </row>
    <row r="37" ht="25" customHeight="1" spans="1:65">
      <c r="A37" s="54">
        <v>62</v>
      </c>
      <c r="B37" s="55">
        <v>0.548373697696861</v>
      </c>
      <c r="C37" s="55">
        <v>-3.09583019582868</v>
      </c>
      <c r="D37" s="55"/>
      <c r="E37" s="55">
        <v>2.17410467374145</v>
      </c>
      <c r="F37" s="56">
        <v>1</v>
      </c>
      <c r="G37" s="57">
        <f t="shared" si="0"/>
        <v>8.36637353682585e-5</v>
      </c>
      <c r="H37" s="57">
        <f t="shared" si="1"/>
        <v>0.000333333333333333</v>
      </c>
      <c r="I37" s="58">
        <f t="shared" si="2"/>
        <v>0.0233132268334406</v>
      </c>
      <c r="J37" s="58"/>
      <c r="K37" s="58">
        <f t="shared" si="3"/>
        <v>4.0408814762249</v>
      </c>
      <c r="L37" s="57">
        <f t="shared" si="4"/>
        <v>0.00106479318584085</v>
      </c>
      <c r="M37" s="57">
        <f t="shared" si="5"/>
        <v>0.00208435478035525</v>
      </c>
      <c r="N37" s="57">
        <f t="shared" si="6"/>
        <v>0.130317045479493</v>
      </c>
      <c r="O37" s="59">
        <v>0.0302</v>
      </c>
      <c r="P37" s="60">
        <f t="shared" si="7"/>
        <v>0.0302</v>
      </c>
      <c r="Q37" s="61">
        <v>1000</v>
      </c>
      <c r="R37" s="59">
        <v>1.1616</v>
      </c>
      <c r="S37" s="59">
        <v>9.801</v>
      </c>
      <c r="T37" s="62">
        <v>4e-6</v>
      </c>
      <c r="U37" s="63">
        <v>1e-6</v>
      </c>
      <c r="V37" s="63">
        <f t="shared" si="45"/>
        <v>4e-6</v>
      </c>
      <c r="W37" s="64">
        <v>0.001147</v>
      </c>
      <c r="X37" s="64">
        <v>1.85e-5</v>
      </c>
      <c r="Y37" s="65">
        <f t="shared" si="8"/>
        <v>4.55640490394864</v>
      </c>
      <c r="Z37" s="66">
        <f t="shared" si="9"/>
        <v>0.00217410467374145</v>
      </c>
      <c r="AA37" s="65">
        <f t="shared" si="10"/>
        <v>13.2881606689974</v>
      </c>
      <c r="AB37" s="65">
        <f t="shared" si="11"/>
        <v>43.2968932069873</v>
      </c>
      <c r="AC37" s="65">
        <f t="shared" si="12"/>
        <v>6.13598567264896</v>
      </c>
      <c r="AD37" s="67">
        <f t="shared" si="46"/>
        <v>7.05622462581396</v>
      </c>
      <c r="AE37" s="67">
        <f t="shared" si="47"/>
        <v>0.256484902460315</v>
      </c>
      <c r="AF37" s="67">
        <f t="shared" si="48"/>
        <v>0.0339435253928395</v>
      </c>
      <c r="AG37" s="67">
        <f t="shared" si="49"/>
        <v>0.543450830303852</v>
      </c>
      <c r="AH37" s="67">
        <f t="shared" si="50"/>
        <v>0.134323787862306</v>
      </c>
      <c r="AI37" s="67">
        <f t="shared" si="51"/>
        <v>0.856496948153897</v>
      </c>
      <c r="AJ37" s="67">
        <f t="shared" si="52"/>
        <v>0.204523632335877</v>
      </c>
      <c r="AK37" s="67">
        <f t="shared" si="53"/>
        <v>2.19342434841586</v>
      </c>
      <c r="AL37" s="67">
        <f t="shared" si="54"/>
        <v>0.0398641100511044</v>
      </c>
      <c r="AM37" s="67">
        <f t="shared" si="55"/>
        <v>0.462737962406047</v>
      </c>
      <c r="AN37" s="67">
        <f t="shared" si="56"/>
        <v>0.194571438183386</v>
      </c>
      <c r="AO37" s="67">
        <f t="shared" si="57"/>
        <v>0.369637741291457</v>
      </c>
      <c r="AP37" s="63">
        <f t="shared" si="13"/>
        <v>118.56728598851</v>
      </c>
      <c r="AQ37" s="68"/>
      <c r="AR37" s="69">
        <f t="shared" si="15"/>
        <v>665.084403545134</v>
      </c>
      <c r="AS37" s="69"/>
      <c r="AT37" s="69">
        <f t="shared" si="16"/>
        <v>0.0208273056708046</v>
      </c>
      <c r="AU37" s="69">
        <f t="shared" si="17"/>
        <v>7.21984762869622e-5</v>
      </c>
      <c r="AV37" s="65">
        <f t="shared" si="18"/>
        <v>0.0184466370581785</v>
      </c>
      <c r="AW37" s="68"/>
      <c r="AX37" s="68"/>
      <c r="AY37" s="68">
        <f t="shared" si="20"/>
        <v>22.8184900409668</v>
      </c>
      <c r="AZ37" s="68">
        <f t="shared" si="21"/>
        <v>32.2816148518124</v>
      </c>
      <c r="BA37" s="71">
        <f t="shared" si="40"/>
        <v>0.0179052221191666</v>
      </c>
      <c r="BB37" s="71"/>
      <c r="BC37" s="65"/>
      <c r="BD37" s="65">
        <f t="shared" si="58"/>
        <v>0.0181743719950475</v>
      </c>
      <c r="BE37" s="65">
        <f t="shared" si="42"/>
        <v>1.01498071367777</v>
      </c>
      <c r="BF37" s="65">
        <f t="shared" si="22"/>
        <v>9.87824677418712</v>
      </c>
      <c r="BG37" s="69">
        <f t="shared" si="23"/>
        <v>0.00186739990201313</v>
      </c>
      <c r="BH37" s="69">
        <f t="shared" si="24"/>
        <v>6.47221886028436e-6</v>
      </c>
      <c r="BI37" s="72">
        <f t="shared" si="25"/>
        <v>21.3289240985189</v>
      </c>
      <c r="BJ37" s="72">
        <f t="shared" si="59"/>
        <v>1.39334032983614</v>
      </c>
      <c r="BK37" s="73">
        <f t="shared" si="26"/>
        <v>0.0630074920539986</v>
      </c>
      <c r="BL37" s="72">
        <f t="shared" si="60"/>
        <v>55.5688645522852</v>
      </c>
      <c r="BM37" s="74"/>
    </row>
    <row r="38" ht="25" customHeight="1" spans="1:65">
      <c r="A38" s="54">
        <v>63</v>
      </c>
      <c r="B38" s="55">
        <v>0.668532759232426</v>
      </c>
      <c r="C38" s="55">
        <v>-3.33526910502566</v>
      </c>
      <c r="D38" s="55"/>
      <c r="E38" s="55">
        <v>2.16744375255596</v>
      </c>
      <c r="F38" s="56">
        <v>1</v>
      </c>
      <c r="G38" s="57">
        <f t="shared" si="0"/>
        <v>8.36637353682585e-5</v>
      </c>
      <c r="H38" s="57">
        <f t="shared" si="1"/>
        <v>0.000333333333333333</v>
      </c>
      <c r="I38" s="58">
        <f t="shared" si="2"/>
        <v>0.028516853818597</v>
      </c>
      <c r="J38" s="58"/>
      <c r="K38" s="58">
        <f t="shared" si="3"/>
        <v>6.00714768812943</v>
      </c>
      <c r="L38" s="57">
        <f t="shared" si="4"/>
        <v>0.00106316080255817</v>
      </c>
      <c r="M38" s="57">
        <f t="shared" si="5"/>
        <v>0.00139834112900182</v>
      </c>
      <c r="N38" s="57">
        <f t="shared" si="6"/>
        <v>0.194601044626885</v>
      </c>
      <c r="O38" s="59">
        <v>0.0302</v>
      </c>
      <c r="P38" s="60">
        <f t="shared" si="7"/>
        <v>0.0302</v>
      </c>
      <c r="Q38" s="61">
        <v>1000</v>
      </c>
      <c r="R38" s="59">
        <v>1.1616</v>
      </c>
      <c r="S38" s="59">
        <v>9.801</v>
      </c>
      <c r="T38" s="62">
        <v>4e-6</v>
      </c>
      <c r="U38" s="63">
        <v>1e-6</v>
      </c>
      <c r="V38" s="63">
        <f t="shared" si="45"/>
        <v>4e-6</v>
      </c>
      <c r="W38" s="64">
        <v>0.001147</v>
      </c>
      <c r="X38" s="64">
        <v>1.85e-5</v>
      </c>
      <c r="Y38" s="65">
        <f t="shared" si="8"/>
        <v>4.46393261460543</v>
      </c>
      <c r="Z38" s="66">
        <f t="shared" si="9"/>
        <v>0.00216744375255596</v>
      </c>
      <c r="AA38" s="65">
        <f t="shared" si="10"/>
        <v>20.7408792134007</v>
      </c>
      <c r="AB38" s="65">
        <f t="shared" si="11"/>
        <v>64.1528973328695</v>
      </c>
      <c r="AC38" s="65">
        <f t="shared" si="12"/>
        <v>6.09844497129276</v>
      </c>
      <c r="AD38" s="67">
        <f t="shared" si="46"/>
        <v>10.5195500877448</v>
      </c>
      <c r="AE38" s="67">
        <f t="shared" si="47"/>
        <v>0.255699095897646</v>
      </c>
      <c r="AF38" s="67">
        <f t="shared" si="48"/>
        <v>0.0232041320980988</v>
      </c>
      <c r="AG38" s="67">
        <f t="shared" si="49"/>
        <v>0.791321477451378</v>
      </c>
      <c r="AH38" s="67">
        <f t="shared" si="50"/>
        <v>0.137104714302435</v>
      </c>
      <c r="AI38" s="67">
        <f t="shared" si="51"/>
        <v>0.833000591801465</v>
      </c>
      <c r="AJ38" s="67">
        <f t="shared" si="52"/>
        <v>0.140909464892712</v>
      </c>
      <c r="AK38" s="67">
        <f t="shared" si="53"/>
        <v>2.2118436686537</v>
      </c>
      <c r="AL38" s="67">
        <f t="shared" si="54"/>
        <v>0.0268816832290463</v>
      </c>
      <c r="AM38" s="67">
        <f t="shared" si="55"/>
        <v>0.683064670407395</v>
      </c>
      <c r="AN38" s="67">
        <f t="shared" si="56"/>
        <v>0.036028143028652</v>
      </c>
      <c r="AO38" s="67">
        <f t="shared" si="57"/>
        <v>1.9931831713899</v>
      </c>
      <c r="AP38" s="63">
        <f t="shared" si="13"/>
        <v>144.547623617822</v>
      </c>
      <c r="AQ38" s="68"/>
      <c r="AR38" s="69">
        <f t="shared" si="15"/>
        <v>447.491313187433</v>
      </c>
      <c r="AS38" s="69"/>
      <c r="AT38" s="69">
        <f t="shared" si="16"/>
        <v>0.0253909627430329</v>
      </c>
      <c r="AU38" s="69">
        <f t="shared" si="17"/>
        <v>7.23093302475691e-5</v>
      </c>
      <c r="AV38" s="65">
        <f t="shared" si="18"/>
        <v>0.0183619280948445</v>
      </c>
      <c r="AW38" s="68"/>
      <c r="AX38" s="68"/>
      <c r="AY38" s="68">
        <f t="shared" si="20"/>
        <v>22.7137050533226</v>
      </c>
      <c r="AZ38" s="68">
        <f t="shared" si="21"/>
        <v>32.1333741659778</v>
      </c>
      <c r="BA38" s="71">
        <f t="shared" si="40"/>
        <v>0.0179327139013972</v>
      </c>
      <c r="BB38" s="71"/>
      <c r="BC38" s="65"/>
      <c r="BD38" s="65">
        <f t="shared" si="58"/>
        <v>0.0121535186279275</v>
      </c>
      <c r="BE38" s="65">
        <f t="shared" si="42"/>
        <v>1.51083226652162</v>
      </c>
      <c r="BF38" s="65">
        <f t="shared" si="22"/>
        <v>6.5855170054185</v>
      </c>
      <c r="BG38" s="69">
        <f t="shared" si="23"/>
        <v>0.00278822878746444</v>
      </c>
      <c r="BH38" s="69">
        <f t="shared" si="24"/>
        <v>9.53119835697429e-6</v>
      </c>
      <c r="BI38" s="72">
        <f t="shared" si="25"/>
        <v>21.2309793596639</v>
      </c>
      <c r="BJ38" s="72">
        <f t="shared" si="59"/>
        <v>0.936049350884616</v>
      </c>
      <c r="BK38" s="73">
        <f t="shared" si="26"/>
        <v>0.0436942082735565</v>
      </c>
      <c r="BL38" s="72">
        <f t="shared" si="60"/>
        <v>76.349787275455</v>
      </c>
      <c r="BM38" s="74"/>
    </row>
    <row r="39" ht="25" customHeight="1" spans="1:65">
      <c r="A39" s="54">
        <v>64</v>
      </c>
      <c r="B39" s="55">
        <v>0.543662457590358</v>
      </c>
      <c r="C39" s="55">
        <v>-1.1218535902834</v>
      </c>
      <c r="D39" s="55"/>
      <c r="E39" s="55">
        <v>2.09332557239659</v>
      </c>
      <c r="F39" s="56">
        <v>1</v>
      </c>
      <c r="G39" s="57">
        <f t="shared" si="0"/>
        <v>8.36637353682585e-5</v>
      </c>
      <c r="H39" s="57">
        <f t="shared" si="1"/>
        <v>0.000333333333333333</v>
      </c>
      <c r="I39" s="58">
        <f t="shared" si="2"/>
        <v>0.0240883694619267</v>
      </c>
      <c r="J39" s="58"/>
      <c r="K39" s="58">
        <f t="shared" si="3"/>
        <v>3.983221360138</v>
      </c>
      <c r="L39" s="57">
        <f t="shared" si="4"/>
        <v>0.00104482469254444</v>
      </c>
      <c r="M39" s="57">
        <f t="shared" si="5"/>
        <v>0.00204575219148915</v>
      </c>
      <c r="N39" s="57">
        <f t="shared" si="6"/>
        <v>0.135779776603637</v>
      </c>
      <c r="O39" s="59">
        <v>0.0302</v>
      </c>
      <c r="P39" s="60">
        <f t="shared" si="7"/>
        <v>0.0302</v>
      </c>
      <c r="Q39" s="61">
        <v>1000</v>
      </c>
      <c r="R39" s="59">
        <v>1.1616</v>
      </c>
      <c r="S39" s="59">
        <v>9.801</v>
      </c>
      <c r="T39" s="62">
        <v>4e-6</v>
      </c>
      <c r="U39" s="63">
        <v>1e-6</v>
      </c>
      <c r="V39" s="63">
        <f t="shared" si="45"/>
        <v>4e-6</v>
      </c>
      <c r="W39" s="64">
        <v>0.001147</v>
      </c>
      <c r="X39" s="64">
        <v>1.85e-5</v>
      </c>
      <c r="Y39" s="65">
        <f t="shared" si="8"/>
        <v>5.39333808149423</v>
      </c>
      <c r="Z39" s="66">
        <f t="shared" si="9"/>
        <v>0.00209332557239659</v>
      </c>
      <c r="AA39" s="65">
        <f t="shared" si="10"/>
        <v>13.0259361770228</v>
      </c>
      <c r="AB39" s="65">
        <f t="shared" si="11"/>
        <v>40.9749582354826</v>
      </c>
      <c r="AC39" s="65">
        <f t="shared" si="12"/>
        <v>5.68848995258772</v>
      </c>
      <c r="AD39" s="67">
        <f t="shared" si="46"/>
        <v>7.20313450089561</v>
      </c>
      <c r="AE39" s="67">
        <f t="shared" si="47"/>
        <v>0.246955177337369</v>
      </c>
      <c r="AF39" s="67">
        <f t="shared" si="48"/>
        <v>0.0320590504175485</v>
      </c>
      <c r="AG39" s="67">
        <f t="shared" si="49"/>
        <v>0.543627029935025</v>
      </c>
      <c r="AH39" s="67">
        <f t="shared" si="50"/>
        <v>0.131982879847124</v>
      </c>
      <c r="AI39" s="67">
        <f t="shared" si="51"/>
        <v>0.855037318855396</v>
      </c>
      <c r="AJ39" s="67">
        <f t="shared" si="52"/>
        <v>0.200678711028882</v>
      </c>
      <c r="AK39" s="67">
        <f t="shared" si="53"/>
        <v>2.59407511803222</v>
      </c>
      <c r="AL39" s="67">
        <f t="shared" si="54"/>
        <v>0.0444681604043666</v>
      </c>
      <c r="AM39" s="67">
        <f t="shared" si="55"/>
        <v>0.391924608586186</v>
      </c>
      <c r="AN39" s="67">
        <f t="shared" si="56"/>
        <v>0.190547048293855</v>
      </c>
      <c r="AO39" s="67">
        <f t="shared" si="57"/>
        <v>0.370366191573181</v>
      </c>
      <c r="AP39" s="63">
        <f t="shared" si="13"/>
        <v>117.548639478996</v>
      </c>
      <c r="AQ39" s="68"/>
      <c r="AR39" s="69">
        <f t="shared" si="15"/>
        <v>676.661251549476</v>
      </c>
      <c r="AS39" s="69"/>
      <c r="AT39" s="69">
        <f t="shared" si="16"/>
        <v>0.0206483721475543</v>
      </c>
      <c r="AU39" s="69">
        <f t="shared" si="17"/>
        <v>7.35783200062334e-5</v>
      </c>
      <c r="AV39" s="65">
        <f t="shared" si="18"/>
        <v>0.0174281663610291</v>
      </c>
      <c r="AW39" s="68"/>
      <c r="AX39" s="68"/>
      <c r="AY39" s="68">
        <f t="shared" si="20"/>
        <v>21.558641788593</v>
      </c>
      <c r="AZ39" s="68">
        <f t="shared" si="21"/>
        <v>30.4992911318009</v>
      </c>
      <c r="BA39" s="71">
        <f t="shared" si="40"/>
        <v>0.0182474233615459</v>
      </c>
      <c r="BB39" s="71"/>
      <c r="BC39" s="65"/>
      <c r="BD39" s="65">
        <f t="shared" si="58"/>
        <v>0.0171422022805949</v>
      </c>
      <c r="BE39" s="65">
        <f t="shared" si="42"/>
        <v>1.01668187527794</v>
      </c>
      <c r="BF39" s="65">
        <f t="shared" si="22"/>
        <v>8.97105260029113</v>
      </c>
      <c r="BG39" s="69">
        <f t="shared" si="23"/>
        <v>0.00194271142278929</v>
      </c>
      <c r="BH39" s="69">
        <f t="shared" si="24"/>
        <v>5.6784216559457e-6</v>
      </c>
      <c r="BI39" s="72">
        <f t="shared" si="25"/>
        <v>20.1513173549399</v>
      </c>
      <c r="BJ39" s="72">
        <f t="shared" si="59"/>
        <v>1.39100892497614</v>
      </c>
      <c r="BK39" s="73">
        <f t="shared" si="26"/>
        <v>0.0884203486920748</v>
      </c>
      <c r="BL39" s="72">
        <f t="shared" si="60"/>
        <v>52.351938140658</v>
      </c>
      <c r="BM39" s="74"/>
    </row>
    <row r="40" ht="25" customHeight="1" spans="1:65">
      <c r="A40" s="54">
        <v>65</v>
      </c>
      <c r="B40" s="55">
        <v>0.476753154840519</v>
      </c>
      <c r="C40" s="55">
        <v>-4.1506613047098</v>
      </c>
      <c r="D40" s="55"/>
      <c r="E40" s="55">
        <v>2.12906697460238</v>
      </c>
      <c r="F40" s="56">
        <v>1</v>
      </c>
      <c r="G40" s="57">
        <f t="shared" si="0"/>
        <v>8.36637353682585e-5</v>
      </c>
      <c r="H40" s="57">
        <f t="shared" si="1"/>
        <v>0.000333333333333333</v>
      </c>
      <c r="I40" s="58">
        <f t="shared" si="2"/>
        <v>0.0207366581620722</v>
      </c>
      <c r="J40" s="58"/>
      <c r="K40" s="58">
        <f t="shared" si="3"/>
        <v>3.05912856414848</v>
      </c>
      <c r="L40" s="57">
        <f t="shared" si="4"/>
        <v>0.00105370659939076</v>
      </c>
      <c r="M40" s="57">
        <f t="shared" si="5"/>
        <v>0.00270334989751413</v>
      </c>
      <c r="N40" s="57">
        <f t="shared" si="6"/>
        <v>0.101726821615529</v>
      </c>
      <c r="O40" s="59">
        <v>0.0302</v>
      </c>
      <c r="P40" s="60">
        <f t="shared" si="7"/>
        <v>0.0302</v>
      </c>
      <c r="Q40" s="61">
        <v>1000</v>
      </c>
      <c r="R40" s="59">
        <v>1.1616</v>
      </c>
      <c r="S40" s="59">
        <v>9.801</v>
      </c>
      <c r="T40" s="62">
        <v>4e-6</v>
      </c>
      <c r="U40" s="63">
        <v>1e-6</v>
      </c>
      <c r="V40" s="63">
        <f t="shared" si="45"/>
        <v>4e-6</v>
      </c>
      <c r="W40" s="64">
        <v>0.001147</v>
      </c>
      <c r="X40" s="64">
        <v>1.85e-5</v>
      </c>
      <c r="Y40" s="65">
        <f t="shared" si="8"/>
        <v>3.70235380162339</v>
      </c>
      <c r="Z40" s="66">
        <f t="shared" si="9"/>
        <v>0.00212906697460238</v>
      </c>
      <c r="AA40" s="65">
        <f t="shared" si="10"/>
        <v>9.5460535499688</v>
      </c>
      <c r="AB40" s="65">
        <f t="shared" si="11"/>
        <v>32.0478963451122</v>
      </c>
      <c r="AC40" s="65">
        <f t="shared" si="12"/>
        <v>5.88439861101181</v>
      </c>
      <c r="AD40" s="67">
        <f t="shared" si="46"/>
        <v>5.44624837024792</v>
      </c>
      <c r="AE40" s="67">
        <f t="shared" si="47"/>
        <v>0.251171685479441</v>
      </c>
      <c r="AF40" s="67">
        <f t="shared" si="48"/>
        <v>0.0422403622990556</v>
      </c>
      <c r="AG40" s="67">
        <f t="shared" si="49"/>
        <v>0.423207035637134</v>
      </c>
      <c r="AH40" s="67">
        <f t="shared" si="50"/>
        <v>0.130374971621996</v>
      </c>
      <c r="AI40" s="67">
        <f t="shared" si="51"/>
        <v>0.877728319974049</v>
      </c>
      <c r="AJ40" s="67">
        <f t="shared" si="52"/>
        <v>0.258913961939524</v>
      </c>
      <c r="AK40" s="67">
        <f t="shared" si="53"/>
        <v>1.98113554361194</v>
      </c>
      <c r="AL40" s="67">
        <f t="shared" si="54"/>
        <v>0.0456832960805263</v>
      </c>
      <c r="AM40" s="67">
        <f t="shared" si="55"/>
        <v>0.391311924632385</v>
      </c>
      <c r="AN40" s="67">
        <f t="shared" si="56"/>
        <v>0.266942497504612</v>
      </c>
      <c r="AO40" s="67">
        <f t="shared" si="57"/>
        <v>0.266619625616648</v>
      </c>
      <c r="AP40" s="63">
        <f t="shared" si="13"/>
        <v>103.081763208761</v>
      </c>
      <c r="AQ40" s="68"/>
      <c r="AR40" s="69">
        <f t="shared" si="15"/>
        <v>879.919301842596</v>
      </c>
      <c r="AS40" s="69"/>
      <c r="AT40" s="69">
        <f t="shared" si="16"/>
        <v>0.0181071479669561</v>
      </c>
      <c r="AU40" s="69">
        <f t="shared" si="17"/>
        <v>7.2958113409272e-5</v>
      </c>
      <c r="AV40" s="65">
        <f t="shared" si="18"/>
        <v>0.0178764185128219</v>
      </c>
      <c r="AW40" s="68"/>
      <c r="AX40" s="68"/>
      <c r="AY40" s="68">
        <f t="shared" si="20"/>
        <v>22.1131297003607</v>
      </c>
      <c r="AZ40" s="68">
        <f t="shared" si="21"/>
        <v>31.2837323974383</v>
      </c>
      <c r="BA40" s="71">
        <f t="shared" si="40"/>
        <v>0.0180936121254994</v>
      </c>
      <c r="BB40" s="71"/>
      <c r="BC40" s="65"/>
      <c r="BD40" s="65">
        <f t="shared" si="58"/>
        <v>0.0230591471784097</v>
      </c>
      <c r="BE40" s="65">
        <f t="shared" si="42"/>
        <v>0.775241962528414</v>
      </c>
      <c r="BF40" s="65">
        <f t="shared" si="22"/>
        <v>12.2736171800119</v>
      </c>
      <c r="BG40" s="69">
        <f t="shared" si="23"/>
        <v>0.00145649145240853</v>
      </c>
      <c r="BH40" s="69">
        <f t="shared" si="24"/>
        <v>4.59424059495068e-6</v>
      </c>
      <c r="BI40" s="72">
        <f t="shared" si="25"/>
        <v>20.6696089054503</v>
      </c>
      <c r="BJ40" s="72">
        <f t="shared" si="59"/>
        <v>1.82422215350767</v>
      </c>
      <c r="BK40" s="73">
        <f t="shared" si="26"/>
        <v>0.100824177137268</v>
      </c>
      <c r="BL40" s="72">
        <f t="shared" si="60"/>
        <v>43.8166935671358</v>
      </c>
      <c r="BM40" s="74"/>
    </row>
    <row r="41" ht="25" customHeight="1" spans="1:65">
      <c r="A41" s="54">
        <v>66</v>
      </c>
      <c r="B41" s="55">
        <v>0.525739871850274</v>
      </c>
      <c r="C41" s="55">
        <v>-5.05538010220109</v>
      </c>
      <c r="D41" s="55"/>
      <c r="E41" s="55">
        <v>2.09968478604059</v>
      </c>
      <c r="F41" s="56">
        <v>1</v>
      </c>
      <c r="G41" s="57">
        <f t="shared" si="0"/>
        <v>8.36637353682585e-5</v>
      </c>
      <c r="H41" s="57">
        <f t="shared" si="1"/>
        <v>0.000333333333333333</v>
      </c>
      <c r="I41" s="58">
        <f t="shared" si="2"/>
        <v>0.023217158742969</v>
      </c>
      <c r="J41" s="58"/>
      <c r="K41" s="58">
        <f t="shared" si="3"/>
        <v>3.72405192544512</v>
      </c>
      <c r="L41" s="57">
        <f t="shared" si="4"/>
        <v>0.00104641050057773</v>
      </c>
      <c r="M41" s="57">
        <f t="shared" si="5"/>
        <v>0.00219391413683315</v>
      </c>
      <c r="N41" s="57">
        <f t="shared" si="6"/>
        <v>0.12638289168193</v>
      </c>
      <c r="O41" s="59">
        <v>0.0302</v>
      </c>
      <c r="P41" s="60">
        <f t="shared" si="7"/>
        <v>0.0302</v>
      </c>
      <c r="Q41" s="61">
        <v>1000</v>
      </c>
      <c r="R41" s="59">
        <v>1.1616</v>
      </c>
      <c r="S41" s="59">
        <v>9.801</v>
      </c>
      <c r="T41" s="62">
        <v>4e-6</v>
      </c>
      <c r="U41" s="63">
        <v>1e-6</v>
      </c>
      <c r="V41" s="63">
        <f t="shared" si="45"/>
        <v>4e-6</v>
      </c>
      <c r="W41" s="64">
        <v>0.001147</v>
      </c>
      <c r="X41" s="64">
        <v>1.85e-5</v>
      </c>
      <c r="Y41" s="65">
        <f t="shared" si="8"/>
        <v>3.1147832051237</v>
      </c>
      <c r="Z41" s="66">
        <f t="shared" si="9"/>
        <v>0.00209968478604059</v>
      </c>
      <c r="AA41" s="65">
        <f t="shared" si="10"/>
        <v>12.0490526428717</v>
      </c>
      <c r="AB41" s="65">
        <f t="shared" si="11"/>
        <v>38.4343007346128</v>
      </c>
      <c r="AC41" s="65">
        <f t="shared" si="12"/>
        <v>5.72310403223283</v>
      </c>
      <c r="AD41" s="67">
        <f t="shared" si="46"/>
        <v>6.7156390165457</v>
      </c>
      <c r="AE41" s="67">
        <f t="shared" si="47"/>
        <v>0.247705390660079</v>
      </c>
      <c r="AF41" s="67">
        <f t="shared" si="48"/>
        <v>0.0343289610375577</v>
      </c>
      <c r="AG41" s="67">
        <f t="shared" si="49"/>
        <v>0.509996294812121</v>
      </c>
      <c r="AH41" s="67">
        <f t="shared" si="50"/>
        <v>0.131563301629903</v>
      </c>
      <c r="AI41" s="67">
        <f t="shared" si="51"/>
        <v>0.860129166078455</v>
      </c>
      <c r="AJ41" s="67">
        <f t="shared" si="52"/>
        <v>0.214031599388479</v>
      </c>
      <c r="AK41" s="67">
        <f t="shared" si="53"/>
        <v>1.89643317201382</v>
      </c>
      <c r="AL41" s="67">
        <f t="shared" si="54"/>
        <v>0.0349748340088746</v>
      </c>
      <c r="AM41" s="67">
        <f t="shared" si="55"/>
        <v>0.500578299512777</v>
      </c>
      <c r="AN41" s="67">
        <f t="shared" si="56"/>
        <v>0.206041849288268</v>
      </c>
      <c r="AO41" s="67">
        <f t="shared" si="57"/>
        <v>0.343033696708166</v>
      </c>
      <c r="AP41" s="63">
        <f t="shared" si="13"/>
        <v>113.673485805465</v>
      </c>
      <c r="AQ41" s="68"/>
      <c r="AR41" s="69">
        <f t="shared" si="15"/>
        <v>723.582684881494</v>
      </c>
      <c r="AS41" s="69"/>
      <c r="AT41" s="69">
        <f t="shared" si="16"/>
        <v>0.0199676699672935</v>
      </c>
      <c r="AU41" s="69">
        <f t="shared" si="17"/>
        <v>7.34668139664173e-5</v>
      </c>
      <c r="AV41" s="65">
        <f t="shared" si="18"/>
        <v>0.0175076429339041</v>
      </c>
      <c r="AW41" s="68"/>
      <c r="AX41" s="68"/>
      <c r="AY41" s="68">
        <f t="shared" si="20"/>
        <v>21.6569543092394</v>
      </c>
      <c r="AZ41" s="68">
        <f t="shared" si="21"/>
        <v>30.6383751343322</v>
      </c>
      <c r="BA41" s="71">
        <f t="shared" si="40"/>
        <v>0.0182197698636715</v>
      </c>
      <c r="BB41" s="71"/>
      <c r="BC41" s="65"/>
      <c r="BD41" s="65">
        <f t="shared" si="58"/>
        <v>0.0184424289371267</v>
      </c>
      <c r="BE41" s="65">
        <f t="shared" si="42"/>
        <v>0.9493132923863</v>
      </c>
      <c r="BF41" s="65">
        <f t="shared" si="22"/>
        <v>9.6808218642299</v>
      </c>
      <c r="BG41" s="69">
        <f t="shared" si="23"/>
        <v>0.00180848725236789</v>
      </c>
      <c r="BH41" s="69">
        <f t="shared" si="24"/>
        <v>5.35874076145345e-6</v>
      </c>
      <c r="BI41" s="72">
        <f t="shared" si="25"/>
        <v>20.2432121423266</v>
      </c>
      <c r="BJ41" s="72">
        <f t="shared" si="59"/>
        <v>1.48972270136255</v>
      </c>
      <c r="BK41" s="73">
        <f t="shared" si="26"/>
        <v>0.092464071613352</v>
      </c>
      <c r="BL41" s="72">
        <f t="shared" si="60"/>
        <v>49.8805087990785</v>
      </c>
      <c r="BM41" s="74"/>
    </row>
    <row r="42" ht="25" customHeight="1" spans="1:65">
      <c r="A42" s="54">
        <v>67</v>
      </c>
      <c r="B42" s="55">
        <v>0.474403087020266</v>
      </c>
      <c r="C42" s="55">
        <v>-4.63338976189359</v>
      </c>
      <c r="D42" s="55"/>
      <c r="E42" s="55">
        <v>2.06478955683072</v>
      </c>
      <c r="F42" s="56">
        <v>1</v>
      </c>
      <c r="G42" s="57">
        <f t="shared" si="0"/>
        <v>8.36637353682585e-5</v>
      </c>
      <c r="H42" s="57">
        <f t="shared" si="1"/>
        <v>0.000333333333333333</v>
      </c>
      <c r="I42" s="58">
        <f t="shared" si="2"/>
        <v>0.0213375737203228</v>
      </c>
      <c r="J42" s="58"/>
      <c r="K42" s="58">
        <f t="shared" si="3"/>
        <v>3.03623198239087</v>
      </c>
      <c r="L42" s="57">
        <f t="shared" si="4"/>
        <v>0.00103767878034752</v>
      </c>
      <c r="M42" s="57">
        <f t="shared" si="5"/>
        <v>0.00265194080513548</v>
      </c>
      <c r="N42" s="57">
        <f t="shared" si="6"/>
        <v>0.105598791920349</v>
      </c>
      <c r="O42" s="59">
        <v>0.0302</v>
      </c>
      <c r="P42" s="60">
        <f t="shared" si="7"/>
        <v>0.0302</v>
      </c>
      <c r="Q42" s="61">
        <v>1000</v>
      </c>
      <c r="R42" s="59">
        <v>1.1616</v>
      </c>
      <c r="S42" s="59">
        <v>9.801</v>
      </c>
      <c r="T42" s="62">
        <v>4e-6</v>
      </c>
      <c r="U42" s="63">
        <v>1e-6</v>
      </c>
      <c r="V42" s="63">
        <f t="shared" si="45"/>
        <v>4e-6</v>
      </c>
      <c r="W42" s="64">
        <v>0.001147</v>
      </c>
      <c r="X42" s="64">
        <v>1.85e-5</v>
      </c>
      <c r="Y42" s="65">
        <f t="shared" si="8"/>
        <v>3.22689728408782</v>
      </c>
      <c r="Z42" s="66">
        <f t="shared" si="9"/>
        <v>0.00206478955683072</v>
      </c>
      <c r="AA42" s="65">
        <f t="shared" si="10"/>
        <v>9.43212482030367</v>
      </c>
      <c r="AB42" s="65">
        <f t="shared" si="11"/>
        <v>30.7747023014864</v>
      </c>
      <c r="AC42" s="65">
        <f t="shared" si="12"/>
        <v>5.53445712756113</v>
      </c>
      <c r="AD42" s="67">
        <f t="shared" si="46"/>
        <v>5.56056386239419</v>
      </c>
      <c r="AE42" s="67">
        <f t="shared" si="47"/>
        <v>0.243588707793646</v>
      </c>
      <c r="AF42" s="67">
        <f t="shared" si="48"/>
        <v>0.0401924166338901</v>
      </c>
      <c r="AG42" s="67">
        <f t="shared" si="49"/>
        <v>0.424781996089601</v>
      </c>
      <c r="AH42" s="67">
        <f t="shared" si="50"/>
        <v>0.128614183846561</v>
      </c>
      <c r="AI42" s="67">
        <f t="shared" si="51"/>
        <v>0.87580898277513</v>
      </c>
      <c r="AJ42" s="67">
        <f t="shared" si="52"/>
        <v>0.254113089964217</v>
      </c>
      <c r="AK42" s="67">
        <f t="shared" si="53"/>
        <v>1.91881719618212</v>
      </c>
      <c r="AL42" s="67">
        <f t="shared" si="54"/>
        <v>0.0420283097970735</v>
      </c>
      <c r="AM42" s="67">
        <f t="shared" si="55"/>
        <v>0.406226542248376</v>
      </c>
      <c r="AN42" s="67">
        <f t="shared" si="56"/>
        <v>0.260835089338284</v>
      </c>
      <c r="AO42" s="67">
        <f t="shared" si="57"/>
        <v>0.268711995557136</v>
      </c>
      <c r="AP42" s="63">
        <f t="shared" si="13"/>
        <v>102.573640436814</v>
      </c>
      <c r="AQ42" s="68"/>
      <c r="AR42" s="69">
        <f t="shared" si="15"/>
        <v>888.658671100032</v>
      </c>
      <c r="AS42" s="69"/>
      <c r="AT42" s="69">
        <f t="shared" si="16"/>
        <v>0.0180178920798757</v>
      </c>
      <c r="AU42" s="69">
        <f t="shared" si="17"/>
        <v>7.40850126594119e-5</v>
      </c>
      <c r="AV42" s="65">
        <f t="shared" si="18"/>
        <v>0.0170730149654087</v>
      </c>
      <c r="AW42" s="68"/>
      <c r="AX42" s="68"/>
      <c r="AY42" s="68">
        <f t="shared" si="20"/>
        <v>21.1193195122106</v>
      </c>
      <c r="AZ42" s="68">
        <f t="shared" si="21"/>
        <v>29.8777761894652</v>
      </c>
      <c r="BA42" s="71">
        <f t="shared" si="40"/>
        <v>0.0183730831395341</v>
      </c>
      <c r="BB42" s="71"/>
      <c r="BC42" s="65"/>
      <c r="BD42" s="65">
        <f t="shared" si="58"/>
        <v>0.0219032380367955</v>
      </c>
      <c r="BE42" s="65">
        <f t="shared" si="42"/>
        <v>0.779474474811788</v>
      </c>
      <c r="BF42" s="65">
        <f t="shared" si="22"/>
        <v>11.3063942897882</v>
      </c>
      <c r="BG42" s="69">
        <f t="shared" si="23"/>
        <v>0.00151003180393496</v>
      </c>
      <c r="BH42" s="69">
        <f t="shared" si="24"/>
        <v>4.14935900051418e-6</v>
      </c>
      <c r="BI42" s="72">
        <f t="shared" si="25"/>
        <v>19.7406735537538</v>
      </c>
      <c r="BJ42" s="72">
        <f t="shared" si="59"/>
        <v>1.81431670705391</v>
      </c>
      <c r="BK42" s="73">
        <f t="shared" si="26"/>
        <v>0.127737571800584</v>
      </c>
      <c r="BL42" s="72">
        <f t="shared" si="60"/>
        <v>41.8436165566087</v>
      </c>
      <c r="BM42" s="74"/>
    </row>
    <row r="43" ht="25" customHeight="1" spans="1:65">
      <c r="A43" s="54">
        <v>68</v>
      </c>
      <c r="B43" s="55">
        <v>0.480671267552308</v>
      </c>
      <c r="C43" s="55">
        <v>-3.14964695330669</v>
      </c>
      <c r="D43" s="55"/>
      <c r="E43" s="55">
        <v>2.10181737041734</v>
      </c>
      <c r="F43" s="56">
        <v>1</v>
      </c>
      <c r="G43" s="57">
        <f t="shared" si="0"/>
        <v>8.36637353682585e-5</v>
      </c>
      <c r="H43" s="57">
        <f t="shared" si="1"/>
        <v>0.000333333333333333</v>
      </c>
      <c r="I43" s="58">
        <f t="shared" si="2"/>
        <v>0.0212033501647717</v>
      </c>
      <c r="J43" s="58"/>
      <c r="K43" s="58">
        <f t="shared" si="3"/>
        <v>3.1126923102172</v>
      </c>
      <c r="L43" s="57">
        <f t="shared" si="4"/>
        <v>0.00104694176897488</v>
      </c>
      <c r="M43" s="57">
        <f t="shared" si="5"/>
        <v>0.00262714129307106</v>
      </c>
      <c r="N43" s="57">
        <f t="shared" si="6"/>
        <v>0.105478378432913</v>
      </c>
      <c r="O43" s="59">
        <v>0.0302</v>
      </c>
      <c r="P43" s="60">
        <f t="shared" si="7"/>
        <v>0.0302</v>
      </c>
      <c r="Q43" s="61">
        <v>1000</v>
      </c>
      <c r="R43" s="59">
        <v>1.1616</v>
      </c>
      <c r="S43" s="59">
        <v>9.801</v>
      </c>
      <c r="T43" s="62">
        <v>4e-6</v>
      </c>
      <c r="U43" s="63">
        <v>1e-6</v>
      </c>
      <c r="V43" s="63">
        <f t="shared" si="45"/>
        <v>4e-6</v>
      </c>
      <c r="W43" s="64">
        <v>0.001147</v>
      </c>
      <c r="X43" s="64">
        <v>1.85e-5</v>
      </c>
      <c r="Y43" s="65">
        <f t="shared" si="8"/>
        <v>4.20466592405482</v>
      </c>
      <c r="Z43" s="66">
        <f t="shared" si="9"/>
        <v>0.00210181737041734</v>
      </c>
      <c r="AA43" s="65">
        <f t="shared" si="10"/>
        <v>9.73725114425802</v>
      </c>
      <c r="AB43" s="65">
        <f t="shared" si="11"/>
        <v>32.159875215424</v>
      </c>
      <c r="AC43" s="65">
        <f t="shared" si="12"/>
        <v>5.73473549277107</v>
      </c>
      <c r="AD43" s="67">
        <f t="shared" si="46"/>
        <v>5.60790907548624</v>
      </c>
      <c r="AE43" s="67">
        <f t="shared" si="47"/>
        <v>0.247956977302831</v>
      </c>
      <c r="AF43" s="67">
        <f t="shared" si="48"/>
        <v>0.0405960491943132</v>
      </c>
      <c r="AG43" s="67">
        <f t="shared" si="49"/>
        <v>0.431921898907141</v>
      </c>
      <c r="AH43" s="67">
        <f t="shared" si="50"/>
        <v>0.129852721529451</v>
      </c>
      <c r="AI43" s="67">
        <f t="shared" si="51"/>
        <v>0.87503736153445</v>
      </c>
      <c r="AJ43" s="67">
        <f t="shared" si="52"/>
        <v>0.252176624479525</v>
      </c>
      <c r="AK43" s="67">
        <f t="shared" si="53"/>
        <v>2.14044431391921</v>
      </c>
      <c r="AL43" s="67">
        <f t="shared" si="54"/>
        <v>0.0473204981589705</v>
      </c>
      <c r="AM43" s="67">
        <f t="shared" si="55"/>
        <v>0.370543915180899</v>
      </c>
      <c r="AN43" s="67">
        <f t="shared" si="56"/>
        <v>0.258318753537317</v>
      </c>
      <c r="AO43" s="67">
        <f t="shared" si="57"/>
        <v>0.273751636455412</v>
      </c>
      <c r="AP43" s="63">
        <f t="shared" si="13"/>
        <v>103.928922714013</v>
      </c>
      <c r="AQ43" s="68"/>
      <c r="AR43" s="69">
        <f t="shared" si="15"/>
        <v>865.632732754755</v>
      </c>
      <c r="AS43" s="69"/>
      <c r="AT43" s="69">
        <f t="shared" si="16"/>
        <v>0.0182559584067052</v>
      </c>
      <c r="AU43" s="69">
        <f t="shared" si="17"/>
        <v>7.34295333862965e-5</v>
      </c>
      <c r="AV43" s="65">
        <f t="shared" si="18"/>
        <v>0.0175343226561355</v>
      </c>
      <c r="AW43" s="68"/>
      <c r="AX43" s="68"/>
      <c r="AY43" s="68">
        <f t="shared" si="20"/>
        <v>21.6899571256396</v>
      </c>
      <c r="AZ43" s="68">
        <f t="shared" si="21"/>
        <v>30.6850646482371</v>
      </c>
      <c r="BA43" s="71">
        <f t="shared" si="40"/>
        <v>0.0182105242798015</v>
      </c>
      <c r="BB43" s="71"/>
      <c r="BC43" s="65"/>
      <c r="BD43" s="65">
        <f t="shared" si="58"/>
        <v>0.0221077922239076</v>
      </c>
      <c r="BE43" s="65">
        <f t="shared" si="42"/>
        <v>0.79312861630632</v>
      </c>
      <c r="BF43" s="65">
        <f t="shared" si="22"/>
        <v>11.6166354294466</v>
      </c>
      <c r="BG43" s="69">
        <f t="shared" si="23"/>
        <v>0.00150941490439549</v>
      </c>
      <c r="BH43" s="69">
        <f t="shared" si="24"/>
        <v>4.49303570419326e-6</v>
      </c>
      <c r="BI43" s="72">
        <f t="shared" si="25"/>
        <v>20.2740605711566</v>
      </c>
      <c r="BJ43" s="72">
        <f t="shared" si="59"/>
        <v>1.78308225588837</v>
      </c>
      <c r="BK43" s="73">
        <f t="shared" si="26"/>
        <v>0.109780557008026</v>
      </c>
      <c r="BL43" s="72">
        <f t="shared" si="60"/>
        <v>43.6293462009661</v>
      </c>
      <c r="BM43" s="74"/>
    </row>
    <row r="44" ht="25" customHeight="1" spans="1:65">
      <c r="A44" s="54">
        <v>69</v>
      </c>
      <c r="B44" s="55">
        <v>0.372745951747551</v>
      </c>
      <c r="C44" s="55">
        <v>2.09440747549454</v>
      </c>
      <c r="D44" s="55"/>
      <c r="E44" s="55">
        <v>1.94203202032561</v>
      </c>
      <c r="F44" s="56">
        <v>1</v>
      </c>
      <c r="G44" s="57">
        <f t="shared" si="0"/>
        <v>8.36637353682585e-5</v>
      </c>
      <c r="H44" s="57">
        <f t="shared" si="1"/>
        <v>0.000333333333333333</v>
      </c>
      <c r="I44" s="58">
        <f t="shared" si="2"/>
        <v>0.0179308528177191</v>
      </c>
      <c r="J44" s="58"/>
      <c r="K44" s="58">
        <f t="shared" si="3"/>
        <v>1.88367227245988</v>
      </c>
      <c r="L44" s="57">
        <f t="shared" si="4"/>
        <v>0.00100635968734411</v>
      </c>
      <c r="M44" s="57">
        <f t="shared" si="5"/>
        <v>0.00405355966904355</v>
      </c>
      <c r="N44" s="57">
        <f t="shared" si="6"/>
        <v>0.0716566108118157</v>
      </c>
      <c r="O44" s="59">
        <v>0.0302</v>
      </c>
      <c r="P44" s="60">
        <f t="shared" si="7"/>
        <v>0.0302</v>
      </c>
      <c r="Q44" s="61">
        <v>1000</v>
      </c>
      <c r="R44" s="59">
        <v>1.1616</v>
      </c>
      <c r="S44" s="59">
        <v>9.801</v>
      </c>
      <c r="T44" s="62">
        <v>4e-6</v>
      </c>
      <c r="U44" s="63">
        <v>1e-6</v>
      </c>
      <c r="V44" s="63">
        <f t="shared" si="45"/>
        <v>4e-6</v>
      </c>
      <c r="W44" s="64">
        <v>0.001147</v>
      </c>
      <c r="X44" s="64">
        <v>1.85e-5</v>
      </c>
      <c r="Y44" s="65">
        <f t="shared" si="8"/>
        <v>6.18243067455427</v>
      </c>
      <c r="Z44" s="66">
        <f t="shared" si="9"/>
        <v>0.00194203202032561</v>
      </c>
      <c r="AA44" s="65">
        <f t="shared" si="10"/>
        <v>5.04279024180365</v>
      </c>
      <c r="AB44" s="65">
        <f t="shared" si="11"/>
        <v>17.869208238031</v>
      </c>
      <c r="AC44" s="65">
        <f t="shared" si="12"/>
        <v>4.89594138999651</v>
      </c>
      <c r="AD44" s="67">
        <f t="shared" si="46"/>
        <v>3.64980027631494</v>
      </c>
      <c r="AE44" s="67">
        <f t="shared" si="47"/>
        <v>0.229106675186357</v>
      </c>
      <c r="AF44" s="67">
        <f t="shared" si="48"/>
        <v>0.0552090847586057</v>
      </c>
      <c r="AG44" s="67">
        <f t="shared" si="49"/>
        <v>0.282078873379717</v>
      </c>
      <c r="AH44" s="67">
        <f t="shared" si="50"/>
        <v>0.119568082684652</v>
      </c>
      <c r="AI44" s="67">
        <f t="shared" si="51"/>
        <v>0.924166591569552</v>
      </c>
      <c r="AJ44" s="67">
        <f t="shared" si="52"/>
        <v>0.368435905616791</v>
      </c>
      <c r="AK44" s="67">
        <f t="shared" si="53"/>
        <v>3.42043292980016</v>
      </c>
      <c r="AL44" s="67">
        <f t="shared" si="54"/>
        <v>0.107354369680148</v>
      </c>
      <c r="AM44" s="67">
        <f t="shared" si="55"/>
        <v>0.145064578884231</v>
      </c>
      <c r="AN44" s="67">
        <f t="shared" si="56"/>
        <v>0.367194008993698</v>
      </c>
      <c r="AO44" s="67">
        <f t="shared" si="57"/>
        <v>0.185117628641332</v>
      </c>
      <c r="AP44" s="63">
        <f t="shared" si="13"/>
        <v>80.5937192967678</v>
      </c>
      <c r="AQ44" s="68"/>
      <c r="AR44" s="69">
        <f t="shared" si="15"/>
        <v>1439.47499364656</v>
      </c>
      <c r="AS44" s="69"/>
      <c r="AT44" s="69">
        <f t="shared" si="16"/>
        <v>0.0141569406176967</v>
      </c>
      <c r="AU44" s="69">
        <f t="shared" si="17"/>
        <v>7.63906250868758e-5</v>
      </c>
      <c r="AV44" s="65">
        <f t="shared" si="18"/>
        <v>0.0155733164290328</v>
      </c>
      <c r="AW44" s="68"/>
      <c r="AX44" s="68"/>
      <c r="AY44" s="68">
        <f t="shared" si="20"/>
        <v>19.2641924227136</v>
      </c>
      <c r="AZ44" s="68">
        <f t="shared" si="21"/>
        <v>27.2533037508074</v>
      </c>
      <c r="BA44" s="71">
        <f t="shared" si="40"/>
        <v>0.0189448750215452</v>
      </c>
      <c r="BB44" s="71"/>
      <c r="BC44" s="65"/>
      <c r="BD44" s="65">
        <f t="shared" si="58"/>
        <v>0.0313861934683282</v>
      </c>
      <c r="BE44" s="65">
        <f t="shared" si="42"/>
        <v>0.496183662563217</v>
      </c>
      <c r="BF44" s="65">
        <f t="shared" si="22"/>
        <v>15.238248177907</v>
      </c>
      <c r="BG44" s="69">
        <f t="shared" si="23"/>
        <v>0.00102198863328736</v>
      </c>
      <c r="BH44" s="69">
        <f t="shared" si="24"/>
        <v>2.13134445497007e-6</v>
      </c>
      <c r="BI44" s="72">
        <f t="shared" si="25"/>
        <v>18.0066471210692</v>
      </c>
      <c r="BJ44" s="72">
        <f t="shared" si="59"/>
        <v>2.85018163449288</v>
      </c>
      <c r="BK44" s="73">
        <f t="shared" si="26"/>
        <v>0.291457637665363</v>
      </c>
      <c r="BL44" s="72">
        <f t="shared" si="60"/>
        <v>27.6610910180241</v>
      </c>
      <c r="BM44" s="74"/>
    </row>
    <row r="45" ht="25" customHeight="1" spans="1:65">
      <c r="A45" s="54">
        <v>71</v>
      </c>
      <c r="B45" s="55">
        <v>0.296756656458039</v>
      </c>
      <c r="C45" s="55">
        <v>-6.99665336317497</v>
      </c>
      <c r="D45" s="55"/>
      <c r="E45" s="55">
        <v>2.08313405838845</v>
      </c>
      <c r="F45" s="56">
        <v>1</v>
      </c>
      <c r="G45" s="57">
        <f t="shared" si="0"/>
        <v>8.36637353682585e-5</v>
      </c>
      <c r="H45" s="57">
        <f t="shared" si="1"/>
        <v>0.000333333333333333</v>
      </c>
      <c r="I45" s="58">
        <f t="shared" si="2"/>
        <v>0.0132189194578988</v>
      </c>
      <c r="J45" s="58"/>
      <c r="K45" s="58">
        <f t="shared" si="3"/>
        <v>1.18724712745587</v>
      </c>
      <c r="L45" s="57">
        <f t="shared" si="4"/>
        <v>0.00104227818524386</v>
      </c>
      <c r="M45" s="57">
        <f t="shared" si="5"/>
        <v>0.00683439909848406</v>
      </c>
      <c r="N45" s="57">
        <f t="shared" si="6"/>
        <v>0.0407609048592978</v>
      </c>
      <c r="O45" s="59">
        <v>0.0302</v>
      </c>
      <c r="P45" s="60">
        <f t="shared" si="7"/>
        <v>0.0302</v>
      </c>
      <c r="Q45" s="61">
        <v>1000</v>
      </c>
      <c r="R45" s="59">
        <v>1.1616</v>
      </c>
      <c r="S45" s="59">
        <v>9.801</v>
      </c>
      <c r="T45" s="62">
        <v>4e-6</v>
      </c>
      <c r="U45" s="63">
        <v>1e-6</v>
      </c>
      <c r="V45" s="63">
        <f t="shared" si="45"/>
        <v>4e-6</v>
      </c>
      <c r="W45" s="64">
        <v>0.001147</v>
      </c>
      <c r="X45" s="64">
        <v>1.85e-5</v>
      </c>
      <c r="Y45" s="65">
        <f t="shared" si="8"/>
        <v>1.79908172625015</v>
      </c>
      <c r="Z45" s="66">
        <f t="shared" si="9"/>
        <v>0.00208313405838845</v>
      </c>
      <c r="AA45" s="65">
        <f t="shared" si="10"/>
        <v>2.4497713125461</v>
      </c>
      <c r="AB45" s="65">
        <f t="shared" si="11"/>
        <v>12.149018985606</v>
      </c>
      <c r="AC45" s="65">
        <f t="shared" si="12"/>
        <v>5.63323509915774</v>
      </c>
      <c r="AD45" s="67">
        <f t="shared" si="46"/>
        <v>2.15666819718255</v>
      </c>
      <c r="AE45" s="67">
        <f t="shared" si="47"/>
        <v>0.245752857362682</v>
      </c>
      <c r="AF45" s="67">
        <f t="shared" si="48"/>
        <v>0.0925041590151557</v>
      </c>
      <c r="AG45" s="67">
        <f t="shared" si="49"/>
        <v>0.187029924524404</v>
      </c>
      <c r="AH45" s="67">
        <f t="shared" si="50"/>
        <v>0.114300938068787</v>
      </c>
      <c r="AI45" s="67">
        <f t="shared" si="51"/>
        <v>1.02646923637523</v>
      </c>
      <c r="AJ45" s="67">
        <f t="shared" si="52"/>
        <v>0.569732612527705</v>
      </c>
      <c r="AK45" s="67">
        <f t="shared" si="53"/>
        <v>1.43379719301642</v>
      </c>
      <c r="AL45" s="67">
        <f t="shared" si="54"/>
        <v>0.0816907666934343</v>
      </c>
      <c r="AM45" s="67">
        <f t="shared" si="55"/>
        <v>0.211787042515155</v>
      </c>
      <c r="AN45" s="67">
        <f t="shared" si="56"/>
        <v>0.557544078040102</v>
      </c>
      <c r="AO45" s="67">
        <f t="shared" si="57"/>
        <v>0.12626837006466</v>
      </c>
      <c r="AP45" s="63">
        <f t="shared" si="13"/>
        <v>64.1636013963328</v>
      </c>
      <c r="AQ45" s="68"/>
      <c r="AR45" s="69">
        <f t="shared" si="15"/>
        <v>2271.06234783184</v>
      </c>
      <c r="AS45" s="69"/>
      <c r="AT45" s="69">
        <f t="shared" si="16"/>
        <v>0.0112708571177937</v>
      </c>
      <c r="AU45" s="69">
        <f t="shared" si="17"/>
        <v>7.37580874922207e-5</v>
      </c>
      <c r="AV45" s="65">
        <f t="shared" si="18"/>
        <v>0.017301045878798</v>
      </c>
      <c r="AW45" s="68"/>
      <c r="AX45" s="68"/>
      <c r="AY45" s="68">
        <f t="shared" si="20"/>
        <v>21.4013937520731</v>
      </c>
      <c r="AZ45" s="68">
        <f t="shared" si="21"/>
        <v>30.2768302878965</v>
      </c>
      <c r="BA45" s="71">
        <f t="shared" si="40"/>
        <v>0.0182920056980707</v>
      </c>
      <c r="BB45" s="71"/>
      <c r="BC45" s="65"/>
      <c r="BD45" s="65">
        <f t="shared" si="58"/>
        <v>0.0569751196970704</v>
      </c>
      <c r="BE45" s="65">
        <f t="shared" si="42"/>
        <v>0.30365966707548</v>
      </c>
      <c r="BF45" s="65">
        <f t="shared" si="22"/>
        <v>29.6717030804315</v>
      </c>
      <c r="BG45" s="69">
        <f t="shared" si="23"/>
        <v>0.000583082333760884</v>
      </c>
      <c r="BH45" s="69">
        <f t="shared" si="24"/>
        <v>1.66729025075928e-6</v>
      </c>
      <c r="BI45" s="72">
        <f t="shared" si="25"/>
        <v>20.0043342973602</v>
      </c>
      <c r="BJ45" s="72">
        <f t="shared" si="59"/>
        <v>4.65723214410812</v>
      </c>
      <c r="BK45" s="73">
        <f t="shared" si="26"/>
        <v>0.307311216330137</v>
      </c>
      <c r="BL45" s="72">
        <f t="shared" si="60"/>
        <v>23.4154891839215</v>
      </c>
      <c r="BM45" s="74"/>
    </row>
    <row r="46" ht="25" customHeight="1" spans="1:65">
      <c r="A46" s="54">
        <v>72</v>
      </c>
      <c r="B46" s="55">
        <v>0.465605320147075</v>
      </c>
      <c r="C46" s="55">
        <v>-4.47465861026854</v>
      </c>
      <c r="D46" s="55"/>
      <c r="E46" s="55">
        <v>2.12028775100982</v>
      </c>
      <c r="F46" s="56">
        <v>1</v>
      </c>
      <c r="G46" s="57">
        <f t="shared" si="0"/>
        <v>8.36637353682585e-5</v>
      </c>
      <c r="H46" s="57">
        <f t="shared" si="1"/>
        <v>0.000333333333333333</v>
      </c>
      <c r="I46" s="58">
        <f t="shared" si="2"/>
        <v>0.0203433666055659</v>
      </c>
      <c r="J46" s="58"/>
      <c r="K46" s="58">
        <f t="shared" si="3"/>
        <v>2.91866090704886</v>
      </c>
      <c r="L46" s="57">
        <f t="shared" si="4"/>
        <v>0.00105153187167688</v>
      </c>
      <c r="M46" s="57">
        <f t="shared" si="5"/>
        <v>0.00282325422897785</v>
      </c>
      <c r="N46" s="57">
        <f t="shared" si="6"/>
        <v>0.0976446789673571</v>
      </c>
      <c r="O46" s="59">
        <v>0.0302</v>
      </c>
      <c r="P46" s="60">
        <f t="shared" si="7"/>
        <v>0.0302</v>
      </c>
      <c r="Q46" s="61">
        <v>1000</v>
      </c>
      <c r="R46" s="59">
        <v>1.1616</v>
      </c>
      <c r="S46" s="59">
        <v>9.801</v>
      </c>
      <c r="T46" s="62">
        <v>4e-6</v>
      </c>
      <c r="U46" s="63">
        <v>1e-6</v>
      </c>
      <c r="V46" s="63">
        <f t="shared" si="45"/>
        <v>4e-6</v>
      </c>
      <c r="W46" s="64">
        <v>0.001147</v>
      </c>
      <c r="X46" s="64">
        <v>1.85e-5</v>
      </c>
      <c r="Y46" s="65">
        <f t="shared" si="8"/>
        <v>3.47395605668254</v>
      </c>
      <c r="Z46" s="66">
        <f t="shared" si="9"/>
        <v>0.00212028775100982</v>
      </c>
      <c r="AA46" s="65">
        <f t="shared" si="10"/>
        <v>9.01061743880022</v>
      </c>
      <c r="AB46" s="65">
        <f t="shared" si="11"/>
        <v>30.4406362286586</v>
      </c>
      <c r="AC46" s="65">
        <f t="shared" si="12"/>
        <v>5.83596994192761</v>
      </c>
      <c r="AD46" s="67">
        <f t="shared" si="46"/>
        <v>5.21603718517511</v>
      </c>
      <c r="AE46" s="67">
        <f t="shared" si="47"/>
        <v>0.250135977155913</v>
      </c>
      <c r="AF46" s="67">
        <f t="shared" si="48"/>
        <v>0.0437603831207844</v>
      </c>
      <c r="AG46" s="67">
        <f t="shared" si="49"/>
        <v>0.405982786039134</v>
      </c>
      <c r="AH46" s="67">
        <f t="shared" si="50"/>
        <v>0.129624831027751</v>
      </c>
      <c r="AI46" s="67">
        <f t="shared" si="51"/>
        <v>0.881853520533714</v>
      </c>
      <c r="AJ46" s="67">
        <f t="shared" si="52"/>
        <v>0.269156050593572</v>
      </c>
      <c r="AK46" s="67">
        <f t="shared" si="53"/>
        <v>1.92768099988185</v>
      </c>
      <c r="AL46" s="67">
        <f t="shared" si="54"/>
        <v>0.0462211400563612</v>
      </c>
      <c r="AM46" s="67">
        <f t="shared" si="55"/>
        <v>0.384368759313432</v>
      </c>
      <c r="AN46" s="67">
        <f t="shared" si="56"/>
        <v>0.279314845199773</v>
      </c>
      <c r="AO46" s="67">
        <f t="shared" si="57"/>
        <v>0.25428371968846</v>
      </c>
      <c r="AP46" s="63">
        <f t="shared" si="13"/>
        <v>100.671420572341</v>
      </c>
      <c r="AQ46" s="68"/>
      <c r="AR46" s="69">
        <f t="shared" si="15"/>
        <v>922.558952427199</v>
      </c>
      <c r="AS46" s="69"/>
      <c r="AT46" s="69">
        <f t="shared" si="16"/>
        <v>0.0176837517287647</v>
      </c>
      <c r="AU46" s="69">
        <f t="shared" si="17"/>
        <v>7.31090018753823e-5</v>
      </c>
      <c r="AV46" s="65">
        <f t="shared" si="18"/>
        <v>0.0177659622575159</v>
      </c>
      <c r="AW46" s="68"/>
      <c r="AX46" s="68"/>
      <c r="AY46" s="68">
        <f t="shared" si="20"/>
        <v>21.9764953125472</v>
      </c>
      <c r="AZ46" s="68">
        <f t="shared" si="21"/>
        <v>31.0904339506529</v>
      </c>
      <c r="BA46" s="71">
        <f t="shared" si="40"/>
        <v>0.0181310324650948</v>
      </c>
      <c r="BB46" s="71"/>
      <c r="BC46" s="65"/>
      <c r="BD46" s="65">
        <f t="shared" si="58"/>
        <v>0.0239775876087352</v>
      </c>
      <c r="BE46" s="65">
        <f t="shared" si="42"/>
        <v>0.740940354276662</v>
      </c>
      <c r="BF46" s="65">
        <f t="shared" si="22"/>
        <v>12.7098463263915</v>
      </c>
      <c r="BG46" s="69">
        <f t="shared" si="23"/>
        <v>0.00139781094131922</v>
      </c>
      <c r="BH46" s="69">
        <f t="shared" si="24"/>
        <v>4.3279167173007e-6</v>
      </c>
      <c r="BI46" s="72">
        <f t="shared" si="25"/>
        <v>20.5418938602528</v>
      </c>
      <c r="BJ46" s="72">
        <f t="shared" si="59"/>
        <v>1.90867396303945</v>
      </c>
      <c r="BK46" s="73">
        <f t="shared" si="26"/>
        <v>0.109329518974099</v>
      </c>
      <c r="BL46" s="72">
        <f t="shared" si="60"/>
        <v>42.1125761125138</v>
      </c>
      <c r="BM46" s="74"/>
    </row>
    <row r="47" ht="25" customHeight="1" spans="1:65">
      <c r="A47" s="54">
        <v>73</v>
      </c>
      <c r="B47" s="55">
        <v>0.219172785221219</v>
      </c>
      <c r="C47" s="55">
        <v>-0.895379256655757</v>
      </c>
      <c r="D47" s="55"/>
      <c r="E47" s="55">
        <v>2.0990378289909</v>
      </c>
      <c r="F47" s="56">
        <v>1</v>
      </c>
      <c r="G47" s="57">
        <f t="shared" si="0"/>
        <v>8.36637353682585e-5</v>
      </c>
      <c r="H47" s="57">
        <f t="shared" si="1"/>
        <v>0.000333333333333333</v>
      </c>
      <c r="I47" s="58">
        <f t="shared" si="2"/>
        <v>0.00968213331975064</v>
      </c>
      <c r="J47" s="58"/>
      <c r="K47" s="58">
        <f t="shared" si="3"/>
        <v>0.647228283693118</v>
      </c>
      <c r="L47" s="57">
        <f t="shared" si="4"/>
        <v>0.00104624927761443</v>
      </c>
      <c r="M47" s="57">
        <f t="shared" si="5"/>
        <v>0.0126200543360951</v>
      </c>
      <c r="N47" s="57">
        <f t="shared" si="6"/>
        <v>0.0219748510715359</v>
      </c>
      <c r="O47" s="59">
        <v>0.0302</v>
      </c>
      <c r="P47" s="60">
        <f t="shared" si="7"/>
        <v>0.0302</v>
      </c>
      <c r="Q47" s="61">
        <v>1000</v>
      </c>
      <c r="R47" s="59">
        <v>1.1616</v>
      </c>
      <c r="S47" s="59">
        <v>9.801</v>
      </c>
      <c r="T47" s="62">
        <v>4e-6</v>
      </c>
      <c r="U47" s="63">
        <v>1e-6</v>
      </c>
      <c r="V47" s="63">
        <f t="shared" si="45"/>
        <v>4e-6</v>
      </c>
      <c r="W47" s="64">
        <v>0.001147</v>
      </c>
      <c r="X47" s="64">
        <v>1.85e-5</v>
      </c>
      <c r="Y47" s="65">
        <f t="shared" si="8"/>
        <v>5.3311535589637</v>
      </c>
      <c r="Z47" s="66">
        <f t="shared" si="9"/>
        <v>0.0020990378289909</v>
      </c>
      <c r="AA47" s="65">
        <f t="shared" si="10"/>
        <v>0.409618235556911</v>
      </c>
      <c r="AB47" s="65">
        <f t="shared" si="11"/>
        <v>6.67754112661533</v>
      </c>
      <c r="AC47" s="65">
        <f t="shared" si="12"/>
        <v>5.71957775809919</v>
      </c>
      <c r="AD47" s="67">
        <f t="shared" si="46"/>
        <v>1.16748847712746</v>
      </c>
      <c r="AE47" s="67">
        <f t="shared" si="47"/>
        <v>0.247629067418705</v>
      </c>
      <c r="AF47" s="67">
        <f t="shared" si="48"/>
        <v>0.148504215060778</v>
      </c>
      <c r="AG47" s="67">
        <f t="shared" si="49"/>
        <v>0.117838755219748</v>
      </c>
      <c r="AH47" s="67">
        <f t="shared" si="50"/>
        <v>0.0989566675829913</v>
      </c>
      <c r="AI47" s="67">
        <f t="shared" si="51"/>
        <v>1.29966144229441</v>
      </c>
      <c r="AJ47" s="67">
        <f t="shared" si="52"/>
        <v>0.900004183229995</v>
      </c>
      <c r="AK47" s="67">
        <f t="shared" si="53"/>
        <v>1.92555981103892</v>
      </c>
      <c r="AL47" s="67">
        <f t="shared" si="54"/>
        <v>0.204209544508613</v>
      </c>
      <c r="AM47" s="67">
        <f t="shared" si="55"/>
        <v>0.085694093729834</v>
      </c>
      <c r="AN47" s="67">
        <f t="shared" si="56"/>
        <v>0.929985952400908</v>
      </c>
      <c r="AO47" s="67">
        <f t="shared" si="57"/>
        <v>0.0759886827618022</v>
      </c>
      <c r="AP47" s="63">
        <f t="shared" si="13"/>
        <v>47.3887103181014</v>
      </c>
      <c r="AQ47" s="68"/>
      <c r="AR47" s="69">
        <f t="shared" si="15"/>
        <v>4163.48248889638</v>
      </c>
      <c r="AS47" s="69"/>
      <c r="AT47" s="69">
        <f t="shared" si="16"/>
        <v>0.00832421141220987</v>
      </c>
      <c r="AU47" s="69">
        <f t="shared" si="17"/>
        <v>7.3478134918035e-5</v>
      </c>
      <c r="AV47" s="65">
        <f t="shared" si="18"/>
        <v>0.0174995518476478</v>
      </c>
      <c r="AW47" s="68"/>
      <c r="AX47" s="68"/>
      <c r="AY47" s="68">
        <f t="shared" si="20"/>
        <v>21.6469456355403</v>
      </c>
      <c r="AZ47" s="68">
        <f t="shared" si="21"/>
        <v>30.6242157333836</v>
      </c>
      <c r="BA47" s="71">
        <f t="shared" si="40"/>
        <v>0.0182225774596727</v>
      </c>
      <c r="BB47" s="71"/>
      <c r="BC47" s="65"/>
      <c r="BD47" s="65">
        <f t="shared" si="58"/>
        <v>0.106052039172148</v>
      </c>
      <c r="BE47" s="65">
        <f t="shared" si="42"/>
        <v>0.165009102929571</v>
      </c>
      <c r="BF47" s="65">
        <f t="shared" si="22"/>
        <v>55.6518105159906</v>
      </c>
      <c r="BG47" s="69">
        <f t="shared" si="23"/>
        <v>0.000314447125536366</v>
      </c>
      <c r="BH47" s="69">
        <f t="shared" si="24"/>
        <v>9.30449192898794e-7</v>
      </c>
      <c r="BI47" s="72">
        <f t="shared" si="25"/>
        <v>20.2338568238427</v>
      </c>
      <c r="BJ47" s="72">
        <f t="shared" si="59"/>
        <v>8.57051845786175</v>
      </c>
      <c r="BK47" s="73">
        <f t="shared" si="26"/>
        <v>0.533256840547012</v>
      </c>
      <c r="BL47" s="72">
        <f t="shared" si="60"/>
        <v>18.1166966428137</v>
      </c>
      <c r="BM47" s="74"/>
    </row>
    <row r="48" ht="25" customHeight="1" spans="1:65">
      <c r="A48" s="54">
        <v>79</v>
      </c>
      <c r="B48" s="55">
        <v>2.78044712984688</v>
      </c>
      <c r="C48" s="55">
        <v>-16.8027793320279</v>
      </c>
      <c r="D48" s="55"/>
      <c r="E48" s="55">
        <v>1.67688454397818</v>
      </c>
      <c r="F48" s="56">
        <v>1</v>
      </c>
      <c r="G48" s="57">
        <f t="shared" si="0"/>
        <v>8.36637353682585e-5</v>
      </c>
      <c r="H48" s="57">
        <f t="shared" si="1"/>
        <v>0.000333333333333333</v>
      </c>
      <c r="I48" s="58">
        <f t="shared" si="2"/>
        <v>0.15730744753591</v>
      </c>
      <c r="J48" s="58"/>
      <c r="K48" s="58">
        <f t="shared" si="3"/>
        <v>106.169189854442</v>
      </c>
      <c r="L48" s="57">
        <f t="shared" si="4"/>
        <v>0.000935139968180303</v>
      </c>
      <c r="M48" s="57">
        <f t="shared" si="5"/>
        <v>6.34482681832469e-5</v>
      </c>
      <c r="N48" s="57">
        <f t="shared" si="6"/>
        <v>5.00363571226967</v>
      </c>
      <c r="O48" s="59">
        <v>0.0302</v>
      </c>
      <c r="P48" s="60">
        <f t="shared" si="7"/>
        <v>0.0302</v>
      </c>
      <c r="Q48" s="61">
        <v>1000</v>
      </c>
      <c r="R48" s="59">
        <v>1.1616</v>
      </c>
      <c r="S48" s="59">
        <v>9.801</v>
      </c>
      <c r="T48" s="62">
        <v>4e-6</v>
      </c>
      <c r="U48" s="63">
        <v>1e-6</v>
      </c>
      <c r="V48" s="63">
        <f t="shared" si="45"/>
        <v>4e-6</v>
      </c>
      <c r="W48" s="64">
        <v>0.001147</v>
      </c>
      <c r="X48" s="64">
        <v>1.85e-5</v>
      </c>
      <c r="Y48" s="65">
        <f t="shared" si="8"/>
        <v>-0.719506161786387</v>
      </c>
      <c r="Z48" s="66">
        <f t="shared" si="9"/>
        <v>0.00167688454397818</v>
      </c>
      <c r="AA48" s="65">
        <f t="shared" si="10"/>
        <v>391.992163194381</v>
      </c>
      <c r="AB48" s="65">
        <f t="shared" si="11"/>
        <v>858.530043063024</v>
      </c>
      <c r="AC48" s="65">
        <f t="shared" si="12"/>
        <v>3.65031010931607</v>
      </c>
      <c r="AD48" s="67">
        <f t="shared" si="46"/>
        <v>235.193728026543</v>
      </c>
      <c r="AE48" s="67">
        <f t="shared" si="47"/>
        <v>0.197826523209343</v>
      </c>
      <c r="AF48" s="67">
        <f t="shared" si="48"/>
        <v>0.00083933724017919</v>
      </c>
      <c r="AG48" s="67">
        <f t="shared" si="49"/>
        <v>14.8872601871833</v>
      </c>
      <c r="AH48" s="67">
        <f t="shared" si="50"/>
        <v>0.126059174509401</v>
      </c>
      <c r="AI48" s="67">
        <f t="shared" si="51"/>
        <v>0.787524076833581</v>
      </c>
      <c r="AJ48" s="67">
        <f t="shared" si="52"/>
        <v>0.00666071613896567</v>
      </c>
      <c r="AK48" s="67">
        <f t="shared" si="53"/>
        <v>1.15418578464138</v>
      </c>
      <c r="AL48" s="67">
        <f t="shared" si="54"/>
        <v>0.000485405292966577</v>
      </c>
      <c r="AM48" s="67">
        <f t="shared" si="55"/>
        <v>25.7422654025331</v>
      </c>
      <c r="AN48" s="67">
        <f t="shared" si="56"/>
        <v>-140000805.557067</v>
      </c>
      <c r="AO48" s="67">
        <f t="shared" si="57"/>
        <v>-4.51165848982518e-10</v>
      </c>
      <c r="AP48" s="63">
        <f t="shared" si="13"/>
        <v>601.177757804731</v>
      </c>
      <c r="AQ48" s="68"/>
      <c r="AR48" s="69">
        <f t="shared" si="15"/>
        <v>25.8702552000721</v>
      </c>
      <c r="AS48" s="69"/>
      <c r="AT48" s="69">
        <f t="shared" si="16"/>
        <v>0.105601750262728</v>
      </c>
      <c r="AU48" s="69">
        <f t="shared" si="17"/>
        <v>8.22084909150488e-5</v>
      </c>
      <c r="AV48" s="65">
        <f t="shared" si="18"/>
        <v>0.0124954318793399</v>
      </c>
      <c r="AW48" s="68"/>
      <c r="AX48" s="68"/>
      <c r="AY48" s="68">
        <f t="shared" si="20"/>
        <v>15.4568492347435</v>
      </c>
      <c r="AZ48" s="68">
        <f t="shared" si="21"/>
        <v>21.8670057888449</v>
      </c>
      <c r="BA48" s="71">
        <f t="shared" si="40"/>
        <v>0.0203877057469321</v>
      </c>
      <c r="BB48" s="71"/>
      <c r="BC48" s="65"/>
      <c r="BD48" s="65">
        <f t="shared" si="58"/>
        <v>0.000420560796559629</v>
      </c>
      <c r="BE48" s="65">
        <f t="shared" si="42"/>
        <v>29.7113567920692</v>
      </c>
      <c r="BF48" s="65">
        <f t="shared" si="22"/>
        <v>0.176307974888498</v>
      </c>
      <c r="BG48" s="69">
        <f t="shared" si="23"/>
        <v>0.0708727548327996</v>
      </c>
      <c r="BH48" s="69">
        <f t="shared" si="24"/>
        <v>7.63479502505139e-5</v>
      </c>
      <c r="BI48" s="72">
        <f t="shared" si="25"/>
        <v>14.4478431104868</v>
      </c>
      <c r="BJ48" s="72">
        <f t="shared" si="59"/>
        <v>0.0475984174088808</v>
      </c>
      <c r="BK48" s="73">
        <f t="shared" si="26"/>
        <v>0.00896809592579704</v>
      </c>
      <c r="BL48" s="72">
        <f t="shared" si="60"/>
        <v>865.830663281656</v>
      </c>
      <c r="BM48" s="74"/>
    </row>
    <row r="49" ht="25" customHeight="1" spans="1:65">
      <c r="A49" s="54">
        <v>80</v>
      </c>
      <c r="B49" s="55">
        <v>2.3288174291217</v>
      </c>
      <c r="C49" s="55">
        <v>-11.3347530101029</v>
      </c>
      <c r="D49" s="55"/>
      <c r="E49" s="55">
        <v>1.59186175839385</v>
      </c>
      <c r="F49" s="56">
        <v>1</v>
      </c>
      <c r="G49" s="57">
        <f t="shared" si="0"/>
        <v>8.36637353682585e-5</v>
      </c>
      <c r="H49" s="57">
        <f t="shared" si="1"/>
        <v>0.000333333333333333</v>
      </c>
      <c r="I49" s="58">
        <f t="shared" si="2"/>
        <v>0.139614725017936</v>
      </c>
      <c r="J49" s="58"/>
      <c r="K49" s="58">
        <f t="shared" si="3"/>
        <v>74.8493873089238</v>
      </c>
      <c r="L49" s="57">
        <f t="shared" si="4"/>
        <v>0.000911124475514005</v>
      </c>
      <c r="M49" s="57">
        <f t="shared" si="5"/>
        <v>8.61441982066925e-5</v>
      </c>
      <c r="N49" s="57">
        <f t="shared" si="6"/>
        <v>3.80526536866464</v>
      </c>
      <c r="O49" s="59">
        <v>0.0302</v>
      </c>
      <c r="P49" s="60">
        <f t="shared" si="7"/>
        <v>0.0302</v>
      </c>
      <c r="Q49" s="61">
        <v>1000</v>
      </c>
      <c r="R49" s="59">
        <v>1.1616</v>
      </c>
      <c r="S49" s="59">
        <v>9.801</v>
      </c>
      <c r="T49" s="62">
        <v>4e-6</v>
      </c>
      <c r="U49" s="63">
        <v>1e-6</v>
      </c>
      <c r="V49" s="63">
        <f t="shared" si="45"/>
        <v>4e-6</v>
      </c>
      <c r="W49" s="64">
        <v>0.001147</v>
      </c>
      <c r="X49" s="64">
        <v>1.85e-5</v>
      </c>
      <c r="Y49" s="65">
        <f t="shared" si="8"/>
        <v>1.06536228724674</v>
      </c>
      <c r="Z49" s="66">
        <f t="shared" si="9"/>
        <v>0.00159186175839385</v>
      </c>
      <c r="AA49" s="65">
        <f t="shared" si="10"/>
        <v>274.382804188634</v>
      </c>
      <c r="AB49" s="65">
        <f t="shared" si="11"/>
        <v>571.740935491015</v>
      </c>
      <c r="AC49" s="65">
        <f t="shared" si="12"/>
        <v>3.28953216300107</v>
      </c>
      <c r="AD49" s="67">
        <f t="shared" si="46"/>
        <v>173.806154541262</v>
      </c>
      <c r="AE49" s="67">
        <f t="shared" si="47"/>
        <v>0.187796159386072</v>
      </c>
      <c r="AF49" s="67">
        <f t="shared" si="48"/>
        <v>0.00107739259052736</v>
      </c>
      <c r="AG49" s="67">
        <f t="shared" si="49"/>
        <v>10.727056513544</v>
      </c>
      <c r="AH49" s="67">
        <f t="shared" si="50"/>
        <v>0.122729869269779</v>
      </c>
      <c r="AI49" s="67">
        <f t="shared" si="51"/>
        <v>0.78827494736381</v>
      </c>
      <c r="AJ49" s="67">
        <f t="shared" si="52"/>
        <v>0.00900467919321471</v>
      </c>
      <c r="AK49" s="67">
        <f t="shared" si="53"/>
        <v>1.45141728360693</v>
      </c>
      <c r="AL49" s="67">
        <f t="shared" si="54"/>
        <v>0.000784122381187712</v>
      </c>
      <c r="AM49" s="67">
        <f t="shared" si="55"/>
        <v>14.7390910948807</v>
      </c>
      <c r="AN49" s="67">
        <f t="shared" si="56"/>
        <v>-29419388.6476938</v>
      </c>
      <c r="AO49" s="67">
        <f t="shared" si="57"/>
        <v>-2.09186764748724e-9</v>
      </c>
      <c r="AP49" s="63">
        <f t="shared" si="13"/>
        <v>503.52809278307</v>
      </c>
      <c r="AQ49" s="68"/>
      <c r="AR49" s="69">
        <f t="shared" si="15"/>
        <v>36.8772994756331</v>
      </c>
      <c r="AS49" s="69"/>
      <c r="AT49" s="69">
        <f t="shared" si="16"/>
        <v>0.0884487944106818</v>
      </c>
      <c r="AU49" s="69">
        <f t="shared" si="17"/>
        <v>8.43753489720272e-5</v>
      </c>
      <c r="AV49" s="65">
        <f t="shared" si="18"/>
        <v>0.0115572512058605</v>
      </c>
      <c r="AW49" s="68"/>
      <c r="AX49" s="68"/>
      <c r="AY49" s="68">
        <f t="shared" si="20"/>
        <v>14.2963197416494</v>
      </c>
      <c r="AZ49" s="68">
        <f t="shared" si="21"/>
        <v>20.2251896102559</v>
      </c>
      <c r="BA49" s="71">
        <f t="shared" si="40"/>
        <v>0.0209250865450627</v>
      </c>
      <c r="BB49" s="71"/>
      <c r="BC49" s="65"/>
      <c r="BD49" s="65">
        <f t="shared" si="58"/>
        <v>0.000540245999578481</v>
      </c>
      <c r="BE49" s="65">
        <f t="shared" si="42"/>
        <v>21.392571559767</v>
      </c>
      <c r="BF49" s="65">
        <f t="shared" si="22"/>
        <v>0.214999236713561</v>
      </c>
      <c r="BG49" s="69">
        <f t="shared" si="23"/>
        <v>0.0537548476102638</v>
      </c>
      <c r="BH49" s="69">
        <f t="shared" si="24"/>
        <v>4.58189938635544e-5</v>
      </c>
      <c r="BI49" s="72">
        <f t="shared" si="25"/>
        <v>13.3630717067762</v>
      </c>
      <c r="BJ49" s="72">
        <f t="shared" si="59"/>
        <v>0.0661076934309668</v>
      </c>
      <c r="BK49" s="73">
        <f t="shared" si="26"/>
        <v>0.0147285862376916</v>
      </c>
      <c r="BL49" s="72">
        <f t="shared" si="60"/>
        <v>578.319999817017</v>
      </c>
      <c r="BM49" s="74"/>
    </row>
    <row r="50" ht="25" customHeight="1" spans="1:65">
      <c r="A50" s="54">
        <v>82</v>
      </c>
      <c r="B50" s="55">
        <v>0.469614833385657</v>
      </c>
      <c r="C50" s="55">
        <v>-5.78671093976954</v>
      </c>
      <c r="D50" s="55"/>
      <c r="E50" s="55">
        <v>1.68721357171723</v>
      </c>
      <c r="F50" s="56">
        <v>1</v>
      </c>
      <c r="G50" s="57">
        <f t="shared" si="0"/>
        <v>8.36637353682585e-5</v>
      </c>
      <c r="H50" s="57">
        <f t="shared" si="1"/>
        <v>0.000333333333333333</v>
      </c>
      <c r="I50" s="58">
        <f t="shared" si="2"/>
        <v>0.0263884450820166</v>
      </c>
      <c r="J50" s="58"/>
      <c r="K50" s="58">
        <f t="shared" si="3"/>
        <v>3.02695002208373</v>
      </c>
      <c r="L50" s="57">
        <f t="shared" si="4"/>
        <v>0.000938015615816077</v>
      </c>
      <c r="M50" s="57">
        <f t="shared" si="5"/>
        <v>0.00223700019441777</v>
      </c>
      <c r="N50" s="57">
        <f t="shared" si="6"/>
        <v>0.141385932703828</v>
      </c>
      <c r="O50" s="59">
        <v>0.0302</v>
      </c>
      <c r="P50" s="60">
        <f t="shared" si="7"/>
        <v>0.0302</v>
      </c>
      <c r="Q50" s="61">
        <v>1000</v>
      </c>
      <c r="R50" s="59">
        <v>1.1616</v>
      </c>
      <c r="S50" s="59">
        <v>9.801</v>
      </c>
      <c r="T50" s="62">
        <v>4e-6</v>
      </c>
      <c r="U50" s="63">
        <v>1e-6</v>
      </c>
      <c r="V50" s="63">
        <f t="shared" si="45"/>
        <v>4e-6</v>
      </c>
      <c r="W50" s="64">
        <v>0.001147</v>
      </c>
      <c r="X50" s="64">
        <v>1.85e-5</v>
      </c>
      <c r="Y50" s="65">
        <f t="shared" si="8"/>
        <v>1.82196206093291</v>
      </c>
      <c r="Z50" s="66">
        <f t="shared" si="9"/>
        <v>0.00168721357171723</v>
      </c>
      <c r="AA50" s="65">
        <f t="shared" si="10"/>
        <v>9.201737601215</v>
      </c>
      <c r="AB50" s="65">
        <f t="shared" si="11"/>
        <v>24.6420438051209</v>
      </c>
      <c r="AC50" s="65">
        <f t="shared" si="12"/>
        <v>3.69541789777316</v>
      </c>
      <c r="AD50" s="67">
        <f t="shared" si="46"/>
        <v>6.66826986468029</v>
      </c>
      <c r="AE50" s="67">
        <f t="shared" si="47"/>
        <v>0.199045066044082</v>
      </c>
      <c r="AF50" s="67">
        <f t="shared" si="48"/>
        <v>0.0277675184949192</v>
      </c>
      <c r="AG50" s="67">
        <f t="shared" si="49"/>
        <v>0.454165927015915</v>
      </c>
      <c r="AH50" s="67">
        <f t="shared" si="50"/>
        <v>0.117876984745284</v>
      </c>
      <c r="AI50" s="67">
        <f t="shared" si="51"/>
        <v>0.860664061850207</v>
      </c>
      <c r="AJ50" s="67">
        <f t="shared" si="52"/>
        <v>0.215424596153182</v>
      </c>
      <c r="AK50" s="67">
        <f t="shared" si="53"/>
        <v>1.80638386280001</v>
      </c>
      <c r="AL50" s="67">
        <f t="shared" si="54"/>
        <v>0.0269599013363588</v>
      </c>
      <c r="AM50" s="67">
        <f t="shared" si="55"/>
        <v>0.467771028567116</v>
      </c>
      <c r="AN50" s="67">
        <f t="shared" si="56"/>
        <v>0.207858259486585</v>
      </c>
      <c r="AO50" s="67">
        <f t="shared" si="57"/>
        <v>0.304812600179208</v>
      </c>
      <c r="AP50" s="63">
        <f t="shared" si="13"/>
        <v>101.538342353656</v>
      </c>
      <c r="AQ50" s="68"/>
      <c r="AR50" s="69">
        <f t="shared" si="15"/>
        <v>906.872814695254</v>
      </c>
      <c r="AS50" s="69"/>
      <c r="AT50" s="69">
        <f t="shared" si="16"/>
        <v>0.0178360335726274</v>
      </c>
      <c r="AU50" s="69">
        <f t="shared" si="17"/>
        <v>8.19564666965237e-5</v>
      </c>
      <c r="AV50" s="65">
        <f t="shared" si="18"/>
        <v>0.0126110607781765</v>
      </c>
      <c r="AW50" s="68"/>
      <c r="AX50" s="68"/>
      <c r="AY50" s="68">
        <f t="shared" si="20"/>
        <v>15.5998821826044</v>
      </c>
      <c r="AZ50" s="68">
        <f t="shared" si="21"/>
        <v>22.069356361809</v>
      </c>
      <c r="BA50" s="71">
        <f t="shared" si="40"/>
        <v>0.0203252037407379</v>
      </c>
      <c r="BB50" s="71"/>
      <c r="BC50" s="65"/>
      <c r="BD50" s="65">
        <f t="shared" si="58"/>
        <v>0.0149247908440509</v>
      </c>
      <c r="BE50" s="65">
        <f t="shared" si="42"/>
        <v>0.844974037488999</v>
      </c>
      <c r="BF50" s="65">
        <f t="shared" si="22"/>
        <v>6.29532741678094</v>
      </c>
      <c r="BG50" s="69">
        <f t="shared" si="23"/>
        <v>0.00200324144294072</v>
      </c>
      <c r="BH50" s="69">
        <f t="shared" si="24"/>
        <v>2.21846410665397e-6</v>
      </c>
      <c r="BI50" s="72">
        <f t="shared" si="25"/>
        <v>14.5815390247666</v>
      </c>
      <c r="BJ50" s="72">
        <f t="shared" si="59"/>
        <v>1.67367694109952</v>
      </c>
      <c r="BK50" s="73">
        <f t="shared" si="26"/>
        <v>0.308787869408478</v>
      </c>
      <c r="BL50" s="72">
        <f t="shared" si="60"/>
        <v>32.0328796006673</v>
      </c>
      <c r="BM50" s="74"/>
    </row>
    <row r="51" ht="25" customHeight="1" spans="1:65">
      <c r="A51" s="54">
        <v>83</v>
      </c>
      <c r="B51" s="55">
        <v>0.463889762356957</v>
      </c>
      <c r="C51" s="55">
        <v>-7.64236562577639</v>
      </c>
      <c r="D51" s="55"/>
      <c r="E51" s="55">
        <v>1.61908724819553</v>
      </c>
      <c r="F51" s="56">
        <v>1</v>
      </c>
      <c r="G51" s="57">
        <f t="shared" si="0"/>
        <v>8.36637353682585e-5</v>
      </c>
      <c r="H51" s="57">
        <f t="shared" si="1"/>
        <v>0.000333333333333333</v>
      </c>
      <c r="I51" s="58">
        <f t="shared" si="2"/>
        <v>0.0272897088777787</v>
      </c>
      <c r="J51" s="58"/>
      <c r="K51" s="58">
        <f t="shared" si="3"/>
        <v>2.96508311855512</v>
      </c>
      <c r="L51" s="57">
        <f t="shared" si="4"/>
        <v>0.000918882889343247</v>
      </c>
      <c r="M51" s="57">
        <f t="shared" si="5"/>
        <v>0.00220573766919046</v>
      </c>
      <c r="N51" s="57">
        <f t="shared" si="6"/>
        <v>0.147065888730568</v>
      </c>
      <c r="O51" s="59">
        <v>0.0302</v>
      </c>
      <c r="P51" s="60">
        <f t="shared" si="7"/>
        <v>0.0302</v>
      </c>
      <c r="Q51" s="61">
        <v>1000</v>
      </c>
      <c r="R51" s="59">
        <v>1.1616</v>
      </c>
      <c r="S51" s="59">
        <v>9.801</v>
      </c>
      <c r="T51" s="62">
        <v>4e-6</v>
      </c>
      <c r="U51" s="63">
        <v>1e-6</v>
      </c>
      <c r="V51" s="63">
        <f t="shared" si="45"/>
        <v>4e-6</v>
      </c>
      <c r="W51" s="64">
        <v>0.001147</v>
      </c>
      <c r="X51" s="64">
        <v>1.85e-5</v>
      </c>
      <c r="Y51" s="65">
        <f t="shared" si="8"/>
        <v>1.05449328204499</v>
      </c>
      <c r="Z51" s="66">
        <f t="shared" si="9"/>
        <v>0.00161908724819553</v>
      </c>
      <c r="AA51" s="65">
        <f t="shared" si="10"/>
        <v>8.92934309987737</v>
      </c>
      <c r="AB51" s="65">
        <f t="shared" si="11"/>
        <v>23.0739996274934</v>
      </c>
      <c r="AC51" s="65">
        <f t="shared" si="12"/>
        <v>3.40301561758373</v>
      </c>
      <c r="AD51" s="67">
        <f t="shared" si="46"/>
        <v>6.78045657747433</v>
      </c>
      <c r="AE51" s="67">
        <f t="shared" si="47"/>
        <v>0.191008022724832</v>
      </c>
      <c r="AF51" s="67">
        <f t="shared" si="48"/>
        <v>0.02623572034147</v>
      </c>
      <c r="AG51" s="67">
        <f t="shared" si="49"/>
        <v>0.451865219031135</v>
      </c>
      <c r="AH51" s="67">
        <f t="shared" si="50"/>
        <v>0.115606064459013</v>
      </c>
      <c r="AI51" s="67">
        <f t="shared" si="51"/>
        <v>0.859409487641877</v>
      </c>
      <c r="AJ51" s="67">
        <f t="shared" si="52"/>
        <v>0.212154480860316</v>
      </c>
      <c r="AK51" s="67">
        <f t="shared" si="53"/>
        <v>1.61644835400409</v>
      </c>
      <c r="AL51" s="67">
        <f t="shared" si="54"/>
        <v>0.0227679803275238</v>
      </c>
      <c r="AM51" s="67">
        <f t="shared" si="55"/>
        <v>0.520687796985076</v>
      </c>
      <c r="AN51" s="67">
        <f t="shared" si="56"/>
        <v>0.203639900375374</v>
      </c>
      <c r="AO51" s="67">
        <f t="shared" si="57"/>
        <v>0.304780671967147</v>
      </c>
      <c r="AP51" s="63">
        <f t="shared" si="13"/>
        <v>100.300489158261</v>
      </c>
      <c r="AQ51" s="68"/>
      <c r="AR51" s="69">
        <f t="shared" si="15"/>
        <v>929.39518768814</v>
      </c>
      <c r="AS51" s="69"/>
      <c r="AT51" s="69">
        <f t="shared" si="16"/>
        <v>0.0176185946166699</v>
      </c>
      <c r="AU51" s="69">
        <f t="shared" si="17"/>
        <v>8.36629416762731e-5</v>
      </c>
      <c r="AV51" s="65">
        <f t="shared" si="18"/>
        <v>0.0118550095185379</v>
      </c>
      <c r="AW51" s="68"/>
      <c r="AX51" s="68"/>
      <c r="AY51" s="68">
        <f t="shared" si="20"/>
        <v>14.6646467744314</v>
      </c>
      <c r="AZ51" s="68">
        <f t="shared" si="21"/>
        <v>20.7462666574414</v>
      </c>
      <c r="BA51" s="71">
        <f t="shared" si="40"/>
        <v>0.0207484095357157</v>
      </c>
      <c r="BB51" s="71"/>
      <c r="BC51" s="65"/>
      <c r="BD51" s="65">
        <f t="shared" si="58"/>
        <v>0.0140851888469715</v>
      </c>
      <c r="BE51" s="65">
        <f t="shared" si="42"/>
        <v>0.84166493238654</v>
      </c>
      <c r="BF51" s="65">
        <f t="shared" si="22"/>
        <v>5.70128741263938</v>
      </c>
      <c r="BG51" s="69">
        <f t="shared" si="23"/>
        <v>0.00207935658396315</v>
      </c>
      <c r="BH51" s="69">
        <f t="shared" si="24"/>
        <v>1.91292942178419e-6</v>
      </c>
      <c r="BI51" s="72">
        <f t="shared" si="25"/>
        <v>13.7073547558095</v>
      </c>
      <c r="BJ51" s="72">
        <f t="shared" si="59"/>
        <v>1.68025719969477</v>
      </c>
      <c r="BK51" s="73">
        <f t="shared" si="26"/>
        <v>0.355116967024181</v>
      </c>
      <c r="BL51" s="72">
        <f t="shared" si="60"/>
        <v>29.8800308626609</v>
      </c>
      <c r="BM51" s="74"/>
    </row>
    <row r="52" ht="25" customHeight="1" spans="1:65">
      <c r="A52" s="54">
        <v>84</v>
      </c>
      <c r="B52" s="55">
        <v>0.48755023058988</v>
      </c>
      <c r="C52" s="55">
        <v>-4.20243660650433</v>
      </c>
      <c r="D52" s="55"/>
      <c r="E52" s="55">
        <v>1.69196013366231</v>
      </c>
      <c r="F52" s="56">
        <v>1</v>
      </c>
      <c r="G52" s="57">
        <f t="shared" si="0"/>
        <v>8.36637353682585e-5</v>
      </c>
      <c r="H52" s="57">
        <f t="shared" si="1"/>
        <v>0.000333333333333333</v>
      </c>
      <c r="I52" s="58">
        <f t="shared" si="2"/>
        <v>0.027310928431405</v>
      </c>
      <c r="J52" s="58"/>
      <c r="K52" s="58">
        <f t="shared" si="3"/>
        <v>3.26172631364456</v>
      </c>
      <c r="L52" s="57">
        <f t="shared" si="4"/>
        <v>0.000939334127680581</v>
      </c>
      <c r="M52" s="57">
        <f t="shared" si="5"/>
        <v>0.00208091900483445</v>
      </c>
      <c r="N52" s="57">
        <f t="shared" si="6"/>
        <v>0.15172963393365</v>
      </c>
      <c r="O52" s="59">
        <v>0.0302</v>
      </c>
      <c r="P52" s="60">
        <f t="shared" si="7"/>
        <v>0.0302</v>
      </c>
      <c r="Q52" s="61">
        <v>1000</v>
      </c>
      <c r="R52" s="59">
        <v>1.1616</v>
      </c>
      <c r="S52" s="59">
        <v>9.801</v>
      </c>
      <c r="T52" s="62">
        <v>4e-6</v>
      </c>
      <c r="U52" s="63">
        <v>1e-6</v>
      </c>
      <c r="V52" s="63">
        <f t="shared" si="45"/>
        <v>4e-6</v>
      </c>
      <c r="W52" s="64">
        <v>0.001147</v>
      </c>
      <c r="X52" s="64">
        <v>1.85e-5</v>
      </c>
      <c r="Y52" s="65">
        <f t="shared" si="8"/>
        <v>2.4434243156608</v>
      </c>
      <c r="Z52" s="66">
        <f t="shared" si="9"/>
        <v>0.00169196013366231</v>
      </c>
      <c r="AA52" s="65">
        <f t="shared" si="10"/>
        <v>10.0767190289625</v>
      </c>
      <c r="AB52" s="65">
        <f t="shared" si="11"/>
        <v>26.6349515388322</v>
      </c>
      <c r="AC52" s="65">
        <f t="shared" si="12"/>
        <v>3.7162394502436</v>
      </c>
      <c r="AD52" s="67">
        <f t="shared" si="46"/>
        <v>7.16717851350679</v>
      </c>
      <c r="AE52" s="67">
        <f t="shared" si="47"/>
        <v>0.199605030562906</v>
      </c>
      <c r="AF52" s="67">
        <f t="shared" si="48"/>
        <v>0.0260337006907136</v>
      </c>
      <c r="AG52" s="67">
        <f t="shared" si="49"/>
        <v>0.486458515190201</v>
      </c>
      <c r="AH52" s="67">
        <f t="shared" si="50"/>
        <v>0.118618622741283</v>
      </c>
      <c r="AI52" s="67">
        <f t="shared" si="51"/>
        <v>0.855388975584997</v>
      </c>
      <c r="AJ52" s="67">
        <f t="shared" si="52"/>
        <v>0.201606305077463</v>
      </c>
      <c r="AK52" s="67">
        <f t="shared" si="53"/>
        <v>2.02257571331855</v>
      </c>
      <c r="AL52" s="67">
        <f t="shared" si="54"/>
        <v>0.0281642410825909</v>
      </c>
      <c r="AM52" s="67">
        <f t="shared" si="55"/>
        <v>0.449659387084952</v>
      </c>
      <c r="AN52" s="67">
        <f t="shared" si="56"/>
        <v>0.191478515409655</v>
      </c>
      <c r="AO52" s="67">
        <f t="shared" si="57"/>
        <v>0.331352447876107</v>
      </c>
      <c r="AP52" s="63">
        <f t="shared" si="13"/>
        <v>105.416266073488</v>
      </c>
      <c r="AQ52" s="68"/>
      <c r="AR52" s="69">
        <f t="shared" si="15"/>
        <v>841.37821549458</v>
      </c>
      <c r="AS52" s="69"/>
      <c r="AT52" s="69">
        <f t="shared" si="16"/>
        <v>0.0185172223339931</v>
      </c>
      <c r="AU52" s="69">
        <f t="shared" si="17"/>
        <v>8.18414271482652e-5</v>
      </c>
      <c r="AV52" s="65">
        <f t="shared" si="18"/>
        <v>0.0126643153829107</v>
      </c>
      <c r="AW52" s="68"/>
      <c r="AX52" s="68"/>
      <c r="AY52" s="68">
        <f t="shared" si="20"/>
        <v>15.6657581286605</v>
      </c>
      <c r="AZ52" s="68">
        <f t="shared" si="21"/>
        <v>22.1625519200937</v>
      </c>
      <c r="BA52" s="71">
        <f t="shared" si="40"/>
        <v>0.0202966739327698</v>
      </c>
      <c r="BB52" s="71"/>
      <c r="BC52" s="65"/>
      <c r="BD52" s="65">
        <f t="shared" si="58"/>
        <v>0.0139249378389797</v>
      </c>
      <c r="BE52" s="65">
        <f t="shared" si="42"/>
        <v>0.909470155583729</v>
      </c>
      <c r="BF52" s="65">
        <f t="shared" si="22"/>
        <v>5.89010992181988</v>
      </c>
      <c r="BG52" s="69">
        <f t="shared" si="23"/>
        <v>0.00215009830903083</v>
      </c>
      <c r="BH52" s="69">
        <f t="shared" si="24"/>
        <v>2.41139148843403e-6</v>
      </c>
      <c r="BI52" s="72">
        <f t="shared" si="25"/>
        <v>14.6431146614905</v>
      </c>
      <c r="BJ52" s="72">
        <f t="shared" si="59"/>
        <v>1.55498622323171</v>
      </c>
      <c r="BK52" s="73">
        <f t="shared" si="26"/>
        <v>0.284119950001778</v>
      </c>
      <c r="BL52" s="72">
        <f t="shared" si="60"/>
        <v>34.0674304393194</v>
      </c>
      <c r="BM52" s="74"/>
    </row>
    <row r="53" ht="25" customHeight="1" spans="1:65">
      <c r="A53" s="54">
        <v>85</v>
      </c>
      <c r="B53" s="55">
        <v>0.468761713975318</v>
      </c>
      <c r="C53" s="55">
        <v>-6.16957054829511</v>
      </c>
      <c r="D53" s="55"/>
      <c r="E53" s="55">
        <v>1.62796582940207</v>
      </c>
      <c r="F53" s="56">
        <v>1</v>
      </c>
      <c r="G53" s="57">
        <f t="shared" si="0"/>
        <v>8.36637353682585e-5</v>
      </c>
      <c r="H53" s="57">
        <f t="shared" si="1"/>
        <v>0.000333333333333333</v>
      </c>
      <c r="I53" s="58">
        <f t="shared" si="2"/>
        <v>0.0274088303506821</v>
      </c>
      <c r="J53" s="58"/>
      <c r="K53" s="58">
        <f t="shared" si="3"/>
        <v>3.02610955613925</v>
      </c>
      <c r="L53" s="57">
        <f t="shared" si="4"/>
        <v>0.000921398881736596</v>
      </c>
      <c r="M53" s="57">
        <f t="shared" si="5"/>
        <v>0.00217120800898551</v>
      </c>
      <c r="N53" s="57">
        <f t="shared" si="6"/>
        <v>0.148902295860907</v>
      </c>
      <c r="O53" s="59">
        <v>0.0302</v>
      </c>
      <c r="P53" s="60">
        <f t="shared" si="7"/>
        <v>0.0302</v>
      </c>
      <c r="Q53" s="61">
        <v>1000</v>
      </c>
      <c r="R53" s="59">
        <v>1.1616</v>
      </c>
      <c r="S53" s="59">
        <v>9.801</v>
      </c>
      <c r="T53" s="62">
        <v>4e-6</v>
      </c>
      <c r="U53" s="63">
        <v>1e-6</v>
      </c>
      <c r="V53" s="63">
        <f t="shared" si="45"/>
        <v>4e-6</v>
      </c>
      <c r="W53" s="64">
        <v>0.001147</v>
      </c>
      <c r="X53" s="64">
        <v>1.85e-5</v>
      </c>
      <c r="Y53" s="65">
        <f t="shared" si="8"/>
        <v>1.58299450474921</v>
      </c>
      <c r="Z53" s="66">
        <f t="shared" si="9"/>
        <v>0.00162796582940207</v>
      </c>
      <c r="AA53" s="65">
        <f t="shared" si="10"/>
        <v>9.16093498924964</v>
      </c>
      <c r="AB53" s="65">
        <f t="shared" si="11"/>
        <v>23.6904115142342</v>
      </c>
      <c r="AC53" s="65">
        <f t="shared" si="12"/>
        <v>3.44044015118003</v>
      </c>
      <c r="AD53" s="67">
        <f t="shared" si="46"/>
        <v>6.88586648022597</v>
      </c>
      <c r="AE53" s="67">
        <f t="shared" si="47"/>
        <v>0.192055452529961</v>
      </c>
      <c r="AF53" s="67">
        <f t="shared" si="48"/>
        <v>0.026003103771798</v>
      </c>
      <c r="AG53" s="67">
        <f t="shared" si="49"/>
        <v>0.459662703206273</v>
      </c>
      <c r="AH53" s="67">
        <f t="shared" si="50"/>
        <v>0.116044605128936</v>
      </c>
      <c r="AI53" s="67">
        <f t="shared" si="51"/>
        <v>0.858268356149072</v>
      </c>
      <c r="AJ53" s="67">
        <f t="shared" si="52"/>
        <v>0.209171254155651</v>
      </c>
      <c r="AK53" s="67">
        <f t="shared" si="53"/>
        <v>1.76776052530176</v>
      </c>
      <c r="AL53" s="67">
        <f t="shared" si="54"/>
        <v>0.024652529106278</v>
      </c>
      <c r="AM53" s="67">
        <f t="shared" si="55"/>
        <v>0.484845060722555</v>
      </c>
      <c r="AN53" s="67">
        <f t="shared" si="56"/>
        <v>0.199948053541892</v>
      </c>
      <c r="AO53" s="67">
        <f t="shared" si="57"/>
        <v>0.311258079672382</v>
      </c>
      <c r="AP53" s="63">
        <f t="shared" si="13"/>
        <v>101.353884102771</v>
      </c>
      <c r="AQ53" s="68"/>
      <c r="AR53" s="69">
        <f t="shared" si="15"/>
        <v>910.176731359356</v>
      </c>
      <c r="AS53" s="69"/>
      <c r="AT53" s="69">
        <f t="shared" si="16"/>
        <v>0.0178036319844268</v>
      </c>
      <c r="AU53" s="69">
        <f t="shared" si="17"/>
        <v>8.3434489776629e-5</v>
      </c>
      <c r="AV53" s="65">
        <f t="shared" si="18"/>
        <v>0.0119526569714979</v>
      </c>
      <c r="AW53" s="68"/>
      <c r="AX53" s="68"/>
      <c r="AY53" s="68">
        <f t="shared" si="20"/>
        <v>14.7854366737429</v>
      </c>
      <c r="AZ53" s="68">
        <f t="shared" si="21"/>
        <v>20.9171497001214</v>
      </c>
      <c r="BA53" s="71">
        <f t="shared" si="40"/>
        <v>0.020691753464604</v>
      </c>
      <c r="BB53" s="71"/>
      <c r="BC53" s="65"/>
      <c r="BD53" s="65">
        <f t="shared" si="58"/>
        <v>0.0139456271103632</v>
      </c>
      <c r="BE53" s="65">
        <f t="shared" si="42"/>
        <v>0.857089959232866</v>
      </c>
      <c r="BF53" s="65">
        <f t="shared" si="22"/>
        <v>5.67575110131359</v>
      </c>
      <c r="BG53" s="69">
        <f t="shared" si="23"/>
        <v>0.00210591633743975</v>
      </c>
      <c r="BH53" s="69">
        <f t="shared" si="24"/>
        <v>1.98563187316548e-6</v>
      </c>
      <c r="BI53" s="72">
        <f t="shared" si="25"/>
        <v>13.8202596232945</v>
      </c>
      <c r="BJ53" s="72">
        <f t="shared" si="59"/>
        <v>1.65001765233474</v>
      </c>
      <c r="BK53" s="73">
        <f t="shared" si="26"/>
        <v>0.342717545989509</v>
      </c>
      <c r="BL53" s="72">
        <f t="shared" si="60"/>
        <v>30.5712918165942</v>
      </c>
      <c r="BM53" s="74"/>
    </row>
    <row r="54" ht="25" customHeight="1" spans="1:65">
      <c r="A54" s="54">
        <v>86</v>
      </c>
      <c r="B54" s="55">
        <v>0.3814797298776</v>
      </c>
      <c r="C54" s="55">
        <v>-11.2238360658546</v>
      </c>
      <c r="D54" s="55"/>
      <c r="E54" s="55">
        <v>1.61690596426855</v>
      </c>
      <c r="F54" s="56">
        <v>1</v>
      </c>
      <c r="G54" s="57">
        <f t="shared" si="0"/>
        <v>8.36637353682585e-5</v>
      </c>
      <c r="H54" s="57">
        <f t="shared" si="1"/>
        <v>0.000333333333333333</v>
      </c>
      <c r="I54" s="58">
        <f t="shared" si="2"/>
        <v>0.0224754285694669</v>
      </c>
      <c r="J54" s="58"/>
      <c r="K54" s="58">
        <f t="shared" si="3"/>
        <v>2.00542452696474</v>
      </c>
      <c r="L54" s="57">
        <f t="shared" si="4"/>
        <v>0.000918263707142526</v>
      </c>
      <c r="M54" s="57">
        <f t="shared" si="5"/>
        <v>0.00325756272258361</v>
      </c>
      <c r="N54" s="57">
        <f t="shared" si="6"/>
        <v>0.0996629831851029</v>
      </c>
      <c r="O54" s="59">
        <v>0.0302</v>
      </c>
      <c r="P54" s="60">
        <f t="shared" si="7"/>
        <v>0.0302</v>
      </c>
      <c r="Q54" s="61">
        <v>1000</v>
      </c>
      <c r="R54" s="59">
        <v>1.1616</v>
      </c>
      <c r="S54" s="59">
        <v>9.801</v>
      </c>
      <c r="T54" s="62">
        <v>4e-6</v>
      </c>
      <c r="U54" s="63">
        <v>1e-6</v>
      </c>
      <c r="V54" s="63">
        <f t="shared" si="45"/>
        <v>4e-6</v>
      </c>
      <c r="W54" s="64">
        <v>0.001147</v>
      </c>
      <c r="X54" s="64">
        <v>1.85e-5</v>
      </c>
      <c r="Y54" s="65">
        <f t="shared" si="8"/>
        <v>-0.244025271039641</v>
      </c>
      <c r="Z54" s="66">
        <f t="shared" si="9"/>
        <v>0.00161690596426855</v>
      </c>
      <c r="AA54" s="65">
        <f t="shared" si="10"/>
        <v>5.37853131026945</v>
      </c>
      <c r="AB54" s="65">
        <f t="shared" si="11"/>
        <v>15.5829884442118</v>
      </c>
      <c r="AC54" s="65">
        <f t="shared" si="12"/>
        <v>3.39385250043867</v>
      </c>
      <c r="AD54" s="67">
        <f t="shared" si="46"/>
        <v>4.59153379299708</v>
      </c>
      <c r="AE54" s="67">
        <f t="shared" si="47"/>
        <v>0.1907506908668</v>
      </c>
      <c r="AF54" s="67">
        <f t="shared" si="48"/>
        <v>0.037464288487913</v>
      </c>
      <c r="AG54" s="67">
        <f t="shared" si="49"/>
        <v>0.31579567953828</v>
      </c>
      <c r="AH54" s="67">
        <f t="shared" si="50"/>
        <v>0.111865637924291</v>
      </c>
      <c r="AI54" s="67">
        <f t="shared" si="51"/>
        <v>0.89517403391514</v>
      </c>
      <c r="AJ54" s="67">
        <f t="shared" si="52"/>
        <v>0.301528600007175</v>
      </c>
      <c r="AK54" s="67">
        <f t="shared" si="53"/>
        <v>1.29071514552179</v>
      </c>
      <c r="AL54" s="67">
        <f t="shared" si="54"/>
        <v>0.0268107365447283</v>
      </c>
      <c r="AM54" s="67">
        <f t="shared" si="55"/>
        <v>0.441280694460628</v>
      </c>
      <c r="AN54" s="67">
        <f t="shared" si="56"/>
        <v>0.312811943621374</v>
      </c>
      <c r="AO54" s="67">
        <f t="shared" si="57"/>
        <v>0.198277861745998</v>
      </c>
      <c r="AP54" s="63">
        <f t="shared" si="13"/>
        <v>82.4821037573189</v>
      </c>
      <c r="AQ54" s="68"/>
      <c r="AR54" s="69">
        <f t="shared" si="15"/>
        <v>1374.31745607335</v>
      </c>
      <c r="AS54" s="69"/>
      <c r="AT54" s="69">
        <f t="shared" si="16"/>
        <v>0.0144886506678678</v>
      </c>
      <c r="AU54" s="69">
        <f t="shared" si="17"/>
        <v>8.37193553229663e-5</v>
      </c>
      <c r="AV54" s="65">
        <f t="shared" si="18"/>
        <v>0.0118310604414586</v>
      </c>
      <c r="AW54" s="68"/>
      <c r="AX54" s="68"/>
      <c r="AY54" s="68">
        <f t="shared" si="20"/>
        <v>14.6350217660843</v>
      </c>
      <c r="AZ54" s="68">
        <f t="shared" si="21"/>
        <v>20.7043557725526</v>
      </c>
      <c r="BA54" s="71">
        <f t="shared" si="40"/>
        <v>0.0207624001200956</v>
      </c>
      <c r="BB54" s="71"/>
      <c r="BC54" s="65"/>
      <c r="BD54" s="65">
        <f t="shared" si="58"/>
        <v>0.0207720011946476</v>
      </c>
      <c r="BE54" s="65">
        <f t="shared" si="42"/>
        <v>0.569567675766704</v>
      </c>
      <c r="BF54" s="65">
        <f t="shared" si="22"/>
        <v>8.39659315535479</v>
      </c>
      <c r="BG54" s="69">
        <f t="shared" si="23"/>
        <v>0.00140903104658746</v>
      </c>
      <c r="BH54" s="69">
        <f t="shared" si="24"/>
        <v>1.28841518765845e-6</v>
      </c>
      <c r="BI54" s="72">
        <f t="shared" si="25"/>
        <v>13.6796636354365</v>
      </c>
      <c r="BJ54" s="72">
        <f t="shared" si="59"/>
        <v>2.4829596596566</v>
      </c>
      <c r="BK54" s="73">
        <f t="shared" si="26"/>
        <v>0.527003856065431</v>
      </c>
      <c r="BL54" s="72">
        <f t="shared" si="60"/>
        <v>22.3706934450891</v>
      </c>
      <c r="BM54" s="74"/>
    </row>
    <row r="55" ht="25" customHeight="1" spans="1:65">
      <c r="A55" s="54">
        <v>87</v>
      </c>
      <c r="B55" s="55">
        <v>0.372436977074136</v>
      </c>
      <c r="C55" s="55">
        <v>-10.6875417094222</v>
      </c>
      <c r="D55" s="55"/>
      <c r="E55" s="55">
        <v>1.69065542682392</v>
      </c>
      <c r="F55" s="56">
        <v>1</v>
      </c>
      <c r="G55" s="57">
        <f t="shared" si="0"/>
        <v>8.36637353682585e-5</v>
      </c>
      <c r="H55" s="57">
        <f t="shared" si="1"/>
        <v>0.000333333333333333</v>
      </c>
      <c r="I55" s="58">
        <f t="shared" si="2"/>
        <v>0.0208805487681502</v>
      </c>
      <c r="J55" s="58"/>
      <c r="K55" s="58">
        <f t="shared" si="3"/>
        <v>1.90346692118357</v>
      </c>
      <c r="L55" s="57">
        <f t="shared" si="4"/>
        <v>0.000938971887462934</v>
      </c>
      <c r="M55" s="57">
        <f t="shared" si="5"/>
        <v>0.00356347809232435</v>
      </c>
      <c r="N55" s="57">
        <f t="shared" si="6"/>
        <v>0.0886454566532677</v>
      </c>
      <c r="O55" s="59">
        <v>0.0302</v>
      </c>
      <c r="P55" s="60">
        <f t="shared" si="7"/>
        <v>0.0302</v>
      </c>
      <c r="Q55" s="61">
        <v>1000</v>
      </c>
      <c r="R55" s="59">
        <v>1.1616</v>
      </c>
      <c r="S55" s="59">
        <v>9.801</v>
      </c>
      <c r="T55" s="62">
        <v>4e-6</v>
      </c>
      <c r="U55" s="63">
        <v>1e-6</v>
      </c>
      <c r="V55" s="63">
        <f t="shared" si="45"/>
        <v>4e-6</v>
      </c>
      <c r="W55" s="64">
        <v>0.001147</v>
      </c>
      <c r="X55" s="64">
        <v>1.85e-5</v>
      </c>
      <c r="Y55" s="65">
        <f t="shared" si="8"/>
        <v>-0.0936974910164194</v>
      </c>
      <c r="Z55" s="66">
        <f t="shared" si="9"/>
        <v>0.00169065542682392</v>
      </c>
      <c r="AA55" s="65">
        <f t="shared" si="10"/>
        <v>5.03105514230991</v>
      </c>
      <c r="AB55" s="65">
        <f t="shared" si="11"/>
        <v>15.5304393374087</v>
      </c>
      <c r="AC55" s="65">
        <f t="shared" si="12"/>
        <v>3.71051031573697</v>
      </c>
      <c r="AD55" s="67">
        <f t="shared" si="46"/>
        <v>4.18552652219862</v>
      </c>
      <c r="AE55" s="67">
        <f t="shared" si="47"/>
        <v>0.199451110832074</v>
      </c>
      <c r="AF55" s="67">
        <f t="shared" si="48"/>
        <v>0.0425674915907816</v>
      </c>
      <c r="AG55" s="67">
        <f t="shared" si="49"/>
        <v>0.297167372228653</v>
      </c>
      <c r="AH55" s="67">
        <f t="shared" si="50"/>
        <v>0.113309002624942</v>
      </c>
      <c r="AI55" s="67">
        <f t="shared" si="51"/>
        <v>0.906024169744702</v>
      </c>
      <c r="AJ55" s="67">
        <f t="shared" si="52"/>
        <v>0.327126535722606</v>
      </c>
      <c r="AK55" s="67">
        <f t="shared" si="53"/>
        <v>1.30988175603048</v>
      </c>
      <c r="AL55" s="67">
        <f t="shared" si="54"/>
        <v>0.0312096184211623</v>
      </c>
      <c r="AM55" s="67">
        <f t="shared" si="55"/>
        <v>0.405313177742042</v>
      </c>
      <c r="AN55" s="67">
        <f t="shared" si="56"/>
        <v>0.334872324051007</v>
      </c>
      <c r="AO55" s="67">
        <f t="shared" si="57"/>
        <v>0.189392801074257</v>
      </c>
      <c r="AP55" s="63">
        <f t="shared" si="13"/>
        <v>80.5269139619754</v>
      </c>
      <c r="AQ55" s="68"/>
      <c r="AR55" s="69">
        <f t="shared" si="15"/>
        <v>1441.86436866035</v>
      </c>
      <c r="AS55" s="69"/>
      <c r="AT55" s="69">
        <f t="shared" si="16"/>
        <v>0.0141452057186766</v>
      </c>
      <c r="AU55" s="69">
        <f t="shared" si="17"/>
        <v>8.18730002515482e-5</v>
      </c>
      <c r="AV55" s="65">
        <f t="shared" si="18"/>
        <v>0.0126496696183979</v>
      </c>
      <c r="AW55" s="68"/>
      <c r="AX55" s="68"/>
      <c r="AY55" s="68">
        <f t="shared" si="20"/>
        <v>15.6476413179582</v>
      </c>
      <c r="AZ55" s="68">
        <f t="shared" si="21"/>
        <v>22.1369218321963</v>
      </c>
      <c r="BA55" s="71">
        <f t="shared" si="40"/>
        <v>0.0203045040623839</v>
      </c>
      <c r="BB55" s="71"/>
      <c r="BC55" s="65"/>
      <c r="BD55" s="65">
        <f t="shared" si="58"/>
        <v>0.0238262868212939</v>
      </c>
      <c r="BE55" s="65">
        <f t="shared" si="42"/>
        <v>0.53091233700304</v>
      </c>
      <c r="BF55" s="65">
        <f t="shared" si="22"/>
        <v>10.0705102788709</v>
      </c>
      <c r="BG55" s="69">
        <f t="shared" si="23"/>
        <v>0.00125611009453397</v>
      </c>
      <c r="BH55" s="69">
        <f t="shared" si="24"/>
        <v>1.40387845238521e-6</v>
      </c>
      <c r="BI55" s="72">
        <f t="shared" si="25"/>
        <v>14.6261804962725</v>
      </c>
      <c r="BJ55" s="72">
        <f t="shared" si="59"/>
        <v>2.66374213557783</v>
      </c>
      <c r="BK55" s="73">
        <f t="shared" si="26"/>
        <v>0.488008046898604</v>
      </c>
      <c r="BL55" s="72">
        <f t="shared" si="60"/>
        <v>22.9514599688826</v>
      </c>
      <c r="BM55" s="74"/>
    </row>
    <row r="56" ht="25" customHeight="1" spans="1:65">
      <c r="A56" s="54">
        <v>89</v>
      </c>
      <c r="B56" s="55">
        <v>0.339182587956996</v>
      </c>
      <c r="C56" s="55">
        <v>-6.38178582781118</v>
      </c>
      <c r="D56" s="55"/>
      <c r="E56" s="55">
        <v>1.69910654954558</v>
      </c>
      <c r="F56" s="56">
        <v>1</v>
      </c>
      <c r="G56" s="57">
        <f t="shared" si="0"/>
        <v>8.36637353682585e-5</v>
      </c>
      <c r="H56" s="57">
        <f t="shared" si="1"/>
        <v>0.000333333333333333</v>
      </c>
      <c r="I56" s="58">
        <f t="shared" si="2"/>
        <v>0.018911171073822</v>
      </c>
      <c r="J56" s="58"/>
      <c r="K56" s="58">
        <f t="shared" si="3"/>
        <v>1.57800019440078</v>
      </c>
      <c r="L56" s="57">
        <f t="shared" si="4"/>
        <v>0.000941315793428429</v>
      </c>
      <c r="M56" s="57">
        <f t="shared" si="5"/>
        <v>0.00431662117188273</v>
      </c>
      <c r="N56" s="57">
        <f t="shared" si="6"/>
        <v>0.0729561814009971</v>
      </c>
      <c r="O56" s="59">
        <v>0.0302</v>
      </c>
      <c r="P56" s="60">
        <f t="shared" si="7"/>
        <v>0.0302</v>
      </c>
      <c r="Q56" s="61">
        <v>1000</v>
      </c>
      <c r="R56" s="59">
        <v>1.1616</v>
      </c>
      <c r="S56" s="59">
        <v>9.801</v>
      </c>
      <c r="T56" s="62">
        <v>4e-6</v>
      </c>
      <c r="U56" s="63">
        <v>1e-6</v>
      </c>
      <c r="V56" s="63">
        <f t="shared" si="45"/>
        <v>4e-6</v>
      </c>
      <c r="W56" s="64">
        <v>0.001147</v>
      </c>
      <c r="X56" s="64">
        <v>1.85e-5</v>
      </c>
      <c r="Y56" s="65">
        <f t="shared" si="8"/>
        <v>1.52657272207259</v>
      </c>
      <c r="Z56" s="66">
        <f t="shared" si="9"/>
        <v>0.00169910654954558</v>
      </c>
      <c r="AA56" s="65">
        <f t="shared" si="10"/>
        <v>3.8249147794702</v>
      </c>
      <c r="AB56" s="65">
        <f t="shared" si="11"/>
        <v>12.9452596490475</v>
      </c>
      <c r="AC56" s="65">
        <f t="shared" si="12"/>
        <v>3.74769867772342</v>
      </c>
      <c r="AD56" s="67">
        <f t="shared" si="46"/>
        <v>3.45418902698743</v>
      </c>
      <c r="AE56" s="67">
        <f t="shared" si="47"/>
        <v>0.200448112224475</v>
      </c>
      <c r="AF56" s="67">
        <f t="shared" si="48"/>
        <v>0.0506925973585006</v>
      </c>
      <c r="AG56" s="67">
        <f t="shared" si="49"/>
        <v>0.251410206952424</v>
      </c>
      <c r="AH56" s="67">
        <f t="shared" si="50"/>
        <v>0.111082117077446</v>
      </c>
      <c r="AI56" s="67">
        <f t="shared" si="51"/>
        <v>0.932252233763551</v>
      </c>
      <c r="AJ56" s="67">
        <f t="shared" si="52"/>
        <v>0.386262512019278</v>
      </c>
      <c r="AK56" s="67">
        <f t="shared" si="53"/>
        <v>1.61606298569999</v>
      </c>
      <c r="AL56" s="67">
        <f t="shared" si="54"/>
        <v>0.0468904237996977</v>
      </c>
      <c r="AM56" s="67">
        <f t="shared" si="55"/>
        <v>0.271796144289459</v>
      </c>
      <c r="AN56" s="67">
        <f t="shared" si="56"/>
        <v>0.381103630366144</v>
      </c>
      <c r="AO56" s="67">
        <f t="shared" si="57"/>
        <v>0.166833166615583</v>
      </c>
      <c r="AP56" s="63">
        <f t="shared" si="13"/>
        <v>73.3367757744856</v>
      </c>
      <c r="AQ56" s="68"/>
      <c r="AR56" s="69">
        <f t="shared" si="15"/>
        <v>1738.45277118048</v>
      </c>
      <c r="AS56" s="69"/>
      <c r="AT56" s="69">
        <f t="shared" si="16"/>
        <v>0.0128821996154528</v>
      </c>
      <c r="AU56" s="69">
        <f t="shared" si="17"/>
        <v>8.16691339029303e-5</v>
      </c>
      <c r="AV56" s="65">
        <f t="shared" si="18"/>
        <v>0.0127446363928565</v>
      </c>
      <c r="AW56" s="68"/>
      <c r="AX56" s="68"/>
      <c r="AY56" s="68">
        <f t="shared" si="20"/>
        <v>15.7651152179635</v>
      </c>
      <c r="AZ56" s="68">
        <f t="shared" si="21"/>
        <v>22.3031136874989</v>
      </c>
      <c r="BA56" s="71">
        <f t="shared" si="40"/>
        <v>0.0202539452079267</v>
      </c>
      <c r="BB56" s="71"/>
      <c r="BC56" s="65"/>
      <c r="BD56" s="65">
        <f t="shared" si="58"/>
        <v>0.0290152204552765</v>
      </c>
      <c r="BE56" s="65">
        <f t="shared" si="42"/>
        <v>0.43923968844217</v>
      </c>
      <c r="BF56" s="65">
        <f t="shared" si="22"/>
        <v>12.3249877780173</v>
      </c>
      <c r="BG56" s="69">
        <f t="shared" si="23"/>
        <v>0.00103404860291932</v>
      </c>
      <c r="BH56" s="69">
        <f t="shared" si="24"/>
        <v>1.18191856548256e-6</v>
      </c>
      <c r="BI56" s="72">
        <f t="shared" si="25"/>
        <v>14.7359858292404</v>
      </c>
      <c r="BJ56" s="72">
        <f t="shared" si="59"/>
        <v>3.21968528706688</v>
      </c>
      <c r="BK56" s="73">
        <f t="shared" si="26"/>
        <v>0.579718201720683</v>
      </c>
      <c r="BL56" s="72">
        <f t="shared" si="60"/>
        <v>20.4406570044944</v>
      </c>
      <c r="BM56" s="74"/>
    </row>
    <row r="57" ht="25" customHeight="1" spans="1:65">
      <c r="A57" s="54">
        <v>90</v>
      </c>
      <c r="B57" s="55">
        <v>0.339096173313432</v>
      </c>
      <c r="C57" s="55">
        <v>-8.9544238663873</v>
      </c>
      <c r="D57" s="55"/>
      <c r="E57" s="55">
        <v>1.81571211357364</v>
      </c>
      <c r="F57" s="56">
        <v>1</v>
      </c>
      <c r="G57" s="57">
        <f t="shared" si="0"/>
        <v>8.36637353682585e-5</v>
      </c>
      <c r="H57" s="57">
        <f t="shared" si="1"/>
        <v>0.000333333333333333</v>
      </c>
      <c r="I57" s="58">
        <f t="shared" si="2"/>
        <v>0.0175667232744867</v>
      </c>
      <c r="J57" s="58"/>
      <c r="K57" s="58">
        <f t="shared" si="3"/>
        <v>1.56784243920109</v>
      </c>
      <c r="L57" s="57">
        <f t="shared" si="4"/>
        <v>0.000973079971778097</v>
      </c>
      <c r="M57" s="57">
        <f t="shared" si="5"/>
        <v>0.00459685380094076</v>
      </c>
      <c r="N57" s="57">
        <f t="shared" si="6"/>
        <v>0.065798143075316</v>
      </c>
      <c r="O57" s="59">
        <v>0.0302</v>
      </c>
      <c r="P57" s="60">
        <f t="shared" si="7"/>
        <v>0.0302</v>
      </c>
      <c r="Q57" s="61">
        <v>1000</v>
      </c>
      <c r="R57" s="59">
        <v>1.1616</v>
      </c>
      <c r="S57" s="59">
        <v>9.801</v>
      </c>
      <c r="T57" s="62">
        <v>4e-6</v>
      </c>
      <c r="U57" s="63">
        <v>1e-6</v>
      </c>
      <c r="V57" s="63">
        <f t="shared" si="45"/>
        <v>4e-6</v>
      </c>
      <c r="W57" s="64">
        <v>0.001147</v>
      </c>
      <c r="X57" s="64">
        <v>1.85e-5</v>
      </c>
      <c r="Y57" s="65">
        <f t="shared" si="8"/>
        <v>0.587871691259851</v>
      </c>
      <c r="Z57" s="66">
        <f t="shared" si="9"/>
        <v>0.00181571211357364</v>
      </c>
      <c r="AA57" s="65">
        <f t="shared" si="10"/>
        <v>3.82192735758477</v>
      </c>
      <c r="AB57" s="65">
        <f t="shared" si="11"/>
        <v>13.8266134454377</v>
      </c>
      <c r="AC57" s="65">
        <f t="shared" si="12"/>
        <v>4.27974033223633</v>
      </c>
      <c r="AD57" s="67">
        <f t="shared" si="46"/>
        <v>3.23071316764043</v>
      </c>
      <c r="AE57" s="67">
        <f t="shared" si="47"/>
        <v>0.214204380299921</v>
      </c>
      <c r="AF57" s="67">
        <f t="shared" si="48"/>
        <v>0.0574164699012224</v>
      </c>
      <c r="AG57" s="67">
        <f t="shared" si="49"/>
        <v>0.245205680796131</v>
      </c>
      <c r="AH57" s="67">
        <f t="shared" si="50"/>
        <v>0.113834840899859</v>
      </c>
      <c r="AI57" s="67">
        <f t="shared" si="51"/>
        <v>0.942747091962865</v>
      </c>
      <c r="AJ57" s="67">
        <f t="shared" si="52"/>
        <v>0.408879211058284</v>
      </c>
      <c r="AK57" s="67">
        <f t="shared" si="53"/>
        <v>1.3805297686993</v>
      </c>
      <c r="AL57" s="67">
        <f t="shared" si="54"/>
        <v>0.0457662918750854</v>
      </c>
      <c r="AM57" s="67">
        <f t="shared" si="55"/>
        <v>0.307624760805761</v>
      </c>
      <c r="AN57" s="67">
        <f t="shared" si="56"/>
        <v>0.399343112190338</v>
      </c>
      <c r="AO57" s="67">
        <f t="shared" si="57"/>
        <v>0.1645858403577</v>
      </c>
      <c r="AP57" s="63">
        <f t="shared" si="13"/>
        <v>73.3180915272285</v>
      </c>
      <c r="AQ57" s="68"/>
      <c r="AR57" s="69">
        <f t="shared" si="15"/>
        <v>1739.33893227744</v>
      </c>
      <c r="AS57" s="69"/>
      <c r="AT57" s="69">
        <f t="shared" si="16"/>
        <v>0.0128789175758446</v>
      </c>
      <c r="AU57" s="69">
        <f t="shared" si="17"/>
        <v>7.90032143380508e-5</v>
      </c>
      <c r="AV57" s="65">
        <f t="shared" si="18"/>
        <v>0.0140788445910398</v>
      </c>
      <c r="AW57" s="68"/>
      <c r="AX57" s="68"/>
      <c r="AY57" s="68">
        <f t="shared" si="20"/>
        <v>17.4155307591162</v>
      </c>
      <c r="AZ57" s="68">
        <f t="shared" si="21"/>
        <v>24.6379780343197</v>
      </c>
      <c r="BA57" s="71">
        <f t="shared" si="40"/>
        <v>0.0195927971558366</v>
      </c>
      <c r="BB57" s="71"/>
      <c r="BC57" s="65"/>
      <c r="BD57" s="65">
        <f t="shared" si="58"/>
        <v>0.0331512531730519</v>
      </c>
      <c r="BE57" s="65">
        <f t="shared" si="42"/>
        <v>0.424685139881356</v>
      </c>
      <c r="BF57" s="65">
        <f t="shared" si="22"/>
        <v>15.0482829916142</v>
      </c>
      <c r="BG57" s="69">
        <f t="shared" si="23"/>
        <v>0.000935578138641156</v>
      </c>
      <c r="BH57" s="69">
        <f t="shared" si="24"/>
        <v>1.44160196044748e-6</v>
      </c>
      <c r="BI57" s="72">
        <f t="shared" si="25"/>
        <v>16.2786640583898</v>
      </c>
      <c r="BJ57" s="72">
        <f t="shared" si="59"/>
        <v>3.33002836588109</v>
      </c>
      <c r="BK57" s="73">
        <f t="shared" si="26"/>
        <v>0.465805987919078</v>
      </c>
      <c r="BL57" s="72">
        <f t="shared" si="60"/>
        <v>22.3860941099104</v>
      </c>
      <c r="BM57" s="74"/>
    </row>
    <row r="58" ht="25" customHeight="1" spans="1:65">
      <c r="A58" s="54">
        <v>91</v>
      </c>
      <c r="B58" s="55">
        <v>0.336909014688701</v>
      </c>
      <c r="C58" s="55">
        <v>-6.4174533896552</v>
      </c>
      <c r="D58" s="55"/>
      <c r="E58" s="55">
        <v>1.80352347097735</v>
      </c>
      <c r="F58" s="56">
        <v>1</v>
      </c>
      <c r="G58" s="57">
        <f t="shared" si="0"/>
        <v>8.36637353682585e-5</v>
      </c>
      <c r="H58" s="57">
        <f t="shared" si="1"/>
        <v>0.000333333333333333</v>
      </c>
      <c r="I58" s="58">
        <f t="shared" si="2"/>
        <v>0.0175837706639657</v>
      </c>
      <c r="J58" s="58"/>
      <c r="K58" s="58">
        <f t="shared" si="3"/>
        <v>1.54859433861797</v>
      </c>
      <c r="L58" s="57">
        <f t="shared" si="4"/>
        <v>0.000969808391570275</v>
      </c>
      <c r="M58" s="57">
        <f t="shared" si="5"/>
        <v>0.00462729391323063</v>
      </c>
      <c r="N58" s="57">
        <f t="shared" si="6"/>
        <v>0.0656323492192215</v>
      </c>
      <c r="O58" s="59">
        <v>0.0302</v>
      </c>
      <c r="P58" s="60">
        <f t="shared" si="7"/>
        <v>0.0302</v>
      </c>
      <c r="Q58" s="61">
        <v>1000</v>
      </c>
      <c r="R58" s="59">
        <v>1.1616</v>
      </c>
      <c r="S58" s="59">
        <v>9.801</v>
      </c>
      <c r="T58" s="62">
        <v>4e-6</v>
      </c>
      <c r="U58" s="63">
        <v>1e-6</v>
      </c>
      <c r="V58" s="63">
        <f t="shared" si="45"/>
        <v>4e-6</v>
      </c>
      <c r="W58" s="64">
        <v>0.001147</v>
      </c>
      <c r="X58" s="64">
        <v>1.85e-5</v>
      </c>
      <c r="Y58" s="65">
        <f t="shared" si="8"/>
        <v>1.67450105540664</v>
      </c>
      <c r="Z58" s="66">
        <f t="shared" si="9"/>
        <v>0.00180352347097735</v>
      </c>
      <c r="AA58" s="65">
        <f t="shared" si="10"/>
        <v>3.74656902031148</v>
      </c>
      <c r="AB58" s="65">
        <f t="shared" si="11"/>
        <v>13.5572034802801</v>
      </c>
      <c r="AC58" s="65">
        <f t="shared" si="12"/>
        <v>4.22247449251643</v>
      </c>
      <c r="AD58" s="67">
        <f t="shared" si="46"/>
        <v>3.2107247786358</v>
      </c>
      <c r="AE58" s="67">
        <f t="shared" si="47"/>
        <v>0.212766453761612</v>
      </c>
      <c r="AF58" s="67">
        <f t="shared" si="48"/>
        <v>0.0573382469609705</v>
      </c>
      <c r="AG58" s="67">
        <f t="shared" si="49"/>
        <v>0.243071933485159</v>
      </c>
      <c r="AH58" s="67">
        <f t="shared" si="50"/>
        <v>0.113357537320749</v>
      </c>
      <c r="AI58" s="67">
        <f t="shared" si="51"/>
        <v>0.943760675789228</v>
      </c>
      <c r="AJ58" s="67">
        <f t="shared" si="52"/>
        <v>0.411032783541984</v>
      </c>
      <c r="AK58" s="67">
        <f t="shared" si="53"/>
        <v>1.59497160129454</v>
      </c>
      <c r="AL58" s="67">
        <f t="shared" si="54"/>
        <v>0.0528473280730882</v>
      </c>
      <c r="AM58" s="67">
        <f t="shared" si="55"/>
        <v>0.263727969977541</v>
      </c>
      <c r="AN58" s="67">
        <f t="shared" si="56"/>
        <v>0.401125634350112</v>
      </c>
      <c r="AO58" s="67">
        <f t="shared" si="57"/>
        <v>0.163303560729074</v>
      </c>
      <c r="AP58" s="63">
        <f t="shared" si="13"/>
        <v>72.8451923651245</v>
      </c>
      <c r="AQ58" s="68"/>
      <c r="AR58" s="69">
        <f t="shared" si="15"/>
        <v>1761.99524681927</v>
      </c>
      <c r="AS58" s="69"/>
      <c r="AT58" s="69">
        <f t="shared" si="16"/>
        <v>0.0127958490015874</v>
      </c>
      <c r="AU58" s="69">
        <f t="shared" si="17"/>
        <v>7.92697261094784e-5</v>
      </c>
      <c r="AV58" s="65">
        <f t="shared" si="18"/>
        <v>0.0139373185514527</v>
      </c>
      <c r="AW58" s="68"/>
      <c r="AX58" s="68"/>
      <c r="AY58" s="68">
        <f t="shared" si="20"/>
        <v>17.2404630481469</v>
      </c>
      <c r="AZ58" s="68">
        <f t="shared" si="21"/>
        <v>24.3903074650422</v>
      </c>
      <c r="BA58" s="71">
        <f t="shared" si="40"/>
        <v>0.0196588920751506</v>
      </c>
      <c r="BB58" s="71"/>
      <c r="BC58" s="65"/>
      <c r="BD58" s="65">
        <f t="shared" si="58"/>
        <v>0.033133710989083</v>
      </c>
      <c r="BE58" s="65">
        <f t="shared" si="42"/>
        <v>0.420638622581237</v>
      </c>
      <c r="BF58" s="65">
        <f t="shared" si="22"/>
        <v>14.9393563623478</v>
      </c>
      <c r="BG58" s="69">
        <f t="shared" si="23"/>
        <v>0.000932926306422367</v>
      </c>
      <c r="BH58" s="69">
        <f t="shared" si="24"/>
        <v>1.39459875295982e-6</v>
      </c>
      <c r="BI58" s="72">
        <f t="shared" si="25"/>
        <v>16.1150245751171</v>
      </c>
      <c r="BJ58" s="72">
        <f t="shared" si="59"/>
        <v>3.36206303095711</v>
      </c>
      <c r="BK58" s="73">
        <f t="shared" si="26"/>
        <v>0.483510557653127</v>
      </c>
      <c r="BL58" s="72">
        <f t="shared" si="60"/>
        <v>22.002152465313</v>
      </c>
      <c r="BM58" s="74"/>
    </row>
    <row r="59" ht="25" customHeight="1" spans="1:65">
      <c r="A59" s="54">
        <v>92</v>
      </c>
      <c r="B59" s="55">
        <v>0.379752500278888</v>
      </c>
      <c r="C59" s="55">
        <v>-9.46306093155446</v>
      </c>
      <c r="D59" s="55"/>
      <c r="E59" s="55">
        <v>1.78396183621097</v>
      </c>
      <c r="F59" s="56">
        <v>1</v>
      </c>
      <c r="G59" s="57">
        <f t="shared" si="0"/>
        <v>8.36637353682585e-5</v>
      </c>
      <c r="H59" s="57">
        <f t="shared" si="1"/>
        <v>0.000333333333333333</v>
      </c>
      <c r="I59" s="58">
        <f t="shared" si="2"/>
        <v>0.0200602199444144</v>
      </c>
      <c r="J59" s="58"/>
      <c r="K59" s="58">
        <f t="shared" si="3"/>
        <v>1.96938591153279</v>
      </c>
      <c r="L59" s="57">
        <f t="shared" si="4"/>
        <v>0.00096453461489526</v>
      </c>
      <c r="M59" s="57">
        <f t="shared" si="5"/>
        <v>0.00360490626838039</v>
      </c>
      <c r="N59" s="57">
        <f t="shared" si="6"/>
        <v>0.084805103924524</v>
      </c>
      <c r="O59" s="59">
        <v>0.0302</v>
      </c>
      <c r="P59" s="60">
        <f t="shared" si="7"/>
        <v>0.0302</v>
      </c>
      <c r="Q59" s="61">
        <v>1000</v>
      </c>
      <c r="R59" s="59">
        <v>1.1616</v>
      </c>
      <c r="S59" s="59">
        <v>9.801</v>
      </c>
      <c r="T59" s="62">
        <v>4e-6</v>
      </c>
      <c r="U59" s="63">
        <v>1e-6</v>
      </c>
      <c r="V59" s="63">
        <f t="shared" si="45"/>
        <v>4e-6</v>
      </c>
      <c r="W59" s="64">
        <v>0.001147</v>
      </c>
      <c r="X59" s="64">
        <v>1.85e-5</v>
      </c>
      <c r="Y59" s="65">
        <f t="shared" si="8"/>
        <v>0.388685228994284</v>
      </c>
      <c r="Z59" s="66">
        <f t="shared" si="9"/>
        <v>0.00178396183621097</v>
      </c>
      <c r="AA59" s="65">
        <f t="shared" si="10"/>
        <v>5.31151689439688</v>
      </c>
      <c r="AB59" s="65">
        <f t="shared" si="11"/>
        <v>17.0376579857058</v>
      </c>
      <c r="AC59" s="65">
        <f t="shared" si="12"/>
        <v>4.13137442169454</v>
      </c>
      <c r="AD59" s="67">
        <f t="shared" si="46"/>
        <v>4.12396850216195</v>
      </c>
      <c r="AE59" s="67">
        <f t="shared" si="47"/>
        <v>0.210458715755426</v>
      </c>
      <c r="AF59" s="67">
        <f t="shared" si="48"/>
        <v>0.0455147381858301</v>
      </c>
      <c r="AG59" s="67">
        <f t="shared" si="49"/>
        <v>0.30124706111101</v>
      </c>
      <c r="AH59" s="67">
        <f t="shared" si="50"/>
        <v>0.116208640328575</v>
      </c>
      <c r="AI59" s="67">
        <f t="shared" si="51"/>
        <v>0.907861340817659</v>
      </c>
      <c r="AJ59" s="67">
        <f t="shared" si="52"/>
        <v>0.331393805341749</v>
      </c>
      <c r="AK59" s="67">
        <f t="shared" si="53"/>
        <v>1.39056245266423</v>
      </c>
      <c r="AL59" s="67">
        <f t="shared" si="54"/>
        <v>0.035482325800016</v>
      </c>
      <c r="AM59" s="67">
        <f t="shared" si="55"/>
        <v>0.386422840289466</v>
      </c>
      <c r="AN59" s="67">
        <f t="shared" si="56"/>
        <v>0.33832151329911</v>
      </c>
      <c r="AO59" s="67">
        <f t="shared" si="57"/>
        <v>0.192565435843346</v>
      </c>
      <c r="AP59" s="63">
        <f t="shared" si="13"/>
        <v>82.1086487089488</v>
      </c>
      <c r="AQ59" s="68"/>
      <c r="AR59" s="69">
        <f t="shared" si="15"/>
        <v>1386.84751225914</v>
      </c>
      <c r="AS59" s="69"/>
      <c r="AT59" s="69">
        <f t="shared" si="16"/>
        <v>0.0144230502589366</v>
      </c>
      <c r="AU59" s="69">
        <f t="shared" si="17"/>
        <v>7.97031484316377e-5</v>
      </c>
      <c r="AV59" s="65">
        <f t="shared" si="18"/>
        <v>0.0137111811157184</v>
      </c>
      <c r="AW59" s="68"/>
      <c r="AX59" s="68"/>
      <c r="AY59" s="68">
        <f t="shared" si="20"/>
        <v>16.9607310401436</v>
      </c>
      <c r="AZ59" s="68">
        <f t="shared" si="21"/>
        <v>23.9945669525072</v>
      </c>
      <c r="BA59" s="71">
        <f t="shared" si="40"/>
        <v>0.0197663808110462</v>
      </c>
      <c r="BB59" s="71"/>
      <c r="BC59" s="65"/>
      <c r="BD59" s="65">
        <f t="shared" si="58"/>
        <v>0.0255165280293842</v>
      </c>
      <c r="BE59" s="65">
        <f t="shared" si="42"/>
        <v>0.537345092558396</v>
      </c>
      <c r="BF59" s="65">
        <f t="shared" si="22"/>
        <v>11.3801280492572</v>
      </c>
      <c r="BG59" s="69">
        <f t="shared" si="23"/>
        <v>0.0012048353987206</v>
      </c>
      <c r="BH59" s="69">
        <f t="shared" si="24"/>
        <v>1.7148122436834e-6</v>
      </c>
      <c r="BI59" s="72">
        <f t="shared" si="25"/>
        <v>15.8535531650494</v>
      </c>
      <c r="BJ59" s="72">
        <f t="shared" si="59"/>
        <v>2.63185349965656</v>
      </c>
      <c r="BK59" s="73">
        <f t="shared" si="26"/>
        <v>0.395432938157539</v>
      </c>
      <c r="BL59" s="72">
        <f t="shared" si="60"/>
        <v>25.3004068290949</v>
      </c>
      <c r="BM59" s="74"/>
    </row>
    <row r="60" ht="25" customHeight="1" spans="1:65">
      <c r="A60" s="54">
        <v>93</v>
      </c>
      <c r="B60" s="55">
        <v>0.324991746975445</v>
      </c>
      <c r="C60" s="55">
        <v>-11.6709998729613</v>
      </c>
      <c r="D60" s="55"/>
      <c r="E60" s="55">
        <v>1.75951889087487</v>
      </c>
      <c r="F60" s="56">
        <v>1</v>
      </c>
      <c r="G60" s="57">
        <f t="shared" si="0"/>
        <v>8.36637353682585e-5</v>
      </c>
      <c r="H60" s="57">
        <f t="shared" si="1"/>
        <v>0.000333333333333333</v>
      </c>
      <c r="I60" s="58">
        <f t="shared" si="2"/>
        <v>0.0174315897252393</v>
      </c>
      <c r="J60" s="58"/>
      <c r="K60" s="58">
        <f t="shared" si="3"/>
        <v>1.44413337559505</v>
      </c>
      <c r="L60" s="57">
        <f t="shared" si="4"/>
        <v>0.000957904040950453</v>
      </c>
      <c r="M60" s="57">
        <f t="shared" si="5"/>
        <v>0.00485865408393286</v>
      </c>
      <c r="N60" s="57">
        <f t="shared" si="6"/>
        <v>0.0634510679779534</v>
      </c>
      <c r="O60" s="59">
        <v>0.0302</v>
      </c>
      <c r="P60" s="60">
        <f t="shared" si="7"/>
        <v>0.0302</v>
      </c>
      <c r="Q60" s="61">
        <v>1000</v>
      </c>
      <c r="R60" s="59">
        <v>1.1616</v>
      </c>
      <c r="S60" s="59">
        <v>9.801</v>
      </c>
      <c r="T60" s="62">
        <v>4e-6</v>
      </c>
      <c r="U60" s="63">
        <v>1e-6</v>
      </c>
      <c r="V60" s="63">
        <f t="shared" si="45"/>
        <v>4e-6</v>
      </c>
      <c r="W60" s="64">
        <v>0.001147</v>
      </c>
      <c r="X60" s="64">
        <v>1.85e-5</v>
      </c>
      <c r="Y60" s="65">
        <f t="shared" si="8"/>
        <v>-0.557818945962677</v>
      </c>
      <c r="Z60" s="66">
        <f t="shared" si="9"/>
        <v>0.00175951889087487</v>
      </c>
      <c r="AA60" s="65">
        <f t="shared" si="10"/>
        <v>3.34452780846848</v>
      </c>
      <c r="AB60" s="65">
        <f t="shared" si="11"/>
        <v>12.3072678204838</v>
      </c>
      <c r="AC60" s="65">
        <f t="shared" si="12"/>
        <v>4.01893799135279</v>
      </c>
      <c r="AD60" s="67">
        <f t="shared" si="46"/>
        <v>3.0623184152043</v>
      </c>
      <c r="AE60" s="67">
        <f t="shared" si="47"/>
        <v>0.207575116577295</v>
      </c>
      <c r="AF60" s="67">
        <f t="shared" si="48"/>
        <v>0.0582696694633881</v>
      </c>
      <c r="AG60" s="67">
        <f t="shared" si="49"/>
        <v>0.23048617192303</v>
      </c>
      <c r="AH60" s="67">
        <f t="shared" si="50"/>
        <v>0.111239683527396</v>
      </c>
      <c r="AI60" s="67">
        <f t="shared" si="51"/>
        <v>0.951723731805077</v>
      </c>
      <c r="AJ60" s="67">
        <f t="shared" si="52"/>
        <v>0.427766464370471</v>
      </c>
      <c r="AK60" s="67">
        <f t="shared" si="53"/>
        <v>1.19580642393856</v>
      </c>
      <c r="AL60" s="67">
        <f t="shared" si="54"/>
        <v>0.0405280614550929</v>
      </c>
      <c r="AM60" s="67">
        <f t="shared" si="55"/>
        <v>0.331384047784226</v>
      </c>
      <c r="AN60" s="67">
        <f t="shared" si="56"/>
        <v>0.415287521706305</v>
      </c>
      <c r="AO60" s="67">
        <f t="shared" si="57"/>
        <v>0.155798494616641</v>
      </c>
      <c r="AP60" s="63">
        <f t="shared" si="13"/>
        <v>70.2684858325287</v>
      </c>
      <c r="AQ60" s="68"/>
      <c r="AR60" s="69">
        <f t="shared" si="15"/>
        <v>1893.58729425427</v>
      </c>
      <c r="AS60" s="69"/>
      <c r="AT60" s="69">
        <f t="shared" si="16"/>
        <v>0.0123432295953919</v>
      </c>
      <c r="AU60" s="69">
        <f t="shared" si="17"/>
        <v>8.02548504776856e-5</v>
      </c>
      <c r="AV60" s="65">
        <f t="shared" si="18"/>
        <v>0.0134303530538366</v>
      </c>
      <c r="AW60" s="68"/>
      <c r="AX60" s="68"/>
      <c r="AY60" s="68">
        <f t="shared" si="20"/>
        <v>16.6133467275958</v>
      </c>
      <c r="AZ60" s="68">
        <f t="shared" si="21"/>
        <v>23.503117844214</v>
      </c>
      <c r="BA60" s="71">
        <f t="shared" si="40"/>
        <v>0.019903202918466</v>
      </c>
      <c r="BB60" s="71"/>
      <c r="BC60" s="65"/>
      <c r="BD60" s="65">
        <f t="shared" si="58"/>
        <v>0.0338918244991592</v>
      </c>
      <c r="BE60" s="65">
        <f t="shared" si="42"/>
        <v>0.396271173131141</v>
      </c>
      <c r="BF60" s="65">
        <f t="shared" si="22"/>
        <v>14.9083263631216</v>
      </c>
      <c r="BG60" s="69">
        <f t="shared" si="23"/>
        <v>0.000900862560069717</v>
      </c>
      <c r="BH60" s="69">
        <f t="shared" si="24"/>
        <v>1.20499454338249e-6</v>
      </c>
      <c r="BI60" s="72">
        <f t="shared" si="25"/>
        <v>15.5288457184985</v>
      </c>
      <c r="BJ60" s="72">
        <f t="shared" si="59"/>
        <v>3.56880252277417</v>
      </c>
      <c r="BK60" s="73">
        <f t="shared" si="26"/>
        <v>0.565692086890876</v>
      </c>
      <c r="BL60" s="72">
        <f t="shared" si="60"/>
        <v>20.3451438031894</v>
      </c>
      <c r="BM60" s="74"/>
    </row>
    <row r="61" ht="25" customHeight="1" spans="1:65">
      <c r="A61" s="54">
        <v>94</v>
      </c>
      <c r="B61" s="55">
        <v>0.377916620226099</v>
      </c>
      <c r="C61" s="55">
        <v>-11.0419516669672</v>
      </c>
      <c r="D61" s="55"/>
      <c r="E61" s="55">
        <v>1.76230597140938</v>
      </c>
      <c r="F61" s="56">
        <v>1</v>
      </c>
      <c r="G61" s="57">
        <f t="shared" si="0"/>
        <v>8.36637353682585e-5</v>
      </c>
      <c r="H61" s="57">
        <f t="shared" si="1"/>
        <v>0.000333333333333333</v>
      </c>
      <c r="I61" s="58">
        <f t="shared" si="2"/>
        <v>0.0202348380129996</v>
      </c>
      <c r="J61" s="58"/>
      <c r="K61" s="58">
        <f t="shared" si="3"/>
        <v>1.95250951185067</v>
      </c>
      <c r="L61" s="57">
        <f t="shared" si="4"/>
        <v>0.000958662401469498</v>
      </c>
      <c r="M61" s="57">
        <f t="shared" si="5"/>
        <v>0.00359844494047299</v>
      </c>
      <c r="N61" s="57">
        <f t="shared" si="6"/>
        <v>0.0855898332545519</v>
      </c>
      <c r="O61" s="59">
        <v>0.0302</v>
      </c>
      <c r="P61" s="60">
        <f t="shared" si="7"/>
        <v>0.0302</v>
      </c>
      <c r="Q61" s="61">
        <v>1000</v>
      </c>
      <c r="R61" s="59">
        <v>1.1616</v>
      </c>
      <c r="S61" s="59">
        <v>9.801</v>
      </c>
      <c r="T61" s="62">
        <v>4e-6</v>
      </c>
      <c r="U61" s="63">
        <v>1e-6</v>
      </c>
      <c r="V61" s="63">
        <f t="shared" si="45"/>
        <v>4e-6</v>
      </c>
      <c r="W61" s="64">
        <v>0.001147</v>
      </c>
      <c r="X61" s="64">
        <v>1.85e-5</v>
      </c>
      <c r="Y61" s="65">
        <f t="shared" si="8"/>
        <v>-0.265327847868097</v>
      </c>
      <c r="Z61" s="66">
        <f t="shared" si="9"/>
        <v>0.00176230597140938</v>
      </c>
      <c r="AA61" s="65">
        <f t="shared" si="10"/>
        <v>5.24062037936379</v>
      </c>
      <c r="AB61" s="65">
        <f t="shared" si="11"/>
        <v>16.6684934782528</v>
      </c>
      <c r="AC61" s="65">
        <f t="shared" si="12"/>
        <v>4.03168008259807</v>
      </c>
      <c r="AD61" s="67">
        <f t="shared" si="46"/>
        <v>4.13437900249054</v>
      </c>
      <c r="AE61" s="67">
        <f t="shared" si="47"/>
        <v>0.207903915870023</v>
      </c>
      <c r="AF61" s="67">
        <f t="shared" si="48"/>
        <v>0.0448612242887978</v>
      </c>
      <c r="AG61" s="67">
        <f t="shared" si="49"/>
        <v>0.300087134251659</v>
      </c>
      <c r="AH61" s="67">
        <f t="shared" si="50"/>
        <v>0.11553260413138</v>
      </c>
      <c r="AI61" s="67">
        <f t="shared" si="51"/>
        <v>0.907546681464735</v>
      </c>
      <c r="AJ61" s="67">
        <f t="shared" si="52"/>
        <v>0.330664297366937</v>
      </c>
      <c r="AK61" s="67">
        <f t="shared" si="53"/>
        <v>1.28562787089887</v>
      </c>
      <c r="AL61" s="67">
        <f t="shared" si="54"/>
        <v>0.0323249354438118</v>
      </c>
      <c r="AM61" s="67">
        <f t="shared" si="55"/>
        <v>0.416467227266294</v>
      </c>
      <c r="AN61" s="67">
        <f t="shared" si="56"/>
        <v>0.337735118364948</v>
      </c>
      <c r="AO61" s="67">
        <f t="shared" si="57"/>
        <v>0.191725379721475</v>
      </c>
      <c r="AP61" s="63">
        <f t="shared" si="13"/>
        <v>81.7117016705079</v>
      </c>
      <c r="AQ61" s="68"/>
      <c r="AR61" s="69">
        <f t="shared" si="15"/>
        <v>1400.35456571246</v>
      </c>
      <c r="AS61" s="69"/>
      <c r="AT61" s="69">
        <f t="shared" si="16"/>
        <v>0.0143533232913687</v>
      </c>
      <c r="AU61" s="69">
        <f t="shared" si="17"/>
        <v>8.01913639886245e-5</v>
      </c>
      <c r="AV61" s="65">
        <f t="shared" si="18"/>
        <v>0.0134622762358462</v>
      </c>
      <c r="AW61" s="68"/>
      <c r="AX61" s="68"/>
      <c r="AY61" s="68">
        <f t="shared" si="20"/>
        <v>16.6528357037418</v>
      </c>
      <c r="AZ61" s="68">
        <f t="shared" si="21"/>
        <v>23.5589834127309</v>
      </c>
      <c r="BA61" s="71">
        <f t="shared" si="40"/>
        <v>0.0198874582691789</v>
      </c>
      <c r="BB61" s="71"/>
      <c r="BC61" s="65"/>
      <c r="BD61" s="65">
        <f t="shared" si="58"/>
        <v>0.0251433063762154</v>
      </c>
      <c r="BE61" s="65">
        <f t="shared" si="42"/>
        <v>0.535421874689521</v>
      </c>
      <c r="BF61" s="65">
        <f t="shared" si="22"/>
        <v>11.077549741945</v>
      </c>
      <c r="BG61" s="69">
        <f t="shared" si="23"/>
        <v>0.00121527562948975</v>
      </c>
      <c r="BH61" s="69">
        <f t="shared" si="24"/>
        <v>1.63717285773084e-6</v>
      </c>
      <c r="BI61" s="72">
        <f t="shared" si="25"/>
        <v>15.5657568976972</v>
      </c>
      <c r="BJ61" s="72">
        <f t="shared" si="59"/>
        <v>2.64130703138187</v>
      </c>
      <c r="BK61" s="73">
        <f t="shared" si="26"/>
        <v>0.416152776125451</v>
      </c>
      <c r="BL61" s="72">
        <f t="shared" si="60"/>
        <v>24.7318536434489</v>
      </c>
      <c r="BM61" s="74"/>
    </row>
    <row r="62" ht="25" customHeight="1" spans="1:65">
      <c r="A62" s="54">
        <v>95</v>
      </c>
      <c r="B62" s="55">
        <v>0.353817721778643</v>
      </c>
      <c r="C62" s="55">
        <v>-11.7113081736646</v>
      </c>
      <c r="D62" s="55"/>
      <c r="E62" s="55">
        <v>1.67515660800102</v>
      </c>
      <c r="F62" s="56">
        <v>1</v>
      </c>
      <c r="G62" s="57">
        <f t="shared" si="0"/>
        <v>8.36637353682585e-5</v>
      </c>
      <c r="H62" s="57">
        <f t="shared" si="1"/>
        <v>0.000333333333333333</v>
      </c>
      <c r="I62" s="58">
        <f t="shared" si="2"/>
        <v>0.0200406481804914</v>
      </c>
      <c r="J62" s="58"/>
      <c r="K62" s="58">
        <f t="shared" si="3"/>
        <v>1.71937288062572</v>
      </c>
      <c r="L62" s="57">
        <f t="shared" si="4"/>
        <v>0.000934658039212974</v>
      </c>
      <c r="M62" s="57">
        <f t="shared" si="5"/>
        <v>0.00391444464530732</v>
      </c>
      <c r="N62" s="57">
        <f t="shared" si="6"/>
        <v>0.0811539502756845</v>
      </c>
      <c r="O62" s="59">
        <v>0.0302</v>
      </c>
      <c r="P62" s="60">
        <f t="shared" si="7"/>
        <v>0.0302</v>
      </c>
      <c r="Q62" s="61">
        <v>1000</v>
      </c>
      <c r="R62" s="59">
        <v>1.1616</v>
      </c>
      <c r="S62" s="59">
        <v>9.801</v>
      </c>
      <c r="T62" s="62">
        <v>4e-6</v>
      </c>
      <c r="U62" s="63">
        <v>1e-6</v>
      </c>
      <c r="V62" s="63">
        <f t="shared" si="45"/>
        <v>4e-6</v>
      </c>
      <c r="W62" s="64">
        <v>0.001147</v>
      </c>
      <c r="X62" s="64">
        <v>1.85e-5</v>
      </c>
      <c r="Y62" s="65">
        <f t="shared" si="8"/>
        <v>-0.480693537288934</v>
      </c>
      <c r="Z62" s="66">
        <f t="shared" si="9"/>
        <v>0.00167515660800102</v>
      </c>
      <c r="AA62" s="65">
        <f t="shared" si="10"/>
        <v>4.34184404916561</v>
      </c>
      <c r="AB62" s="65">
        <f t="shared" si="11"/>
        <v>13.8879335889062</v>
      </c>
      <c r="AC62" s="65">
        <f t="shared" si="12"/>
        <v>3.64279110340268</v>
      </c>
      <c r="AD62" s="67">
        <f t="shared" si="46"/>
        <v>3.81244304015503</v>
      </c>
      <c r="AE62" s="67">
        <f t="shared" si="47"/>
        <v>0.197622674012976</v>
      </c>
      <c r="AF62" s="67">
        <f t="shared" si="48"/>
        <v>0.0458261528727048</v>
      </c>
      <c r="AG62" s="67">
        <f t="shared" si="49"/>
        <v>0.272248973682222</v>
      </c>
      <c r="AH62" s="67">
        <f t="shared" si="50"/>
        <v>0.111622788346802</v>
      </c>
      <c r="AI62" s="67">
        <f t="shared" si="51"/>
        <v>0.918100089124003</v>
      </c>
      <c r="AJ62" s="67">
        <f t="shared" si="52"/>
        <v>0.354826817563911</v>
      </c>
      <c r="AK62" s="67">
        <f t="shared" si="53"/>
        <v>1.23256278024342</v>
      </c>
      <c r="AL62" s="67">
        <f t="shared" si="54"/>
        <v>0.0319457038380655</v>
      </c>
      <c r="AM62" s="67">
        <f t="shared" si="55"/>
        <v>0.390541499747215</v>
      </c>
      <c r="AN62" s="67">
        <f t="shared" si="56"/>
        <v>0.35668823555686</v>
      </c>
      <c r="AO62" s="67">
        <f t="shared" si="57"/>
        <v>0.176992186291259</v>
      </c>
      <c r="AP62" s="63">
        <f t="shared" si="13"/>
        <v>76.5011290332201</v>
      </c>
      <c r="AQ62" s="68"/>
      <c r="AR62" s="69">
        <f t="shared" si="15"/>
        <v>1597.61022759058</v>
      </c>
      <c r="AS62" s="69"/>
      <c r="AT62" s="69">
        <f t="shared" si="16"/>
        <v>0.0134380439364273</v>
      </c>
      <c r="AU62" s="69">
        <f t="shared" si="17"/>
        <v>8.22508793089535e-5</v>
      </c>
      <c r="AV62" s="65">
        <f t="shared" si="18"/>
        <v>0.0124761230873985</v>
      </c>
      <c r="AW62" s="68"/>
      <c r="AX62" s="68"/>
      <c r="AY62" s="68">
        <f t="shared" si="20"/>
        <v>15.4329642591119</v>
      </c>
      <c r="AZ62" s="68">
        <f t="shared" si="21"/>
        <v>21.8332154029473</v>
      </c>
      <c r="BA62" s="71">
        <f t="shared" si="40"/>
        <v>0.0203982180686205</v>
      </c>
      <c r="BB62" s="71"/>
      <c r="BC62" s="65"/>
      <c r="BD62" s="65">
        <f t="shared" si="58"/>
        <v>0.0259181149634881</v>
      </c>
      <c r="BE62" s="65">
        <f t="shared" si="42"/>
        <v>0.481366916728863</v>
      </c>
      <c r="BF62" s="65">
        <f t="shared" si="22"/>
        <v>10.8542253870043</v>
      </c>
      <c r="BG62" s="69">
        <f t="shared" si="23"/>
        <v>0.00114942546727803</v>
      </c>
      <c r="BH62" s="69">
        <f t="shared" si="24"/>
        <v>1.23249175224603e-6</v>
      </c>
      <c r="BI62" s="72">
        <f t="shared" si="25"/>
        <v>14.4255173198045</v>
      </c>
      <c r="BJ62" s="72">
        <f t="shared" si="59"/>
        <v>2.93791183653294</v>
      </c>
      <c r="BK62" s="73">
        <f t="shared" si="26"/>
        <v>0.555476287657148</v>
      </c>
      <c r="BL62" s="72">
        <f t="shared" si="60"/>
        <v>21.1735157957116</v>
      </c>
      <c r="BM62" s="74"/>
    </row>
    <row r="63" ht="25" customHeight="1" spans="1:65">
      <c r="A63" s="54">
        <v>96</v>
      </c>
      <c r="B63" s="55">
        <v>0.41452253985044</v>
      </c>
      <c r="C63" s="55">
        <v>-8.91555235160097</v>
      </c>
      <c r="D63" s="55"/>
      <c r="E63" s="55">
        <v>1.63470937535416</v>
      </c>
      <c r="F63" s="56">
        <v>1</v>
      </c>
      <c r="G63" s="57">
        <f t="shared" si="0"/>
        <v>8.36637353682585e-5</v>
      </c>
      <c r="H63" s="57">
        <f t="shared" si="1"/>
        <v>0.000333333333333333</v>
      </c>
      <c r="I63" s="58">
        <f t="shared" si="2"/>
        <v>0.0241261141972935</v>
      </c>
      <c r="J63" s="58"/>
      <c r="K63" s="58">
        <f t="shared" si="3"/>
        <v>2.36540669708819</v>
      </c>
      <c r="L63" s="57">
        <f t="shared" si="4"/>
        <v>0.000923305271390737</v>
      </c>
      <c r="M63" s="57">
        <f t="shared" si="5"/>
        <v>0.00278733823297887</v>
      </c>
      <c r="N63" s="57">
        <f t="shared" si="6"/>
        <v>0.115693291231569</v>
      </c>
      <c r="O63" s="59">
        <v>0.0302</v>
      </c>
      <c r="P63" s="60">
        <f t="shared" si="7"/>
        <v>0.0302</v>
      </c>
      <c r="Q63" s="61">
        <v>1000</v>
      </c>
      <c r="R63" s="59">
        <v>1.1616</v>
      </c>
      <c r="S63" s="59">
        <v>9.801</v>
      </c>
      <c r="T63" s="62">
        <v>4e-6</v>
      </c>
      <c r="U63" s="63">
        <v>1e-6</v>
      </c>
      <c r="V63" s="63">
        <f t="shared" si="45"/>
        <v>4e-6</v>
      </c>
      <c r="W63" s="64">
        <v>0.001147</v>
      </c>
      <c r="X63" s="64">
        <v>1.85e-5</v>
      </c>
      <c r="Y63" s="65">
        <f t="shared" si="8"/>
        <v>0.584523451274732</v>
      </c>
      <c r="Z63" s="66">
        <f t="shared" si="9"/>
        <v>0.00163470937535416</v>
      </c>
      <c r="AA63" s="65">
        <f t="shared" si="10"/>
        <v>6.71910989011517</v>
      </c>
      <c r="AB63" s="65">
        <f t="shared" si="11"/>
        <v>18.6020114376394</v>
      </c>
      <c r="AC63" s="65">
        <f t="shared" si="12"/>
        <v>3.46900195299014</v>
      </c>
      <c r="AD63" s="67">
        <f t="shared" si="46"/>
        <v>5.36235254108323</v>
      </c>
      <c r="AE63" s="67">
        <f t="shared" si="47"/>
        <v>0.192851006555785</v>
      </c>
      <c r="AF63" s="67">
        <f t="shared" si="48"/>
        <v>0.0328965215251539</v>
      </c>
      <c r="AG63" s="67">
        <f t="shared" si="49"/>
        <v>0.365601004651385</v>
      </c>
      <c r="AH63" s="67">
        <f t="shared" si="50"/>
        <v>0.114090340227351</v>
      </c>
      <c r="AI63" s="67">
        <f t="shared" si="51"/>
        <v>0.879189904160605</v>
      </c>
      <c r="AJ63" s="67">
        <f t="shared" si="52"/>
        <v>0.262554682740037</v>
      </c>
      <c r="AK63" s="67">
        <f t="shared" si="53"/>
        <v>1.474444920289</v>
      </c>
      <c r="AL63" s="67">
        <f t="shared" si="54"/>
        <v>0.0265133805368341</v>
      </c>
      <c r="AM63" s="67">
        <f t="shared" si="55"/>
        <v>0.453620061856068</v>
      </c>
      <c r="AN63" s="67">
        <f t="shared" si="56"/>
        <v>0.271444506290039</v>
      </c>
      <c r="AO63" s="67">
        <f t="shared" si="57"/>
        <v>0.229749403332079</v>
      </c>
      <c r="AP63" s="63">
        <f t="shared" si="13"/>
        <v>89.6264951027978</v>
      </c>
      <c r="AQ63" s="68"/>
      <c r="AR63" s="69">
        <f t="shared" si="15"/>
        <v>1163.9483116436</v>
      </c>
      <c r="AS63" s="69"/>
      <c r="AT63" s="69">
        <f t="shared" si="16"/>
        <v>0.0157436209671674</v>
      </c>
      <c r="AU63" s="69">
        <f t="shared" si="17"/>
        <v>8.32622188570997e-5</v>
      </c>
      <c r="AV63" s="65">
        <f t="shared" si="18"/>
        <v>0.0120270013191322</v>
      </c>
      <c r="AW63" s="68"/>
      <c r="AX63" s="68"/>
      <c r="AY63" s="68">
        <f t="shared" si="20"/>
        <v>14.8774006317665</v>
      </c>
      <c r="AZ63" s="68">
        <f t="shared" si="21"/>
        <v>21.0472523084813</v>
      </c>
      <c r="BA63" s="71">
        <f t="shared" si="40"/>
        <v>0.0206490302765607</v>
      </c>
      <c r="BB63" s="71"/>
      <c r="BC63" s="65"/>
      <c r="BD63" s="65">
        <f t="shared" si="58"/>
        <v>0.017981940303092</v>
      </c>
      <c r="BE63" s="65">
        <f t="shared" si="42"/>
        <v>0.668837795944863</v>
      </c>
      <c r="BF63" s="65">
        <f t="shared" si="22"/>
        <v>7.34881160013084</v>
      </c>
      <c r="BG63" s="69">
        <f t="shared" si="23"/>
        <v>0.00163659132572102</v>
      </c>
      <c r="BH63" s="69">
        <f t="shared" si="24"/>
        <v>1.57208699405544e-6</v>
      </c>
      <c r="BI63" s="72">
        <f t="shared" si="25"/>
        <v>13.9062202752466</v>
      </c>
      <c r="BJ63" s="72">
        <f t="shared" si="59"/>
        <v>2.11443427830696</v>
      </c>
      <c r="BK63" s="73">
        <f t="shared" si="26"/>
        <v>0.433393782228681</v>
      </c>
      <c r="BL63" s="72">
        <f t="shared" si="60"/>
        <v>25.5400153436197</v>
      </c>
      <c r="BM63" s="74"/>
    </row>
    <row r="64" ht="25" customHeight="1" spans="1:65">
      <c r="A64" s="54">
        <v>97</v>
      </c>
      <c r="B64" s="55">
        <v>0.382301336465686</v>
      </c>
      <c r="C64" s="55">
        <v>-7.88542558861553</v>
      </c>
      <c r="D64" s="55"/>
      <c r="E64" s="55">
        <v>1.67274845943137</v>
      </c>
      <c r="F64" s="56">
        <v>1</v>
      </c>
      <c r="G64" s="57">
        <f t="shared" si="0"/>
        <v>8.36637353682585e-5</v>
      </c>
      <c r="H64" s="57">
        <f t="shared" si="1"/>
        <v>0.000333333333333333</v>
      </c>
      <c r="I64" s="58">
        <f t="shared" si="2"/>
        <v>0.0216886400191679</v>
      </c>
      <c r="J64" s="58"/>
      <c r="K64" s="58">
        <f t="shared" si="3"/>
        <v>2.00761656644737</v>
      </c>
      <c r="L64" s="57">
        <f t="shared" si="4"/>
        <v>0.00093398598117723</v>
      </c>
      <c r="M64" s="57">
        <f t="shared" si="5"/>
        <v>0.00334835918340713</v>
      </c>
      <c r="N64" s="57">
        <f t="shared" si="6"/>
        <v>0.0949578123209838</v>
      </c>
      <c r="O64" s="59">
        <v>0.0302</v>
      </c>
      <c r="P64" s="60">
        <f t="shared" si="7"/>
        <v>0.0302</v>
      </c>
      <c r="Q64" s="61">
        <v>1000</v>
      </c>
      <c r="R64" s="59">
        <v>1.1616</v>
      </c>
      <c r="S64" s="59">
        <v>9.801</v>
      </c>
      <c r="T64" s="62">
        <v>4e-6</v>
      </c>
      <c r="U64" s="63">
        <v>1e-6</v>
      </c>
      <c r="V64" s="63">
        <f t="shared" si="45"/>
        <v>4e-6</v>
      </c>
      <c r="W64" s="64">
        <v>0.001147</v>
      </c>
      <c r="X64" s="64">
        <v>1.85e-5</v>
      </c>
      <c r="Y64" s="65">
        <f t="shared" si="8"/>
        <v>0.958738226125766</v>
      </c>
      <c r="Z64" s="66">
        <f t="shared" si="9"/>
        <v>0.00167274845943137</v>
      </c>
      <c r="AA64" s="65">
        <f t="shared" si="10"/>
        <v>5.41051538549692</v>
      </c>
      <c r="AB64" s="65">
        <f t="shared" si="11"/>
        <v>16.1906887423071</v>
      </c>
      <c r="AC64" s="65">
        <f t="shared" si="12"/>
        <v>3.63232512463612</v>
      </c>
      <c r="AD64" s="67">
        <f t="shared" si="46"/>
        <v>4.45738973983752</v>
      </c>
      <c r="AE64" s="67">
        <f t="shared" si="47"/>
        <v>0.19733857833053</v>
      </c>
      <c r="AF64" s="67">
        <f t="shared" si="48"/>
        <v>0.0398069525873101</v>
      </c>
      <c r="AG64" s="67">
        <f t="shared" si="49"/>
        <v>0.31274008858706</v>
      </c>
      <c r="AH64" s="67">
        <f t="shared" si="50"/>
        <v>0.113445698218566</v>
      </c>
      <c r="AI64" s="67">
        <f t="shared" si="51"/>
        <v>0.898534383156857</v>
      </c>
      <c r="AJ64" s="67">
        <f t="shared" si="52"/>
        <v>0.309529373013349</v>
      </c>
      <c r="AK64" s="67">
        <f t="shared" si="53"/>
        <v>1.5290547390496</v>
      </c>
      <c r="AL64" s="67">
        <f t="shared" si="54"/>
        <v>0.033847330613343</v>
      </c>
      <c r="AM64" s="67">
        <f t="shared" si="55"/>
        <v>0.367805367600498</v>
      </c>
      <c r="AN64" s="67">
        <f t="shared" si="56"/>
        <v>0.320017654209354</v>
      </c>
      <c r="AO64" s="67">
        <f t="shared" si="57"/>
        <v>0.197131739349062</v>
      </c>
      <c r="AP64" s="63">
        <f t="shared" si="13"/>
        <v>82.6597484250132</v>
      </c>
      <c r="AQ64" s="68"/>
      <c r="AR64" s="69">
        <f t="shared" si="15"/>
        <v>1368.41669226193</v>
      </c>
      <c r="AS64" s="69"/>
      <c r="AT64" s="69">
        <f t="shared" si="16"/>
        <v>0.0145198553949054</v>
      </c>
      <c r="AU64" s="69">
        <f t="shared" si="17"/>
        <v>8.23100636709253e-5</v>
      </c>
      <c r="AV64" s="65">
        <f t="shared" si="18"/>
        <v>0.0124492298785362</v>
      </c>
      <c r="AW64" s="68"/>
      <c r="AX64" s="68"/>
      <c r="AY64" s="68">
        <f t="shared" si="20"/>
        <v>15.3996973597493</v>
      </c>
      <c r="AZ64" s="68">
        <f t="shared" si="21"/>
        <v>21.7861522874384</v>
      </c>
      <c r="BA64" s="71">
        <f t="shared" si="40"/>
        <v>0.0204128957903895</v>
      </c>
      <c r="BB64" s="71"/>
      <c r="BC64" s="65"/>
      <c r="BD64" s="65">
        <f t="shared" si="58"/>
        <v>0.0221361143907648</v>
      </c>
      <c r="BE64" s="65">
        <f t="shared" si="42"/>
        <v>0.562394540377423</v>
      </c>
      <c r="BF64" s="65">
        <f t="shared" si="22"/>
        <v>9.25703781123711</v>
      </c>
      <c r="BG64" s="69">
        <f t="shared" si="23"/>
        <v>0.00134483947590925</v>
      </c>
      <c r="BH64" s="69">
        <f t="shared" si="24"/>
        <v>1.43272276587878e-6</v>
      </c>
      <c r="BI64" s="72">
        <f t="shared" si="25"/>
        <v>14.3944220470575</v>
      </c>
      <c r="BJ64" s="72">
        <f t="shared" si="59"/>
        <v>2.5146288963332</v>
      </c>
      <c r="BK64" s="73">
        <f t="shared" si="26"/>
        <v>0.477765330051394</v>
      </c>
      <c r="BL64" s="72">
        <f t="shared" si="60"/>
        <v>23.4553389915794</v>
      </c>
      <c r="BM64" s="74"/>
    </row>
    <row r="65" ht="25" customHeight="1" spans="1:65">
      <c r="A65" s="54">
        <v>98</v>
      </c>
      <c r="B65" s="55">
        <v>0.423915434338662</v>
      </c>
      <c r="C65" s="55">
        <v>-10.6875704456549</v>
      </c>
      <c r="D65" s="55"/>
      <c r="E65" s="55">
        <v>1.67841223506656</v>
      </c>
      <c r="F65" s="56">
        <v>1</v>
      </c>
      <c r="G65" s="57">
        <f t="shared" si="0"/>
        <v>8.36637353682585e-5</v>
      </c>
      <c r="H65" s="57">
        <f t="shared" si="1"/>
        <v>0.000333333333333333</v>
      </c>
      <c r="I65" s="58">
        <f t="shared" si="2"/>
        <v>0.0239593179539114</v>
      </c>
      <c r="J65" s="58"/>
      <c r="K65" s="58">
        <f t="shared" si="3"/>
        <v>2.46769162120653</v>
      </c>
      <c r="L65" s="57">
        <f t="shared" si="4"/>
        <v>0.000935565841199931</v>
      </c>
      <c r="M65" s="57">
        <f t="shared" si="5"/>
        <v>0.00273187832267135</v>
      </c>
      <c r="N65" s="57">
        <f t="shared" si="6"/>
        <v>0.116145345031226</v>
      </c>
      <c r="O65" s="59">
        <v>0.0302</v>
      </c>
      <c r="P65" s="60">
        <f t="shared" si="7"/>
        <v>0.0302</v>
      </c>
      <c r="Q65" s="61">
        <v>1000</v>
      </c>
      <c r="R65" s="59">
        <v>1.1616</v>
      </c>
      <c r="S65" s="59">
        <v>9.801</v>
      </c>
      <c r="T65" s="62">
        <v>4e-6</v>
      </c>
      <c r="U65" s="63">
        <v>1e-6</v>
      </c>
      <c r="V65" s="63">
        <f t="shared" si="45"/>
        <v>4e-6</v>
      </c>
      <c r="W65" s="64">
        <v>0.001147</v>
      </c>
      <c r="X65" s="64">
        <v>1.85e-5</v>
      </c>
      <c r="Y65" s="65">
        <f t="shared" si="8"/>
        <v>-0.0535800640223468</v>
      </c>
      <c r="Z65" s="66">
        <f t="shared" si="9"/>
        <v>0.00167841223506656</v>
      </c>
      <c r="AA65" s="65">
        <f t="shared" si="10"/>
        <v>7.12050435629646</v>
      </c>
      <c r="AB65" s="65">
        <f t="shared" si="11"/>
        <v>19.9746945835606</v>
      </c>
      <c r="AC65" s="65">
        <f t="shared" si="12"/>
        <v>3.65696421850038</v>
      </c>
      <c r="AD65" s="67">
        <f t="shared" si="46"/>
        <v>5.46209735455155</v>
      </c>
      <c r="AE65" s="67">
        <f t="shared" si="47"/>
        <v>0.19800674898436</v>
      </c>
      <c r="AF65" s="67">
        <f t="shared" si="48"/>
        <v>0.0332109217963707</v>
      </c>
      <c r="AG65" s="67">
        <f t="shared" si="49"/>
        <v>0.37675892897256</v>
      </c>
      <c r="AH65" s="67">
        <f t="shared" si="50"/>
        <v>0.11578568232052</v>
      </c>
      <c r="AI65" s="67">
        <f t="shared" si="51"/>
        <v>0.877457338459529</v>
      </c>
      <c r="AJ65" s="67">
        <f t="shared" si="52"/>
        <v>0.25823752401954</v>
      </c>
      <c r="AK65" s="67">
        <f t="shared" si="53"/>
        <v>1.34941146928466</v>
      </c>
      <c r="AL65" s="67">
        <f t="shared" si="54"/>
        <v>0.0244587894293585</v>
      </c>
      <c r="AM65" s="67">
        <f t="shared" si="55"/>
        <v>0.511575250374942</v>
      </c>
      <c r="AN65" s="67">
        <f t="shared" si="56"/>
        <v>0.266093576883965</v>
      </c>
      <c r="AO65" s="67">
        <f t="shared" si="57"/>
        <v>0.237481672526637</v>
      </c>
      <c r="AP65" s="63">
        <f t="shared" si="13"/>
        <v>91.6573912083594</v>
      </c>
      <c r="AQ65" s="68"/>
      <c r="AR65" s="69">
        <f t="shared" si="15"/>
        <v>1112.9394513154</v>
      </c>
      <c r="AS65" s="69"/>
      <c r="AT65" s="69">
        <f t="shared" si="16"/>
        <v>0.016100364343922</v>
      </c>
      <c r="AU65" s="69">
        <f t="shared" si="17"/>
        <v>8.21710693069446e-5</v>
      </c>
      <c r="AV65" s="65">
        <f t="shared" si="18"/>
        <v>0.012512511326192</v>
      </c>
      <c r="AW65" s="68"/>
      <c r="AX65" s="68"/>
      <c r="AY65" s="68">
        <f t="shared" si="20"/>
        <v>15.4779765104996</v>
      </c>
      <c r="AZ65" s="68">
        <f t="shared" si="21"/>
        <v>21.8968948208361</v>
      </c>
      <c r="BA65" s="71">
        <f t="shared" si="40"/>
        <v>0.0203784251881223</v>
      </c>
      <c r="BB65" s="71"/>
      <c r="BC65" s="65"/>
      <c r="BD65" s="65">
        <f t="shared" si="58"/>
        <v>0.0181255235975757</v>
      </c>
      <c r="BE65" s="65">
        <f t="shared" si="42"/>
        <v>0.69032551025812</v>
      </c>
      <c r="BF65" s="65">
        <f t="shared" si="22"/>
        <v>7.60552514328968</v>
      </c>
      <c r="BG65" s="69">
        <f t="shared" si="23"/>
        <v>0.00164518703054079</v>
      </c>
      <c r="BH65" s="69">
        <f t="shared" si="24"/>
        <v>1.77956142036042e-6</v>
      </c>
      <c r="BI65" s="72">
        <f t="shared" si="25"/>
        <v>14.4675912209096</v>
      </c>
      <c r="BJ65" s="72">
        <f t="shared" si="59"/>
        <v>2.04861842907168</v>
      </c>
      <c r="BK65" s="73">
        <f t="shared" si="26"/>
        <v>0.384790442269139</v>
      </c>
      <c r="BL65" s="72">
        <f t="shared" si="60"/>
        <v>27.2886230205613</v>
      </c>
      <c r="BM65" s="74"/>
    </row>
    <row r="66" ht="25" customHeight="1" spans="1:65">
      <c r="A66" s="54">
        <v>99</v>
      </c>
      <c r="B66" s="55">
        <v>0.578431130716549</v>
      </c>
      <c r="C66" s="55">
        <v>-11.9820300840749</v>
      </c>
      <c r="D66" s="55"/>
      <c r="E66" s="55">
        <v>1.67143125703386</v>
      </c>
      <c r="F66" s="56">
        <v>1</v>
      </c>
      <c r="G66" s="57">
        <f t="shared" si="0"/>
        <v>8.36637353682585e-5</v>
      </c>
      <c r="H66" s="57">
        <f t="shared" si="1"/>
        <v>0.000333333333333333</v>
      </c>
      <c r="I66" s="58">
        <f t="shared" si="2"/>
        <v>0.032844177986979</v>
      </c>
      <c r="J66" s="58"/>
      <c r="K66" s="58">
        <f t="shared" si="3"/>
        <v>4.59625768852164</v>
      </c>
      <c r="L66" s="57">
        <f t="shared" si="4"/>
        <v>0.000933618176068428</v>
      </c>
      <c r="M66" s="57">
        <f t="shared" si="5"/>
        <v>0.00146157021196902</v>
      </c>
      <c r="N66" s="57">
        <f t="shared" si="6"/>
        <v>0.217647045539803</v>
      </c>
      <c r="O66" s="59">
        <v>0.0302</v>
      </c>
      <c r="P66" s="60">
        <f t="shared" si="7"/>
        <v>0.0302</v>
      </c>
      <c r="Q66" s="61">
        <v>1000</v>
      </c>
      <c r="R66" s="59">
        <v>1.1616</v>
      </c>
      <c r="S66" s="59">
        <v>9.801</v>
      </c>
      <c r="T66" s="62">
        <v>4e-6</v>
      </c>
      <c r="U66" s="63">
        <v>1e-6</v>
      </c>
      <c r="V66" s="63">
        <f t="shared" si="45"/>
        <v>4e-6</v>
      </c>
      <c r="W66" s="64">
        <v>0.001147</v>
      </c>
      <c r="X66" s="64">
        <v>1.85e-5</v>
      </c>
      <c r="Y66" s="65">
        <f t="shared" si="8"/>
        <v>-0.424129533241428</v>
      </c>
      <c r="Z66" s="66">
        <f t="shared" si="9"/>
        <v>0.00167143125703386</v>
      </c>
      <c r="AA66" s="65">
        <f t="shared" si="10"/>
        <v>15.0144022926618</v>
      </c>
      <c r="AB66" s="65">
        <f t="shared" si="11"/>
        <v>37.0352165921172</v>
      </c>
      <c r="AC66" s="65">
        <f t="shared" si="12"/>
        <v>3.62660684277443</v>
      </c>
      <c r="AD66" s="67">
        <f t="shared" si="46"/>
        <v>10.2120847937805</v>
      </c>
      <c r="AE66" s="67">
        <f t="shared" si="47"/>
        <v>0.197183184465402</v>
      </c>
      <c r="AF66" s="67">
        <f t="shared" si="48"/>
        <v>0.0184075451475035</v>
      </c>
      <c r="AG66" s="67">
        <f t="shared" si="49"/>
        <v>0.67551256795324</v>
      </c>
      <c r="AH66" s="67">
        <f t="shared" si="50"/>
        <v>0.12023470380648</v>
      </c>
      <c r="AI66" s="67">
        <f t="shared" si="51"/>
        <v>0.834438350329262</v>
      </c>
      <c r="AJ66" s="67">
        <f t="shared" si="52"/>
        <v>0.144909494369139</v>
      </c>
      <c r="AK66" s="67">
        <f t="shared" si="53"/>
        <v>1.33158523557762</v>
      </c>
      <c r="AL66" s="67">
        <f t="shared" si="54"/>
        <v>0.0128556618183496</v>
      </c>
      <c r="AM66" s="67">
        <f t="shared" si="55"/>
        <v>0.967241381113246</v>
      </c>
      <c r="AN66" s="67">
        <f t="shared" si="56"/>
        <v>0.09477984161121</v>
      </c>
      <c r="AO66" s="67">
        <f t="shared" si="57"/>
        <v>0.665339723134949</v>
      </c>
      <c r="AP66" s="63">
        <f t="shared" si="13"/>
        <v>125.0661904252</v>
      </c>
      <c r="AQ66" s="68"/>
      <c r="AR66" s="69">
        <f t="shared" si="15"/>
        <v>597.759764405735</v>
      </c>
      <c r="AS66" s="69"/>
      <c r="AT66" s="69">
        <f t="shared" si="16"/>
        <v>0.0219688909580093</v>
      </c>
      <c r="AU66" s="69">
        <f t="shared" si="17"/>
        <v>8.23424902696141e-5</v>
      </c>
      <c r="AV66" s="65">
        <f t="shared" si="18"/>
        <v>0.0124345280923053</v>
      </c>
      <c r="AW66" s="68"/>
      <c r="AX66" s="68"/>
      <c r="AY66" s="68">
        <f t="shared" si="20"/>
        <v>15.3815112501817</v>
      </c>
      <c r="AZ66" s="68">
        <f t="shared" si="21"/>
        <v>21.7604241615343</v>
      </c>
      <c r="BA66" s="71">
        <f t="shared" si="40"/>
        <v>0.0204209375868643</v>
      </c>
      <c r="BB66" s="71"/>
      <c r="BC66" s="65"/>
      <c r="BD66" s="65">
        <f t="shared" si="58"/>
        <v>0.00965440399522984</v>
      </c>
      <c r="BE66" s="65">
        <f t="shared" si="42"/>
        <v>1.2879643423301</v>
      </c>
      <c r="BF66" s="65">
        <f t="shared" si="22"/>
        <v>4.03416815141493</v>
      </c>
      <c r="BG66" s="69">
        <f t="shared" si="23"/>
        <v>0.00308230287523937</v>
      </c>
      <c r="BH66" s="69">
        <f t="shared" si="24"/>
        <v>3.27210693933072e-6</v>
      </c>
      <c r="BI66" s="72">
        <f t="shared" si="25"/>
        <v>14.377423106728</v>
      </c>
      <c r="BJ66" s="72">
        <f t="shared" si="59"/>
        <v>1.09802229447951</v>
      </c>
      <c r="BK66" s="73">
        <f t="shared" si="26"/>
        <v>0.209173511789317</v>
      </c>
      <c r="BL66" s="72">
        <f t="shared" si="60"/>
        <v>44.2884302776661</v>
      </c>
      <c r="BM66" s="77"/>
    </row>
    <row r="67" ht="25" customHeight="1" spans="1:65">
      <c r="A67" s="54">
        <v>138</v>
      </c>
      <c r="B67" s="55">
        <v>0.474828069561012</v>
      </c>
      <c r="C67" s="55">
        <v>15.2736715941673</v>
      </c>
      <c r="D67" s="55"/>
      <c r="E67" s="55">
        <v>2.28214995933084</v>
      </c>
      <c r="F67" s="56">
        <v>1</v>
      </c>
      <c r="G67" s="57">
        <f t="shared" ref="G67:G96" si="61">0.001/5.3843</f>
        <v>0.000185725163902457</v>
      </c>
      <c r="H67" s="57">
        <f t="shared" ref="H67:H96" si="62">1/8000</f>
        <v>0.000125</v>
      </c>
      <c r="I67" s="58">
        <f t="shared" ref="I67:I92" si="63">B67*SQRT((G67/Z67)^2+(H67/AV67)^2)</f>
        <v>0.0387579434527</v>
      </c>
      <c r="J67" s="58"/>
      <c r="K67" s="58">
        <f t="shared" ref="K67:K92" si="64">AB67*SQRT((G67/Z67)^2+(2*I67/B67)^2)</f>
        <v>6.21570520083993</v>
      </c>
      <c r="L67" s="57">
        <f t="shared" ref="L67:L92" si="65">AV67*1.5*G67/Z67</f>
        <v>0.00242175735311555</v>
      </c>
      <c r="M67" s="57">
        <f t="shared" ref="M67:M92" si="66">BD67*SQRT((2*G67/Z67)^2+(2*I67/B67)^2)</f>
        <v>0.00615727786305795</v>
      </c>
      <c r="N67" s="57">
        <f t="shared" ref="N67:N92" si="67">BE67*SQRT((L67/AV67)^2+(M67/BD67)^2)</f>
        <v>0.193749832844497</v>
      </c>
      <c r="O67" s="59">
        <v>0.0302</v>
      </c>
      <c r="P67" s="60">
        <f t="shared" ref="P67:P92" si="68">0.0252+0.005*F67</f>
        <v>0.0302</v>
      </c>
      <c r="Q67" s="61">
        <v>1000</v>
      </c>
      <c r="R67" s="59">
        <v>1.1616</v>
      </c>
      <c r="S67" s="59">
        <v>9.801</v>
      </c>
      <c r="T67" s="62">
        <v>4e-6</v>
      </c>
      <c r="U67" s="63">
        <v>1e-6</v>
      </c>
      <c r="V67" s="63">
        <f t="shared" ref="V67:V95" si="69">0.000003+0.000001*F67</f>
        <v>4e-6</v>
      </c>
      <c r="W67" s="64">
        <v>0.001147</v>
      </c>
      <c r="X67" s="64">
        <v>1.85e-5</v>
      </c>
      <c r="Y67" s="65"/>
      <c r="Z67" s="66">
        <f t="shared" ref="Z67:Z91" si="70">E67/1000</f>
        <v>0.00228214995933084</v>
      </c>
      <c r="AA67" s="65">
        <f t="shared" ref="AA67:AA92" si="71">(B67^2-0.2^2)/(2*9.81)*1000</f>
        <v>9.45268581259109</v>
      </c>
      <c r="AB67" s="65">
        <f t="shared" ref="AB67:AB92" si="72">Q67*2*Z67*B67^2/O67</f>
        <v>34.0753244730079</v>
      </c>
      <c r="AC67" s="65">
        <f t="shared" ref="AC67:AC92" si="73">Q67*S67*(Z67*2)^2/O67</f>
        <v>6.76101336288738</v>
      </c>
      <c r="AD67" s="67">
        <f t="shared" si="46"/>
        <v>5.03997295140024</v>
      </c>
      <c r="AE67" s="67">
        <f t="shared" si="47"/>
        <v>0.269231291753523</v>
      </c>
      <c r="AF67" s="67">
        <f t="shared" si="48"/>
        <v>0.0485979433682027</v>
      </c>
      <c r="AG67" s="67">
        <f t="shared" si="49"/>
        <v>0.408220589446631</v>
      </c>
      <c r="AH67" s="67">
        <f t="shared" si="50"/>
        <v>0.134071916716093</v>
      </c>
      <c r="AI67" s="67">
        <f t="shared" si="51"/>
        <v>0.885267784098413</v>
      </c>
      <c r="AJ67" s="67">
        <f t="shared" si="52"/>
        <v>0.277554844431794</v>
      </c>
      <c r="AK67" s="67">
        <f t="shared" si="53"/>
        <v>-5.00903829070719</v>
      </c>
      <c r="AL67" s="67">
        <f t="shared" si="54"/>
        <v>-0.13378939355967</v>
      </c>
      <c r="AM67" s="67">
        <f t="shared" si="55"/>
        <v>-0.148282913613878</v>
      </c>
      <c r="AN67" s="67">
        <f t="shared" si="56"/>
        <v>0.288785282181327</v>
      </c>
      <c r="AO67" s="67">
        <f t="shared" si="57"/>
        <v>0.255159771949367</v>
      </c>
      <c r="AP67" s="63">
        <f t="shared" ref="AP67:AP92" si="74">Q67*B67*T67/X67</f>
        <v>102.665528553732</v>
      </c>
      <c r="AQ67" s="68"/>
      <c r="AR67" s="69">
        <f t="shared" ref="AR67:AR92" si="75">F67*1*10^5/(0.5*Q67*B67^2)</f>
        <v>887.068641214561</v>
      </c>
      <c r="AS67" s="69"/>
      <c r="AT67" s="69">
        <f t="shared" ref="AT67:AT91" si="76">W67*B67/O67</f>
        <v>0.0180340329730623</v>
      </c>
      <c r="AU67" s="69">
        <f t="shared" ref="AU67:AU92" si="77">X67/SQRT(Q67*O67*Z67)</f>
        <v>7.04686850709155e-5</v>
      </c>
      <c r="AV67" s="65">
        <f t="shared" ref="AV67:AV92" si="78">SQRT(Q67*(Z67^3)/O67)</f>
        <v>0.0198386810876617</v>
      </c>
      <c r="AW67" s="68"/>
      <c r="AX67" s="68"/>
      <c r="AY67" s="68">
        <f t="shared" ref="AY67:AY92" si="79">1.237*AV67*1000</f>
        <v>24.5404485054375</v>
      </c>
      <c r="AZ67" s="68">
        <f t="shared" ref="AZ67:AZ92" si="80">1.75*1000*AV67</f>
        <v>34.717691903408</v>
      </c>
      <c r="BA67" s="71">
        <f t="shared" ref="BA67:BA93" si="81">W67/X67*4*AU67</f>
        <v>0.017476233897587</v>
      </c>
      <c r="BB67" s="71"/>
      <c r="BC67" s="65"/>
      <c r="BD67" s="65">
        <f t="shared" ref="BD67:BD95" si="82">X67*(Z67)^2/(Q67*(B67*V67)^2)</f>
        <v>0.0267095968916583</v>
      </c>
      <c r="BE67" s="65">
        <f t="shared" ref="BE67:BE91" si="83">AV67/BD67</f>
        <v>0.742754792149541</v>
      </c>
      <c r="BF67" s="65">
        <f t="shared" ref="BF67:BF92" si="84">X67*(Z67)^3/(Q67*(B67)^2*(T67)^3)</f>
        <v>15.2388263650103</v>
      </c>
      <c r="BG67" s="69">
        <f t="shared" ref="BG67:BG91" si="85">AV67/BF67</f>
        <v>0.0013018509833023</v>
      </c>
      <c r="BH67" s="69">
        <f t="shared" ref="BH67:BH91" si="86">0.5*Q67*(4/3)*PI()*Z67^3*B67^2</f>
        <v>5.61259774766907e-6</v>
      </c>
      <c r="BI67" s="72">
        <f t="shared" ref="BI67:BI92" si="87">AU67*(Z67)^2/(T67)^2</f>
        <v>22.9384750076089</v>
      </c>
      <c r="BJ67" s="72">
        <f t="shared" ref="BJ67:BJ95" si="88">((Z67*2)^2)*(AU67)/(SQRT(2)*AB67*((V67)^2))</f>
        <v>1.90401136057345</v>
      </c>
      <c r="BK67" s="73">
        <f t="shared" ref="BK67:BK92" si="89">(15-2*AC67)/(AB67)</f>
        <v>0.0433737109501627</v>
      </c>
      <c r="BL67" s="72">
        <f t="shared" ref="BL67:BL110" si="90">AB67+2*AC67</f>
        <v>47.5973511987827</v>
      </c>
      <c r="BM67" s="78" t="s">
        <v>114</v>
      </c>
    </row>
    <row r="68" ht="25" customHeight="1" spans="1:65">
      <c r="A68" s="54">
        <v>139</v>
      </c>
      <c r="B68" s="55">
        <v>0.609736530475151</v>
      </c>
      <c r="C68" s="55">
        <v>3.25039948067151</v>
      </c>
      <c r="D68" s="55"/>
      <c r="E68" s="55">
        <v>2.25192699537618</v>
      </c>
      <c r="F68" s="56">
        <v>1</v>
      </c>
      <c r="G68" s="57">
        <f t="shared" si="61"/>
        <v>0.000185725163902457</v>
      </c>
      <c r="H68" s="57">
        <f t="shared" si="62"/>
        <v>0.000125</v>
      </c>
      <c r="I68" s="58">
        <f t="shared" si="63"/>
        <v>0.0504398505805703</v>
      </c>
      <c r="J68" s="58"/>
      <c r="K68" s="58">
        <f t="shared" si="64"/>
        <v>10.2498138573168</v>
      </c>
      <c r="L68" s="57">
        <f t="shared" si="65"/>
        <v>0.00240566800079451</v>
      </c>
      <c r="M68" s="57">
        <f t="shared" si="66"/>
        <v>0.00368464734672088</v>
      </c>
      <c r="N68" s="57">
        <f t="shared" si="67"/>
        <v>0.325945212277994</v>
      </c>
      <c r="O68" s="59">
        <v>0.0302</v>
      </c>
      <c r="P68" s="60">
        <f t="shared" si="68"/>
        <v>0.0302</v>
      </c>
      <c r="Q68" s="61">
        <v>1000</v>
      </c>
      <c r="R68" s="59">
        <v>1.1616</v>
      </c>
      <c r="S68" s="59">
        <v>9.801</v>
      </c>
      <c r="T68" s="62">
        <v>4e-6</v>
      </c>
      <c r="U68" s="63">
        <v>1e-6</v>
      </c>
      <c r="V68" s="63">
        <f t="shared" si="69"/>
        <v>4e-6</v>
      </c>
      <c r="W68" s="64">
        <v>0.001147</v>
      </c>
      <c r="X68" s="64">
        <v>1.85e-5</v>
      </c>
      <c r="Y68" s="65"/>
      <c r="Z68" s="66">
        <f t="shared" si="70"/>
        <v>0.00225192699537618</v>
      </c>
      <c r="AA68" s="65">
        <f t="shared" si="71"/>
        <v>16.9102261261914</v>
      </c>
      <c r="AB68" s="65">
        <f t="shared" si="72"/>
        <v>55.444923712212</v>
      </c>
      <c r="AC68" s="65">
        <f t="shared" si="73"/>
        <v>6.58312424658697</v>
      </c>
      <c r="AD68" s="67">
        <f t="shared" ref="AD68:AD99" si="91">AB68/AC68</f>
        <v>8.42228122019078</v>
      </c>
      <c r="AE68" s="67">
        <f t="shared" ref="AE68:AE99" si="92">2*AD68*BD68</f>
        <v>0.26566580842809</v>
      </c>
      <c r="AF68" s="67">
        <f t="shared" ref="AF68:AF99" si="93">HARMEAN(AE68,BD68)</f>
        <v>0.0297755475165811</v>
      </c>
      <c r="AG68" s="67">
        <f t="shared" ref="AG68:AG99" si="94">AV68/AF68</f>
        <v>0.653082780551925</v>
      </c>
      <c r="AH68" s="67">
        <f t="shared" ref="AH68:AH99" si="95">AV68/AVERAGE((AE68,BD68))</f>
        <v>0.13818985210582</v>
      </c>
      <c r="AI68" s="67">
        <f t="shared" ref="AI68:AI99" si="96">ATAN((1+1/AD68)/SQRT(1-1/(AD68^2)))</f>
        <v>0.844904880177737</v>
      </c>
      <c r="AJ68" s="67">
        <f t="shared" ref="AJ68:AJ96" si="97">2*(PI()/2-AI68)/SQRT(AD68^2-1)</f>
        <v>0.173602086667544</v>
      </c>
      <c r="AK68" s="67">
        <f t="shared" ref="AK68:AK99" si="98">((9.8)/(9.8-C68))*2*AD68*(PI()-2*AI68)/SQRT(AD68^2-1)</f>
        <v>4.37548237701184</v>
      </c>
      <c r="AL68" s="67">
        <f t="shared" ref="AL68:AL99" si="99">AK68*BD68</f>
        <v>0.0690083857663792</v>
      </c>
      <c r="AM68" s="67">
        <f t="shared" ref="AM68:AM99" si="100">AV68/AL68</f>
        <v>0.281790352703175</v>
      </c>
      <c r="AN68" s="67">
        <f t="shared" ref="AN68:AN96" si="101">1.99297-1.34937*AD68+0.460643*(AD68^2)-0.0802005*(AD68^3)+0.00679617*(AD68^4)-0.000222018*AD68^5</f>
        <v>0.177162149652567</v>
      </c>
      <c r="AO68" s="67">
        <f t="shared" ref="AO68:AO99" si="102">AV68/(2*AD68*AN68*BD68)</f>
        <v>0.413162963887612</v>
      </c>
      <c r="AP68" s="63">
        <f t="shared" si="74"/>
        <v>131.834925508141</v>
      </c>
      <c r="AQ68" s="68"/>
      <c r="AR68" s="69">
        <f t="shared" si="75"/>
        <v>537.954525389798</v>
      </c>
      <c r="AS68" s="69"/>
      <c r="AT68" s="69">
        <f t="shared" si="76"/>
        <v>0.0231578741872516</v>
      </c>
      <c r="AU68" s="69">
        <f t="shared" si="77"/>
        <v>7.09399868055406e-5</v>
      </c>
      <c r="AV68" s="65">
        <f t="shared" si="78"/>
        <v>0.0194458973645848</v>
      </c>
      <c r="AW68" s="68"/>
      <c r="AX68" s="68"/>
      <c r="AY68" s="68">
        <f t="shared" si="79"/>
        <v>24.0545750399914</v>
      </c>
      <c r="AZ68" s="68">
        <f t="shared" si="80"/>
        <v>34.0303203880233</v>
      </c>
      <c r="BA68" s="71">
        <f t="shared" si="81"/>
        <v>0.0175931167277741</v>
      </c>
      <c r="BB68" s="71"/>
      <c r="BC68" s="65"/>
      <c r="BD68" s="65">
        <f t="shared" si="82"/>
        <v>0.0157716063785194</v>
      </c>
      <c r="BE68" s="65">
        <f t="shared" si="83"/>
        <v>1.2329687222647</v>
      </c>
      <c r="BF68" s="65">
        <f t="shared" si="84"/>
        <v>8.87912654105874</v>
      </c>
      <c r="BG68" s="69">
        <f t="shared" si="85"/>
        <v>0.00219006872744332</v>
      </c>
      <c r="BH68" s="69">
        <f t="shared" si="86"/>
        <v>8.89213331964858e-6</v>
      </c>
      <c r="BI68" s="72">
        <f t="shared" si="87"/>
        <v>22.4843188278011</v>
      </c>
      <c r="BJ68" s="72">
        <f t="shared" si="88"/>
        <v>1.14699873308667</v>
      </c>
      <c r="BK68" s="73">
        <f t="shared" si="89"/>
        <v>0.033073388581869</v>
      </c>
      <c r="BL68" s="72">
        <f t="shared" si="90"/>
        <v>68.6111722053859</v>
      </c>
      <c r="BM68" s="74"/>
    </row>
    <row r="69" ht="25" customHeight="1" spans="1:65">
      <c r="A69" s="54">
        <v>140</v>
      </c>
      <c r="B69" s="55">
        <v>0.45871767575761</v>
      </c>
      <c r="C69" s="55">
        <v>-14.1761398441931</v>
      </c>
      <c r="D69" s="55"/>
      <c r="E69" s="55">
        <v>2.34080280595721</v>
      </c>
      <c r="F69" s="56">
        <v>0.9</v>
      </c>
      <c r="G69" s="57">
        <f t="shared" si="61"/>
        <v>0.000185725163902457</v>
      </c>
      <c r="H69" s="57">
        <f t="shared" si="62"/>
        <v>0.000125</v>
      </c>
      <c r="I69" s="58">
        <f t="shared" si="63"/>
        <v>0.0365020067559861</v>
      </c>
      <c r="J69" s="58"/>
      <c r="K69" s="58">
        <f t="shared" si="64"/>
        <v>5.80072959047066</v>
      </c>
      <c r="L69" s="57">
        <f t="shared" si="65"/>
        <v>0.00245268035491629</v>
      </c>
      <c r="M69" s="57">
        <f t="shared" si="66"/>
        <v>0.00711812698668024</v>
      </c>
      <c r="N69" s="57">
        <f t="shared" si="67"/>
        <v>0.165472212631904</v>
      </c>
      <c r="O69" s="59">
        <v>0.0302</v>
      </c>
      <c r="P69" s="60">
        <f t="shared" si="68"/>
        <v>0.0297</v>
      </c>
      <c r="Q69" s="61">
        <v>1000</v>
      </c>
      <c r="R69" s="59">
        <v>1.0454</v>
      </c>
      <c r="S69" s="59">
        <v>9.801</v>
      </c>
      <c r="T69" s="62">
        <v>4e-6</v>
      </c>
      <c r="U69" s="63">
        <v>1e-6</v>
      </c>
      <c r="V69" s="63">
        <f t="shared" si="69"/>
        <v>3.9e-6</v>
      </c>
      <c r="W69" s="64">
        <v>0.001147</v>
      </c>
      <c r="X69" s="64">
        <v>1.85e-5</v>
      </c>
      <c r="Y69" s="65"/>
      <c r="Z69" s="66">
        <f t="shared" si="70"/>
        <v>0.00234080280595721</v>
      </c>
      <c r="AA69" s="65">
        <f t="shared" si="71"/>
        <v>8.68613180695534</v>
      </c>
      <c r="AB69" s="65">
        <f t="shared" si="72"/>
        <v>32.6196151074485</v>
      </c>
      <c r="AC69" s="65">
        <f t="shared" si="73"/>
        <v>7.11300471076456</v>
      </c>
      <c r="AD69" s="67">
        <f t="shared" si="91"/>
        <v>4.58591220361251</v>
      </c>
      <c r="AE69" s="67">
        <f t="shared" si="92"/>
        <v>0.290493858086295</v>
      </c>
      <c r="AF69" s="67">
        <f t="shared" si="93"/>
        <v>0.0571173560329959</v>
      </c>
      <c r="AG69" s="67">
        <f t="shared" si="94"/>
        <v>0.360807599997351</v>
      </c>
      <c r="AH69" s="67">
        <f t="shared" si="95"/>
        <v>0.127936271836937</v>
      </c>
      <c r="AI69" s="67">
        <f t="shared" si="96"/>
        <v>0.895310810323147</v>
      </c>
      <c r="AJ69" s="67">
        <f t="shared" si="97"/>
        <v>0.301855545128539</v>
      </c>
      <c r="AK69" s="67">
        <f t="shared" si="98"/>
        <v>1.13162283535727</v>
      </c>
      <c r="AL69" s="67">
        <f t="shared" si="99"/>
        <v>0.0358412316618853</v>
      </c>
      <c r="AM69" s="67">
        <f t="shared" si="100"/>
        <v>0.574990735331651</v>
      </c>
      <c r="AN69" s="67">
        <f t="shared" si="101"/>
        <v>0.313113186256744</v>
      </c>
      <c r="AO69" s="67">
        <f t="shared" si="102"/>
        <v>0.226571594197778</v>
      </c>
      <c r="AP69" s="63">
        <f t="shared" si="74"/>
        <v>99.1822001638076</v>
      </c>
      <c r="AQ69" s="68"/>
      <c r="AR69" s="69">
        <f t="shared" si="75"/>
        <v>855.424244446874</v>
      </c>
      <c r="AS69" s="69"/>
      <c r="AT69" s="69">
        <f t="shared" si="76"/>
        <v>0.0174221580825821</v>
      </c>
      <c r="AU69" s="69">
        <f t="shared" si="77"/>
        <v>6.9580227155486e-5</v>
      </c>
      <c r="AV69" s="65">
        <f t="shared" si="78"/>
        <v>0.0206083761484595</v>
      </c>
      <c r="AW69" s="68"/>
      <c r="AX69" s="68"/>
      <c r="AY69" s="68">
        <f t="shared" si="79"/>
        <v>25.4925612956444</v>
      </c>
      <c r="AZ69" s="68">
        <f t="shared" si="80"/>
        <v>36.0646582598041</v>
      </c>
      <c r="BA69" s="71">
        <f t="shared" si="81"/>
        <v>0.0172558963345605</v>
      </c>
      <c r="BB69" s="71"/>
      <c r="BC69" s="65"/>
      <c r="BD69" s="65">
        <f t="shared" si="82"/>
        <v>0.0316724181785971</v>
      </c>
      <c r="BE69" s="65">
        <f t="shared" si="83"/>
        <v>0.650672646220166</v>
      </c>
      <c r="BF69" s="65">
        <f t="shared" si="84"/>
        <v>17.6195694700137</v>
      </c>
      <c r="BG69" s="69">
        <f t="shared" si="85"/>
        <v>0.00116962994944527</v>
      </c>
      <c r="BH69" s="69">
        <f t="shared" si="86"/>
        <v>5.65254530639622e-6</v>
      </c>
      <c r="BI69" s="72">
        <f t="shared" si="87"/>
        <v>23.8284349216563</v>
      </c>
      <c r="BJ69" s="72">
        <f t="shared" si="88"/>
        <v>2.17346398467559</v>
      </c>
      <c r="BK69" s="73">
        <f t="shared" si="89"/>
        <v>0.0237277655153616</v>
      </c>
      <c r="BL69" s="72">
        <f t="shared" si="90"/>
        <v>46.8456245289776</v>
      </c>
      <c r="BM69" s="74"/>
    </row>
    <row r="70" ht="25" customHeight="1" spans="1:65">
      <c r="A70" s="54">
        <v>141</v>
      </c>
      <c r="B70" s="55">
        <v>0.683034585369603</v>
      </c>
      <c r="C70" s="55">
        <v>-10.6833641546267</v>
      </c>
      <c r="D70" s="55"/>
      <c r="E70" s="55">
        <v>2.36751307877695</v>
      </c>
      <c r="F70" s="56">
        <v>0.9</v>
      </c>
      <c r="G70" s="57">
        <f t="shared" si="61"/>
        <v>0.000185725163902457</v>
      </c>
      <c r="H70" s="57">
        <f t="shared" si="62"/>
        <v>0.000125</v>
      </c>
      <c r="I70" s="58">
        <f t="shared" si="63"/>
        <v>0.0537368455133727</v>
      </c>
      <c r="J70" s="58"/>
      <c r="K70" s="58">
        <f t="shared" si="64"/>
        <v>12.8607311338157</v>
      </c>
      <c r="L70" s="57">
        <f t="shared" si="65"/>
        <v>0.00246663410097065</v>
      </c>
      <c r="M70" s="57">
        <f t="shared" si="66"/>
        <v>0.00324707045399129</v>
      </c>
      <c r="N70" s="57">
        <f t="shared" si="67"/>
        <v>0.360680449721878</v>
      </c>
      <c r="O70" s="59">
        <v>0.0302</v>
      </c>
      <c r="P70" s="60">
        <f t="shared" si="68"/>
        <v>0.0297</v>
      </c>
      <c r="Q70" s="61">
        <v>1000</v>
      </c>
      <c r="R70" s="59">
        <v>1.0454</v>
      </c>
      <c r="S70" s="59">
        <v>9.801</v>
      </c>
      <c r="T70" s="62">
        <v>4e-6</v>
      </c>
      <c r="U70" s="63">
        <v>1e-6</v>
      </c>
      <c r="V70" s="63">
        <f t="shared" si="69"/>
        <v>3.9e-6</v>
      </c>
      <c r="W70" s="64">
        <v>0.001147</v>
      </c>
      <c r="X70" s="64">
        <v>1.85e-5</v>
      </c>
      <c r="Y70" s="65"/>
      <c r="Z70" s="66">
        <f t="shared" si="70"/>
        <v>0.00236751307877695</v>
      </c>
      <c r="AA70" s="65">
        <f t="shared" si="71"/>
        <v>21.7398697661073</v>
      </c>
      <c r="AB70" s="65">
        <f t="shared" si="72"/>
        <v>73.1477259148072</v>
      </c>
      <c r="AC70" s="65">
        <f t="shared" si="73"/>
        <v>7.2762600350121</v>
      </c>
      <c r="AD70" s="67">
        <f t="shared" si="91"/>
        <v>10.0529290546013</v>
      </c>
      <c r="AE70" s="67">
        <f t="shared" si="92"/>
        <v>0.293808605566175</v>
      </c>
      <c r="AF70" s="67">
        <f t="shared" si="93"/>
        <v>0.0278414271569531</v>
      </c>
      <c r="AG70" s="67">
        <f t="shared" si="94"/>
        <v>0.752910953265084</v>
      </c>
      <c r="AH70" s="67">
        <f t="shared" si="95"/>
        <v>0.135931525759438</v>
      </c>
      <c r="AI70" s="67">
        <f t="shared" si="96"/>
        <v>0.835217302880907</v>
      </c>
      <c r="AJ70" s="67">
        <f t="shared" si="97"/>
        <v>0.147070673822683</v>
      </c>
      <c r="AK70" s="67">
        <f t="shared" si="98"/>
        <v>1.41472974655438</v>
      </c>
      <c r="AL70" s="67">
        <f t="shared" si="99"/>
        <v>0.020673565476814</v>
      </c>
      <c r="AM70" s="67">
        <f t="shared" si="100"/>
        <v>1.01395743682973</v>
      </c>
      <c r="AN70" s="67">
        <f t="shared" si="101"/>
        <v>0.116744720484025</v>
      </c>
      <c r="AO70" s="67">
        <f t="shared" si="102"/>
        <v>0.611129639193208</v>
      </c>
      <c r="AP70" s="63">
        <f t="shared" si="74"/>
        <v>147.683153593428</v>
      </c>
      <c r="AQ70" s="68"/>
      <c r="AR70" s="69">
        <f t="shared" si="75"/>
        <v>385.822113505695</v>
      </c>
      <c r="AS70" s="69"/>
      <c r="AT70" s="69">
        <f t="shared" si="76"/>
        <v>0.0259417440204945</v>
      </c>
      <c r="AU70" s="69">
        <f t="shared" si="77"/>
        <v>6.91866118966401e-5</v>
      </c>
      <c r="AV70" s="65">
        <f t="shared" si="78"/>
        <v>0.0209621154610019</v>
      </c>
      <c r="AW70" s="68"/>
      <c r="AX70" s="68"/>
      <c r="AY70" s="68">
        <f t="shared" si="79"/>
        <v>25.9301368252594</v>
      </c>
      <c r="AZ70" s="68">
        <f t="shared" si="80"/>
        <v>36.6837020567534</v>
      </c>
      <c r="BA70" s="71">
        <f t="shared" si="81"/>
        <v>0.0171582797503667</v>
      </c>
      <c r="BB70" s="71"/>
      <c r="BC70" s="65"/>
      <c r="BD70" s="65">
        <f t="shared" si="82"/>
        <v>0.0146130846030241</v>
      </c>
      <c r="BE70" s="65">
        <f t="shared" si="83"/>
        <v>1.43447574762305</v>
      </c>
      <c r="BF70" s="65">
        <f t="shared" si="84"/>
        <v>8.22211459776532</v>
      </c>
      <c r="BG70" s="69">
        <f t="shared" si="85"/>
        <v>0.00254947984630368</v>
      </c>
      <c r="BH70" s="69">
        <f t="shared" si="86"/>
        <v>1.29664522044014e-5</v>
      </c>
      <c r="BI70" s="72">
        <f t="shared" si="87"/>
        <v>24.2374460017835</v>
      </c>
      <c r="BJ70" s="72">
        <f t="shared" si="88"/>
        <v>0.985874849900019</v>
      </c>
      <c r="BK70" s="73">
        <f t="shared" si="89"/>
        <v>0.0061174824559409</v>
      </c>
      <c r="BL70" s="72">
        <f t="shared" si="90"/>
        <v>87.7002459848314</v>
      </c>
      <c r="BM70" s="74"/>
    </row>
    <row r="71" ht="25" customHeight="1" spans="1:65">
      <c r="A71" s="54">
        <v>142</v>
      </c>
      <c r="B71" s="55">
        <v>0.576675575154627</v>
      </c>
      <c r="C71" s="55">
        <v>5.56887748725672</v>
      </c>
      <c r="D71" s="55"/>
      <c r="E71" s="55">
        <v>2.22609391024175</v>
      </c>
      <c r="F71" s="56">
        <v>0.8</v>
      </c>
      <c r="G71" s="57">
        <f t="shared" si="61"/>
        <v>0.000185725163902457</v>
      </c>
      <c r="H71" s="57">
        <f t="shared" si="62"/>
        <v>0.000125</v>
      </c>
      <c r="I71" s="58">
        <f t="shared" si="63"/>
        <v>0.0482602063133423</v>
      </c>
      <c r="J71" s="58"/>
      <c r="K71" s="58">
        <f t="shared" si="64"/>
        <v>9.16868072236833</v>
      </c>
      <c r="L71" s="57">
        <f t="shared" si="65"/>
        <v>0.0023918298339178</v>
      </c>
      <c r="M71" s="57">
        <f t="shared" si="66"/>
        <v>0.0045119765980326</v>
      </c>
      <c r="N71" s="57">
        <f t="shared" si="67"/>
        <v>0.267727325272803</v>
      </c>
      <c r="O71" s="59">
        <v>0.0302</v>
      </c>
      <c r="P71" s="60">
        <f t="shared" si="68"/>
        <v>0.0292</v>
      </c>
      <c r="Q71" s="61">
        <v>1000</v>
      </c>
      <c r="R71" s="59">
        <v>0.92922</v>
      </c>
      <c r="S71" s="59">
        <v>9.801</v>
      </c>
      <c r="T71" s="62">
        <v>4e-6</v>
      </c>
      <c r="U71" s="63">
        <v>1e-6</v>
      </c>
      <c r="V71" s="63">
        <f t="shared" si="69"/>
        <v>3.8e-6</v>
      </c>
      <c r="W71" s="64">
        <v>0.001147</v>
      </c>
      <c r="X71" s="64">
        <v>1.85e-5</v>
      </c>
      <c r="Y71" s="65"/>
      <c r="Z71" s="66">
        <f t="shared" si="70"/>
        <v>0.00222609391024175</v>
      </c>
      <c r="AA71" s="65">
        <f t="shared" si="71"/>
        <v>14.9110458195678</v>
      </c>
      <c r="AB71" s="65">
        <f t="shared" si="72"/>
        <v>49.0263599167785</v>
      </c>
      <c r="AC71" s="65">
        <f t="shared" si="73"/>
        <v>6.43295333070307</v>
      </c>
      <c r="AD71" s="67">
        <f t="shared" si="91"/>
        <v>7.62112787027173</v>
      </c>
      <c r="AE71" s="67">
        <f t="shared" si="92"/>
        <v>0.290989707219883</v>
      </c>
      <c r="AF71" s="67">
        <f t="shared" si="93"/>
        <v>0.0358311938770331</v>
      </c>
      <c r="AG71" s="67">
        <f t="shared" si="94"/>
        <v>0.533396881194896</v>
      </c>
      <c r="AH71" s="67">
        <f t="shared" si="95"/>
        <v>0.123272731360666</v>
      </c>
      <c r="AI71" s="67">
        <f t="shared" si="96"/>
        <v>0.851194985501591</v>
      </c>
      <c r="AJ71" s="67">
        <f t="shared" si="97"/>
        <v>0.190490766297905</v>
      </c>
      <c r="AK71" s="67">
        <f t="shared" si="98"/>
        <v>6.72502105063699</v>
      </c>
      <c r="AL71" s="67">
        <f t="shared" si="99"/>
        <v>0.128387289905335</v>
      </c>
      <c r="AM71" s="67">
        <f t="shared" si="100"/>
        <v>0.148864011987412</v>
      </c>
      <c r="AN71" s="67">
        <f t="shared" si="101"/>
        <v>0.18227481297967</v>
      </c>
      <c r="AO71" s="67">
        <f t="shared" si="102"/>
        <v>0.360335841351244</v>
      </c>
      <c r="AP71" s="63">
        <f t="shared" si="74"/>
        <v>124.686610844244</v>
      </c>
      <c r="AQ71" s="68"/>
      <c r="AR71" s="69">
        <f t="shared" si="75"/>
        <v>481.123829758859</v>
      </c>
      <c r="AS71" s="69"/>
      <c r="AT71" s="69">
        <f t="shared" si="76"/>
        <v>0.0219022147252436</v>
      </c>
      <c r="AU71" s="69">
        <f t="shared" si="77"/>
        <v>7.13504170801889e-5</v>
      </c>
      <c r="AV71" s="65">
        <f t="shared" si="78"/>
        <v>0.0191122470634991</v>
      </c>
      <c r="AW71" s="68"/>
      <c r="AX71" s="68"/>
      <c r="AY71" s="68">
        <f t="shared" si="79"/>
        <v>23.6418496175484</v>
      </c>
      <c r="AZ71" s="68">
        <f t="shared" si="80"/>
        <v>33.4464323611234</v>
      </c>
      <c r="BA71" s="71">
        <f t="shared" si="81"/>
        <v>0.0176949034358869</v>
      </c>
      <c r="BB71" s="71"/>
      <c r="BC71" s="65"/>
      <c r="BD71" s="65">
        <f t="shared" si="82"/>
        <v>0.0190909870673452</v>
      </c>
      <c r="BE71" s="65">
        <f t="shared" si="83"/>
        <v>1.00111361429762</v>
      </c>
      <c r="BF71" s="65">
        <f t="shared" si="84"/>
        <v>9.58868571778421</v>
      </c>
      <c r="BG71" s="69">
        <f t="shared" si="85"/>
        <v>0.00199320820663164</v>
      </c>
      <c r="BH71" s="69">
        <f t="shared" si="86"/>
        <v>7.68337753152634e-6</v>
      </c>
      <c r="BI71" s="72">
        <f t="shared" si="87"/>
        <v>22.0985356671708</v>
      </c>
      <c r="BJ71" s="72">
        <f t="shared" si="88"/>
        <v>1.41264042579753</v>
      </c>
      <c r="BK71" s="73">
        <f t="shared" si="89"/>
        <v>0.0435295082526308</v>
      </c>
      <c r="BL71" s="72">
        <f t="shared" si="90"/>
        <v>61.8922665781847</v>
      </c>
      <c r="BM71" s="74"/>
    </row>
    <row r="72" ht="25" customHeight="1" spans="1:65">
      <c r="A72" s="54">
        <v>143</v>
      </c>
      <c r="B72" s="55">
        <v>0.467989805422608</v>
      </c>
      <c r="C72" s="55">
        <v>-5.48642003216745</v>
      </c>
      <c r="D72" s="55"/>
      <c r="E72" s="55">
        <v>2.35684279807455</v>
      </c>
      <c r="F72" s="56">
        <v>0.8</v>
      </c>
      <c r="G72" s="57">
        <f t="shared" si="61"/>
        <v>0.000185725163902457</v>
      </c>
      <c r="H72" s="57">
        <f t="shared" si="62"/>
        <v>0.000125</v>
      </c>
      <c r="I72" s="58">
        <f t="shared" si="63"/>
        <v>0.0369856525377723</v>
      </c>
      <c r="J72" s="58"/>
      <c r="K72" s="58">
        <f t="shared" si="64"/>
        <v>6.03750604136776</v>
      </c>
      <c r="L72" s="57">
        <f t="shared" si="65"/>
        <v>0.00246106931636231</v>
      </c>
      <c r="M72" s="57">
        <f t="shared" si="66"/>
        <v>0.00725282832988903</v>
      </c>
      <c r="N72" s="57">
        <f t="shared" si="67"/>
        <v>0.161842599602204</v>
      </c>
      <c r="O72" s="59">
        <v>0.0302</v>
      </c>
      <c r="P72" s="60">
        <f t="shared" si="68"/>
        <v>0.0292</v>
      </c>
      <c r="Q72" s="61">
        <v>1000</v>
      </c>
      <c r="R72" s="59">
        <v>0.92922</v>
      </c>
      <c r="S72" s="59">
        <v>9.801</v>
      </c>
      <c r="T72" s="62">
        <v>4e-6</v>
      </c>
      <c r="U72" s="63">
        <v>1e-6</v>
      </c>
      <c r="V72" s="63">
        <f t="shared" si="69"/>
        <v>3.8e-6</v>
      </c>
      <c r="W72" s="64">
        <v>0.001147</v>
      </c>
      <c r="X72" s="64">
        <v>1.85e-5</v>
      </c>
      <c r="Y72" s="65"/>
      <c r="Z72" s="66">
        <f t="shared" si="70"/>
        <v>0.00235684279807455</v>
      </c>
      <c r="AA72" s="65">
        <f t="shared" si="71"/>
        <v>9.12408042708922</v>
      </c>
      <c r="AB72" s="65">
        <f t="shared" si="72"/>
        <v>34.1842813220638</v>
      </c>
      <c r="AC72" s="65">
        <f t="shared" si="73"/>
        <v>7.2108202465386</v>
      </c>
      <c r="AD72" s="67">
        <f t="shared" si="91"/>
        <v>4.74069248064716</v>
      </c>
      <c r="AE72" s="67">
        <f t="shared" si="92"/>
        <v>0.308080891205765</v>
      </c>
      <c r="AF72" s="67">
        <f t="shared" si="93"/>
        <v>0.0587862944340746</v>
      </c>
      <c r="AG72" s="67">
        <f t="shared" si="94"/>
        <v>0.354173747667851</v>
      </c>
      <c r="AH72" s="67">
        <f t="shared" si="95"/>
        <v>0.12226743296291</v>
      </c>
      <c r="AI72" s="67">
        <f t="shared" si="96"/>
        <v>0.89166623198209</v>
      </c>
      <c r="AJ72" s="67">
        <f t="shared" si="97"/>
        <v>0.293106079777782</v>
      </c>
      <c r="AK72" s="67">
        <f t="shared" si="98"/>
        <v>1.78162744422865</v>
      </c>
      <c r="AL72" s="67">
        <f t="shared" si="99"/>
        <v>0.0578908432739854</v>
      </c>
      <c r="AM72" s="67">
        <f t="shared" si="100"/>
        <v>0.359652080255293</v>
      </c>
      <c r="AN72" s="67">
        <f t="shared" si="101"/>
        <v>0.304828042736262</v>
      </c>
      <c r="AO72" s="67">
        <f t="shared" si="102"/>
        <v>0.221703614182965</v>
      </c>
      <c r="AP72" s="63">
        <f t="shared" si="74"/>
        <v>101.18698495624</v>
      </c>
      <c r="AQ72" s="68"/>
      <c r="AR72" s="69">
        <f t="shared" si="75"/>
        <v>730.545378036107</v>
      </c>
      <c r="AS72" s="69"/>
      <c r="AT72" s="69">
        <f t="shared" si="76"/>
        <v>0.0177743147953553</v>
      </c>
      <c r="AU72" s="69">
        <f t="shared" si="77"/>
        <v>6.93430514533912e-5</v>
      </c>
      <c r="AV72" s="65">
        <f t="shared" si="78"/>
        <v>0.020820562211222</v>
      </c>
      <c r="AW72" s="68"/>
      <c r="AX72" s="68"/>
      <c r="AY72" s="68">
        <f t="shared" si="79"/>
        <v>25.7550354552816</v>
      </c>
      <c r="AZ72" s="68">
        <f t="shared" si="80"/>
        <v>36.4359838696384</v>
      </c>
      <c r="BA72" s="71">
        <f t="shared" si="81"/>
        <v>0.017197076760441</v>
      </c>
      <c r="BB72" s="71"/>
      <c r="BC72" s="65"/>
      <c r="BD72" s="65">
        <f t="shared" si="82"/>
        <v>0.0324932372710778</v>
      </c>
      <c r="BE72" s="65">
        <f t="shared" si="83"/>
        <v>0.640766016556754</v>
      </c>
      <c r="BF72" s="65">
        <f t="shared" si="84"/>
        <v>17.2786901635604</v>
      </c>
      <c r="BG72" s="69">
        <f t="shared" si="85"/>
        <v>0.00120498498521208</v>
      </c>
      <c r="BH72" s="69">
        <f t="shared" si="86"/>
        <v>6.00514152102573e-6</v>
      </c>
      <c r="BI72" s="72">
        <f t="shared" si="87"/>
        <v>24.0737750567254</v>
      </c>
      <c r="BJ72" s="72">
        <f t="shared" si="88"/>
        <v>2.20706705073494</v>
      </c>
      <c r="BK72" s="73">
        <f t="shared" si="89"/>
        <v>0.0169188727846536</v>
      </c>
      <c r="BL72" s="72">
        <f t="shared" si="90"/>
        <v>48.605921815141</v>
      </c>
      <c r="BM72" s="74"/>
    </row>
    <row r="73" ht="25" customHeight="1" spans="1:65">
      <c r="A73" s="54">
        <v>144</v>
      </c>
      <c r="B73" s="55">
        <v>0.546589026734305</v>
      </c>
      <c r="C73" s="55">
        <v>10.8427850461297</v>
      </c>
      <c r="D73" s="55"/>
      <c r="E73" s="55">
        <v>2.31237383660544</v>
      </c>
      <c r="F73" s="56">
        <v>0.8</v>
      </c>
      <c r="G73" s="57">
        <f t="shared" si="61"/>
        <v>0.000185725163902457</v>
      </c>
      <c r="H73" s="57">
        <f t="shared" si="62"/>
        <v>0.000125</v>
      </c>
      <c r="I73" s="58">
        <f t="shared" si="63"/>
        <v>0.0440305862355871</v>
      </c>
      <c r="J73" s="58"/>
      <c r="K73" s="58">
        <f t="shared" si="64"/>
        <v>8.23618154092074</v>
      </c>
      <c r="L73" s="57">
        <f t="shared" si="65"/>
        <v>0.00243774099769384</v>
      </c>
      <c r="M73" s="57">
        <f t="shared" si="66"/>
        <v>0.00521672424947677</v>
      </c>
      <c r="N73" s="57">
        <f t="shared" si="67"/>
        <v>0.227174807454613</v>
      </c>
      <c r="O73" s="59">
        <v>0.0302</v>
      </c>
      <c r="P73" s="60">
        <f t="shared" si="68"/>
        <v>0.0292</v>
      </c>
      <c r="Q73" s="61">
        <v>1000</v>
      </c>
      <c r="R73" s="59">
        <v>0.92922</v>
      </c>
      <c r="S73" s="59">
        <v>9.801</v>
      </c>
      <c r="T73" s="62">
        <v>4e-6</v>
      </c>
      <c r="U73" s="63">
        <v>1e-6</v>
      </c>
      <c r="V73" s="63">
        <f t="shared" si="69"/>
        <v>3.8e-6</v>
      </c>
      <c r="W73" s="64">
        <v>0.001147</v>
      </c>
      <c r="X73" s="64">
        <v>1.85e-5</v>
      </c>
      <c r="Y73" s="65"/>
      <c r="Z73" s="66">
        <f t="shared" si="70"/>
        <v>0.00231237383660544</v>
      </c>
      <c r="AA73" s="65">
        <f t="shared" si="71"/>
        <v>13.1885608637286</v>
      </c>
      <c r="AB73" s="65">
        <f t="shared" si="72"/>
        <v>45.7512450044818</v>
      </c>
      <c r="AC73" s="65">
        <f t="shared" si="73"/>
        <v>6.94127948647555</v>
      </c>
      <c r="AD73" s="67">
        <f t="shared" si="91"/>
        <v>6.59118323842513</v>
      </c>
      <c r="AE73" s="67">
        <f t="shared" si="92"/>
        <v>0.302268014211342</v>
      </c>
      <c r="AF73" s="67">
        <f t="shared" si="93"/>
        <v>0.0426258924707285</v>
      </c>
      <c r="AG73" s="67">
        <f t="shared" si="94"/>
        <v>0.474690033906364</v>
      </c>
      <c r="AH73" s="67">
        <f t="shared" si="95"/>
        <v>0.124441741227009</v>
      </c>
      <c r="AI73" s="67">
        <f t="shared" si="96"/>
        <v>0.861551157341912</v>
      </c>
      <c r="AJ73" s="67">
        <f t="shared" si="97"/>
        <v>0.217730756807319</v>
      </c>
      <c r="AK73" s="67">
        <f t="shared" si="98"/>
        <v>-26.9739435501636</v>
      </c>
      <c r="AL73" s="67">
        <f t="shared" si="99"/>
        <v>-0.618505058759746</v>
      </c>
      <c r="AM73" s="67">
        <f t="shared" si="100"/>
        <v>-0.0327145041995185</v>
      </c>
      <c r="AN73" s="67">
        <f t="shared" si="101"/>
        <v>0.210920248808351</v>
      </c>
      <c r="AO73" s="67">
        <f t="shared" si="102"/>
        <v>0.317375304844022</v>
      </c>
      <c r="AP73" s="63">
        <f t="shared" si="74"/>
        <v>118.181411185796</v>
      </c>
      <c r="AQ73" s="68"/>
      <c r="AR73" s="69">
        <f t="shared" si="75"/>
        <v>535.547708596937</v>
      </c>
      <c r="AS73" s="69"/>
      <c r="AT73" s="69">
        <f t="shared" si="76"/>
        <v>0.0207595236312665</v>
      </c>
      <c r="AU73" s="69">
        <f t="shared" si="77"/>
        <v>7.00066399163488e-5</v>
      </c>
      <c r="AV73" s="65">
        <f t="shared" si="78"/>
        <v>0.0202340863422192</v>
      </c>
      <c r="AW73" s="68"/>
      <c r="AX73" s="68"/>
      <c r="AY73" s="68">
        <f t="shared" si="79"/>
        <v>25.0295648053251</v>
      </c>
      <c r="AZ73" s="68">
        <f t="shared" si="80"/>
        <v>35.4096510988835</v>
      </c>
      <c r="BA73" s="71">
        <f t="shared" si="81"/>
        <v>0.0173616466992545</v>
      </c>
      <c r="BB73" s="71"/>
      <c r="BC73" s="65"/>
      <c r="BD73" s="65">
        <f t="shared" si="82"/>
        <v>0.0229297231830233</v>
      </c>
      <c r="BE73" s="65">
        <f t="shared" si="83"/>
        <v>0.882439189549401</v>
      </c>
      <c r="BF73" s="65">
        <f t="shared" si="84"/>
        <v>11.963109500512</v>
      </c>
      <c r="BG73" s="69">
        <f t="shared" si="85"/>
        <v>0.00169137349627646</v>
      </c>
      <c r="BH73" s="69">
        <f t="shared" si="86"/>
        <v>7.73667888342094e-6</v>
      </c>
      <c r="BI73" s="72">
        <f t="shared" si="87"/>
        <v>23.3956623331909</v>
      </c>
      <c r="BJ73" s="72">
        <f t="shared" si="88"/>
        <v>1.6026187176651</v>
      </c>
      <c r="BK73" s="73">
        <f t="shared" si="89"/>
        <v>0.02442427581893</v>
      </c>
      <c r="BL73" s="72">
        <f t="shared" si="90"/>
        <v>59.6338039774329</v>
      </c>
      <c r="BM73" s="74"/>
    </row>
    <row r="74" ht="25" customHeight="1" spans="1:65">
      <c r="A74" s="54">
        <v>145</v>
      </c>
      <c r="B74" s="55">
        <v>0.553938521007652</v>
      </c>
      <c r="C74" s="55">
        <v>-4.89294991988664</v>
      </c>
      <c r="D74" s="55"/>
      <c r="E74" s="55">
        <v>2.32679997098468</v>
      </c>
      <c r="F74" s="56">
        <v>0.7</v>
      </c>
      <c r="G74" s="57">
        <f t="shared" si="61"/>
        <v>0.000185725163902457</v>
      </c>
      <c r="H74" s="57">
        <f t="shared" si="62"/>
        <v>0.000125</v>
      </c>
      <c r="I74" s="58">
        <f t="shared" si="63"/>
        <v>0.044345157884813</v>
      </c>
      <c r="J74" s="58"/>
      <c r="K74" s="58">
        <f t="shared" si="64"/>
        <v>8.45903624687556</v>
      </c>
      <c r="L74" s="57">
        <f t="shared" si="65"/>
        <v>0.00244533330391866</v>
      </c>
      <c r="M74" s="57">
        <f t="shared" si="66"/>
        <v>0.00539085115886867</v>
      </c>
      <c r="N74" s="57">
        <f t="shared" si="67"/>
        <v>0.219150837828526</v>
      </c>
      <c r="O74" s="59">
        <v>0.0302</v>
      </c>
      <c r="P74" s="60">
        <f t="shared" si="68"/>
        <v>0.0287</v>
      </c>
      <c r="Q74" s="61">
        <v>1000</v>
      </c>
      <c r="R74" s="59">
        <v>0.81304</v>
      </c>
      <c r="S74" s="59">
        <v>9.801</v>
      </c>
      <c r="T74" s="62">
        <v>4e-6</v>
      </c>
      <c r="U74" s="63">
        <v>1e-6</v>
      </c>
      <c r="V74" s="63">
        <f t="shared" si="69"/>
        <v>3.7e-6</v>
      </c>
      <c r="W74" s="64">
        <v>0.001147</v>
      </c>
      <c r="X74" s="64">
        <v>1.85e-5</v>
      </c>
      <c r="Y74" s="65"/>
      <c r="Z74" s="66">
        <f t="shared" si="70"/>
        <v>0.00232679997098468</v>
      </c>
      <c r="AA74" s="65">
        <f t="shared" si="71"/>
        <v>13.6008096358891</v>
      </c>
      <c r="AB74" s="65">
        <f t="shared" si="72"/>
        <v>47.2830231818111</v>
      </c>
      <c r="AC74" s="65">
        <f t="shared" si="73"/>
        <v>7.02815833468254</v>
      </c>
      <c r="AD74" s="67">
        <f t="shared" si="91"/>
        <v>6.72765480374552</v>
      </c>
      <c r="AE74" s="67">
        <f t="shared" si="92"/>
        <v>0.320816680452447</v>
      </c>
      <c r="AF74" s="67">
        <f t="shared" si="93"/>
        <v>0.0443873827906381</v>
      </c>
      <c r="AG74" s="67">
        <f t="shared" si="94"/>
        <v>0.460124718306231</v>
      </c>
      <c r="AH74" s="67">
        <f t="shared" si="95"/>
        <v>0.118515309604947</v>
      </c>
      <c r="AI74" s="67">
        <f t="shared" si="96"/>
        <v>0.859994694222886</v>
      </c>
      <c r="AJ74" s="67">
        <f t="shared" si="97"/>
        <v>0.213681113157897</v>
      </c>
      <c r="AK74" s="67">
        <f t="shared" si="98"/>
        <v>1.91768340563317</v>
      </c>
      <c r="AL74" s="67">
        <f t="shared" si="99"/>
        <v>0.0457235725004394</v>
      </c>
      <c r="AM74" s="67">
        <f t="shared" si="100"/>
        <v>0.446678395540877</v>
      </c>
      <c r="AN74" s="67">
        <f t="shared" si="101"/>
        <v>0.205589207598678</v>
      </c>
      <c r="AO74" s="67">
        <f t="shared" si="102"/>
        <v>0.309654823677062</v>
      </c>
      <c r="AP74" s="63">
        <f t="shared" si="74"/>
        <v>119.770491028682</v>
      </c>
      <c r="AQ74" s="68"/>
      <c r="AR74" s="69">
        <f t="shared" si="75"/>
        <v>456.252126275479</v>
      </c>
      <c r="AS74" s="69"/>
      <c r="AT74" s="69">
        <f t="shared" si="76"/>
        <v>0.0210386583972112</v>
      </c>
      <c r="AU74" s="69">
        <f t="shared" si="77"/>
        <v>6.97892822877738e-5</v>
      </c>
      <c r="AV74" s="65">
        <f t="shared" si="78"/>
        <v>0.0204237320028932</v>
      </c>
      <c r="AW74" s="68"/>
      <c r="AX74" s="68"/>
      <c r="AY74" s="68">
        <f t="shared" si="79"/>
        <v>25.2641564875789</v>
      </c>
      <c r="AZ74" s="68">
        <f t="shared" si="80"/>
        <v>35.7415310050631</v>
      </c>
      <c r="BA74" s="71">
        <f t="shared" si="81"/>
        <v>0.0173077420073679</v>
      </c>
      <c r="BB74" s="71"/>
      <c r="BC74" s="65"/>
      <c r="BD74" s="65">
        <f t="shared" si="82"/>
        <v>0.0238431288324898</v>
      </c>
      <c r="BE74" s="65">
        <f t="shared" si="83"/>
        <v>0.856587746783587</v>
      </c>
      <c r="BF74" s="65">
        <f t="shared" si="84"/>
        <v>11.8671318953321</v>
      </c>
      <c r="BG74" s="69">
        <f t="shared" si="85"/>
        <v>0.00172103353894017</v>
      </c>
      <c r="BH74" s="69">
        <f t="shared" si="86"/>
        <v>8.09578371293021e-6</v>
      </c>
      <c r="BI74" s="72">
        <f t="shared" si="87"/>
        <v>23.6149401283453</v>
      </c>
      <c r="BJ74" s="72">
        <f t="shared" si="88"/>
        <v>1.65098504815571</v>
      </c>
      <c r="BK74" s="73">
        <f t="shared" si="89"/>
        <v>0.0199581851398608</v>
      </c>
      <c r="BL74" s="72">
        <f t="shared" si="90"/>
        <v>61.3393398511762</v>
      </c>
      <c r="BM74" s="74"/>
    </row>
    <row r="75" ht="25" customHeight="1" spans="1:65">
      <c r="A75" s="54">
        <v>147</v>
      </c>
      <c r="B75" s="55">
        <v>0.558495514734386</v>
      </c>
      <c r="C75" s="55">
        <v>-2.2338673807513</v>
      </c>
      <c r="D75" s="55"/>
      <c r="E75" s="55">
        <v>2.21933604712648</v>
      </c>
      <c r="F75" s="56">
        <v>0.7</v>
      </c>
      <c r="G75" s="57">
        <f t="shared" si="61"/>
        <v>0.000185725163902457</v>
      </c>
      <c r="H75" s="57">
        <f t="shared" si="62"/>
        <v>0.000125</v>
      </c>
      <c r="I75" s="58">
        <f t="shared" si="63"/>
        <v>0.0468815281294031</v>
      </c>
      <c r="J75" s="58"/>
      <c r="K75" s="58">
        <f t="shared" si="64"/>
        <v>8.59976034947615</v>
      </c>
      <c r="L75" s="57">
        <f t="shared" si="65"/>
        <v>0.00238819657648924</v>
      </c>
      <c r="M75" s="57">
        <f t="shared" si="66"/>
        <v>0.00505866511725923</v>
      </c>
      <c r="N75" s="57">
        <f t="shared" si="67"/>
        <v>0.239159381748801</v>
      </c>
      <c r="O75" s="59">
        <v>0.0302</v>
      </c>
      <c r="P75" s="60">
        <f t="shared" si="68"/>
        <v>0.0287</v>
      </c>
      <c r="Q75" s="61">
        <v>1000</v>
      </c>
      <c r="R75" s="59">
        <v>0.81304</v>
      </c>
      <c r="S75" s="59">
        <v>9.801</v>
      </c>
      <c r="T75" s="62">
        <v>4e-6</v>
      </c>
      <c r="U75" s="63">
        <v>1e-6</v>
      </c>
      <c r="V75" s="63">
        <f t="shared" si="69"/>
        <v>3.7e-6</v>
      </c>
      <c r="W75" s="64">
        <v>0.001147</v>
      </c>
      <c r="X75" s="64">
        <v>1.85e-5</v>
      </c>
      <c r="Y75" s="65"/>
      <c r="Z75" s="66">
        <f t="shared" si="70"/>
        <v>0.00221933604712648</v>
      </c>
      <c r="AA75" s="65">
        <f t="shared" si="71"/>
        <v>13.859186543243</v>
      </c>
      <c r="AB75" s="65">
        <f t="shared" si="72"/>
        <v>45.8443161857168</v>
      </c>
      <c r="AC75" s="65">
        <f t="shared" si="73"/>
        <v>6.39395494771192</v>
      </c>
      <c r="AD75" s="67">
        <f t="shared" si="91"/>
        <v>7.16994670131703</v>
      </c>
      <c r="AE75" s="67">
        <f t="shared" si="92"/>
        <v>0.30599967007317</v>
      </c>
      <c r="AF75" s="67">
        <f t="shared" si="93"/>
        <v>0.0398959317436489</v>
      </c>
      <c r="AG75" s="67">
        <f t="shared" si="94"/>
        <v>0.476872761925731</v>
      </c>
      <c r="AH75" s="67">
        <f t="shared" si="95"/>
        <v>0.116242180494962</v>
      </c>
      <c r="AI75" s="67">
        <f t="shared" si="96"/>
        <v>0.85536177559898</v>
      </c>
      <c r="AJ75" s="67">
        <f t="shared" si="97"/>
        <v>0.201534586177563</v>
      </c>
      <c r="AK75" s="67">
        <f t="shared" si="98"/>
        <v>2.35351172109959</v>
      </c>
      <c r="AL75" s="67">
        <f t="shared" si="99"/>
        <v>0.0502216990007419</v>
      </c>
      <c r="AM75" s="67">
        <f t="shared" si="100"/>
        <v>0.378825956483736</v>
      </c>
      <c r="AN75" s="67">
        <f t="shared" si="101"/>
        <v>0.191405564456784</v>
      </c>
      <c r="AO75" s="67">
        <f t="shared" si="102"/>
        <v>0.3248296108145</v>
      </c>
      <c r="AP75" s="63">
        <f t="shared" si="74"/>
        <v>120.755786969597</v>
      </c>
      <c r="AQ75" s="68"/>
      <c r="AR75" s="69">
        <f t="shared" si="75"/>
        <v>448.83700564189</v>
      </c>
      <c r="AS75" s="69"/>
      <c r="AT75" s="69">
        <f t="shared" si="76"/>
        <v>0.0212117336225278</v>
      </c>
      <c r="AU75" s="69">
        <f t="shared" si="77"/>
        <v>7.14589652773681e-5</v>
      </c>
      <c r="AV75" s="65">
        <f t="shared" si="78"/>
        <v>0.0190252831601943</v>
      </c>
      <c r="AW75" s="68"/>
      <c r="AX75" s="68"/>
      <c r="AY75" s="68">
        <f t="shared" si="79"/>
        <v>23.5342752691604</v>
      </c>
      <c r="AZ75" s="68">
        <f t="shared" si="80"/>
        <v>33.29424553034</v>
      </c>
      <c r="BA75" s="71">
        <f t="shared" si="81"/>
        <v>0.0177218233887873</v>
      </c>
      <c r="BB75" s="71"/>
      <c r="BC75" s="65"/>
      <c r="BD75" s="65">
        <f t="shared" si="82"/>
        <v>0.0213390477517051</v>
      </c>
      <c r="BE75" s="65">
        <f t="shared" si="83"/>
        <v>0.891571328841235</v>
      </c>
      <c r="BF75" s="65">
        <f t="shared" si="84"/>
        <v>10.1302829667046</v>
      </c>
      <c r="BG75" s="69">
        <f t="shared" si="85"/>
        <v>0.00187806038811799</v>
      </c>
      <c r="BH75" s="69">
        <f t="shared" si="86"/>
        <v>7.14113419619735e-6</v>
      </c>
      <c r="BI75" s="72">
        <f t="shared" si="87"/>
        <v>21.9979836539747</v>
      </c>
      <c r="BJ75" s="72">
        <f t="shared" si="88"/>
        <v>1.58620350007344</v>
      </c>
      <c r="BK75" s="73">
        <f t="shared" si="89"/>
        <v>0.0482522216192498</v>
      </c>
      <c r="BL75" s="72">
        <f t="shared" si="90"/>
        <v>58.6322260811406</v>
      </c>
      <c r="BM75" s="74"/>
    </row>
    <row r="76" ht="25" customHeight="1" spans="1:65">
      <c r="A76" s="54">
        <v>149</v>
      </c>
      <c r="B76" s="55">
        <v>0.661877062658691</v>
      </c>
      <c r="C76" s="55">
        <v>1.05910901428212</v>
      </c>
      <c r="D76" s="55"/>
      <c r="E76" s="55">
        <v>2.24001614289212</v>
      </c>
      <c r="F76" s="56">
        <v>0.6</v>
      </c>
      <c r="G76" s="57">
        <f t="shared" si="61"/>
        <v>0.000185725163902457</v>
      </c>
      <c r="H76" s="57">
        <f t="shared" si="62"/>
        <v>0.000125</v>
      </c>
      <c r="I76" s="58">
        <f t="shared" si="63"/>
        <v>0.0550451472419843</v>
      </c>
      <c r="J76" s="58"/>
      <c r="K76" s="58">
        <f t="shared" si="64"/>
        <v>12.0779101337151</v>
      </c>
      <c r="L76" s="57">
        <f t="shared" si="65"/>
        <v>0.00239929755767059</v>
      </c>
      <c r="M76" s="57">
        <f t="shared" si="66"/>
        <v>0.00384008657429291</v>
      </c>
      <c r="N76" s="57">
        <f t="shared" si="67"/>
        <v>0.313586476719952</v>
      </c>
      <c r="O76" s="59">
        <v>0.0302</v>
      </c>
      <c r="P76" s="60">
        <f t="shared" si="68"/>
        <v>0.0282</v>
      </c>
      <c r="Q76" s="61">
        <v>1000</v>
      </c>
      <c r="R76" s="59">
        <v>0.69687</v>
      </c>
      <c r="S76" s="59">
        <v>9.801</v>
      </c>
      <c r="T76" s="62">
        <v>4e-6</v>
      </c>
      <c r="U76" s="63">
        <v>1e-6</v>
      </c>
      <c r="V76" s="63">
        <f t="shared" si="69"/>
        <v>3.6e-6</v>
      </c>
      <c r="W76" s="64">
        <v>0.001147</v>
      </c>
      <c r="X76" s="64">
        <v>1.85e-5</v>
      </c>
      <c r="Y76" s="65"/>
      <c r="Z76" s="66">
        <f t="shared" si="70"/>
        <v>0.00224001614289212</v>
      </c>
      <c r="AA76" s="65">
        <f t="shared" si="71"/>
        <v>20.2895640200661</v>
      </c>
      <c r="AB76" s="65">
        <f t="shared" si="72"/>
        <v>64.987355172409</v>
      </c>
      <c r="AC76" s="65">
        <f t="shared" si="73"/>
        <v>6.51366972349799</v>
      </c>
      <c r="AD76" s="67">
        <f t="shared" si="91"/>
        <v>9.97707251535456</v>
      </c>
      <c r="AE76" s="67">
        <f t="shared" si="92"/>
        <v>0.326247720403815</v>
      </c>
      <c r="AF76" s="67">
        <f t="shared" si="93"/>
        <v>0.0311392061022472</v>
      </c>
      <c r="AG76" s="67">
        <f t="shared" si="94"/>
        <v>0.61953481212975</v>
      </c>
      <c r="AH76" s="67">
        <f t="shared" si="95"/>
        <v>0.112620885965968</v>
      </c>
      <c r="AI76" s="67">
        <f t="shared" si="96"/>
        <v>0.835597355030879</v>
      </c>
      <c r="AJ76" s="67">
        <f t="shared" si="97"/>
        <v>0.14812359821192</v>
      </c>
      <c r="AK76" s="67">
        <f t="shared" si="98"/>
        <v>3.31381110998883</v>
      </c>
      <c r="AL76" s="67">
        <f t="shared" si="99"/>
        <v>0.0541803880255887</v>
      </c>
      <c r="AM76" s="67">
        <f t="shared" si="100"/>
        <v>0.356066519739837</v>
      </c>
      <c r="AN76" s="67">
        <f t="shared" si="101"/>
        <v>0.125512239256768</v>
      </c>
      <c r="AO76" s="67">
        <f t="shared" si="102"/>
        <v>0.471128836524072</v>
      </c>
      <c r="AP76" s="63">
        <f t="shared" si="74"/>
        <v>143.108554088366</v>
      </c>
      <c r="AQ76" s="68"/>
      <c r="AR76" s="69">
        <f t="shared" si="75"/>
        <v>273.921792077383</v>
      </c>
      <c r="AS76" s="69"/>
      <c r="AT76" s="69">
        <f t="shared" si="76"/>
        <v>0.0251381785056132</v>
      </c>
      <c r="AU76" s="69">
        <f t="shared" si="77"/>
        <v>7.1128341580342e-5</v>
      </c>
      <c r="AV76" s="65">
        <f t="shared" si="78"/>
        <v>0.0192918222024253</v>
      </c>
      <c r="AW76" s="68"/>
      <c r="AX76" s="68"/>
      <c r="AY76" s="68">
        <f t="shared" si="79"/>
        <v>23.8639840644001</v>
      </c>
      <c r="AZ76" s="68">
        <f t="shared" si="80"/>
        <v>33.7606888542443</v>
      </c>
      <c r="BA76" s="71">
        <f t="shared" si="81"/>
        <v>0.0176398287119248</v>
      </c>
      <c r="BB76" s="71"/>
      <c r="BC76" s="65"/>
      <c r="BD76" s="65">
        <f t="shared" si="82"/>
        <v>0.0163498721644914</v>
      </c>
      <c r="BE76" s="65">
        <f t="shared" si="83"/>
        <v>1.17993718900893</v>
      </c>
      <c r="BF76" s="65">
        <f t="shared" si="84"/>
        <v>7.41635546049336</v>
      </c>
      <c r="BG76" s="69">
        <f t="shared" si="85"/>
        <v>0.00260125371622114</v>
      </c>
      <c r="BH76" s="69">
        <f t="shared" si="86"/>
        <v>1.03125654955109e-5</v>
      </c>
      <c r="BI76" s="72">
        <f t="shared" si="87"/>
        <v>22.3061694215543</v>
      </c>
      <c r="BJ76" s="72">
        <f t="shared" si="88"/>
        <v>1.19854986820183</v>
      </c>
      <c r="BK76" s="73">
        <f t="shared" si="89"/>
        <v>0.0303545289352154</v>
      </c>
      <c r="BL76" s="72">
        <f t="shared" si="90"/>
        <v>78.014694619405</v>
      </c>
      <c r="BM76" s="78" t="s">
        <v>118</v>
      </c>
    </row>
    <row r="77" ht="25" customHeight="1" spans="1:65">
      <c r="A77" s="54">
        <v>150</v>
      </c>
      <c r="B77" s="55">
        <v>0.676330373331635</v>
      </c>
      <c r="C77" s="55">
        <v>-1.28694609607789</v>
      </c>
      <c r="D77" s="55"/>
      <c r="E77" s="55">
        <v>2.26002564660153</v>
      </c>
      <c r="F77" s="56">
        <v>0.6</v>
      </c>
      <c r="G77" s="57">
        <f t="shared" si="61"/>
        <v>0.000185725163902457</v>
      </c>
      <c r="H77" s="57">
        <f t="shared" si="62"/>
        <v>0.000125</v>
      </c>
      <c r="I77" s="58">
        <f t="shared" si="63"/>
        <v>0.0557476685015452</v>
      </c>
      <c r="J77" s="58"/>
      <c r="K77" s="58">
        <f t="shared" si="64"/>
        <v>12.6108850735961</v>
      </c>
      <c r="L77" s="57">
        <f t="shared" si="65"/>
        <v>0.00240998989513018</v>
      </c>
      <c r="M77" s="57">
        <f t="shared" si="66"/>
        <v>0.00371051559079869</v>
      </c>
      <c r="N77" s="57">
        <f t="shared" si="67"/>
        <v>0.323089278840409</v>
      </c>
      <c r="O77" s="59">
        <v>0.0302</v>
      </c>
      <c r="P77" s="60">
        <f t="shared" si="68"/>
        <v>0.0282</v>
      </c>
      <c r="Q77" s="61">
        <v>1000</v>
      </c>
      <c r="R77" s="59">
        <v>0.69687</v>
      </c>
      <c r="S77" s="59">
        <v>9.801</v>
      </c>
      <c r="T77" s="62">
        <v>4e-6</v>
      </c>
      <c r="U77" s="63">
        <v>1e-6</v>
      </c>
      <c r="V77" s="63">
        <f t="shared" si="69"/>
        <v>3.6e-6</v>
      </c>
      <c r="W77" s="64">
        <v>0.001147</v>
      </c>
      <c r="X77" s="64">
        <v>1.85e-5</v>
      </c>
      <c r="Y77" s="65"/>
      <c r="Z77" s="66">
        <f t="shared" si="70"/>
        <v>0.00226002564660153</v>
      </c>
      <c r="AA77" s="65">
        <f t="shared" si="71"/>
        <v>21.2753707385784</v>
      </c>
      <c r="AB77" s="65">
        <f t="shared" si="72"/>
        <v>68.4627284988786</v>
      </c>
      <c r="AC77" s="65">
        <f t="shared" si="73"/>
        <v>6.63055943897094</v>
      </c>
      <c r="AD77" s="67">
        <f t="shared" si="91"/>
        <v>10.325332142638</v>
      </c>
      <c r="AE77" s="67">
        <f t="shared" si="92"/>
        <v>0.329162009656739</v>
      </c>
      <c r="AF77" s="67">
        <f t="shared" si="93"/>
        <v>0.0304066429851385</v>
      </c>
      <c r="AG77" s="67">
        <f t="shared" si="94"/>
        <v>0.642980948299788</v>
      </c>
      <c r="AH77" s="67">
        <f t="shared" si="95"/>
        <v>0.113305155421149</v>
      </c>
      <c r="AI77" s="67">
        <f t="shared" si="96"/>
        <v>0.833898778962986</v>
      </c>
      <c r="AJ77" s="67">
        <f t="shared" si="97"/>
        <v>0.143410014139817</v>
      </c>
      <c r="AK77" s="67">
        <f t="shared" si="98"/>
        <v>2.61774684467149</v>
      </c>
      <c r="AL77" s="67">
        <f t="shared" si="99"/>
        <v>0.0417256704317751</v>
      </c>
      <c r="AM77" s="67">
        <f t="shared" si="100"/>
        <v>0.468557891074867</v>
      </c>
      <c r="AN77" s="67">
        <f t="shared" si="101"/>
        <v>0.0758535401961637</v>
      </c>
      <c r="AO77" s="67">
        <f t="shared" si="102"/>
        <v>0.783034721106102</v>
      </c>
      <c r="AP77" s="63">
        <f t="shared" si="74"/>
        <v>146.233594233867</v>
      </c>
      <c r="AQ77" s="68"/>
      <c r="AR77" s="69">
        <f t="shared" si="75"/>
        <v>262.339364914566</v>
      </c>
      <c r="AS77" s="69"/>
      <c r="AT77" s="69">
        <f t="shared" si="76"/>
        <v>0.0256871171593174</v>
      </c>
      <c r="AU77" s="69">
        <f t="shared" si="77"/>
        <v>7.08127683770454e-5</v>
      </c>
      <c r="AV77" s="65">
        <f t="shared" si="78"/>
        <v>0.0195508921411975</v>
      </c>
      <c r="AW77" s="68"/>
      <c r="AX77" s="68"/>
      <c r="AY77" s="68">
        <f t="shared" si="79"/>
        <v>24.1844535786613</v>
      </c>
      <c r="AZ77" s="68">
        <f t="shared" si="80"/>
        <v>34.2140612470956</v>
      </c>
      <c r="BA77" s="71">
        <f t="shared" si="81"/>
        <v>0.0175615665575073</v>
      </c>
      <c r="BB77" s="71"/>
      <c r="BC77" s="65"/>
      <c r="BD77" s="65">
        <f t="shared" si="82"/>
        <v>0.0159395361383814</v>
      </c>
      <c r="BE77" s="65">
        <f t="shared" si="83"/>
        <v>1.22656594090716</v>
      </c>
      <c r="BF77" s="65">
        <f t="shared" si="84"/>
        <v>7.29481149470395</v>
      </c>
      <c r="BG77" s="69">
        <f t="shared" si="85"/>
        <v>0.00268010930171279</v>
      </c>
      <c r="BH77" s="69">
        <f t="shared" si="86"/>
        <v>1.10590163310074e-5</v>
      </c>
      <c r="BI77" s="72">
        <f t="shared" si="87"/>
        <v>22.6057190382596</v>
      </c>
      <c r="BJ77" s="72">
        <f t="shared" si="88"/>
        <v>1.15298616666883</v>
      </c>
      <c r="BK77" s="73">
        <f t="shared" si="89"/>
        <v>0.0253989456772323</v>
      </c>
      <c r="BL77" s="72">
        <f t="shared" si="90"/>
        <v>81.7238473768205</v>
      </c>
      <c r="BM77" s="78" t="s">
        <v>118</v>
      </c>
    </row>
    <row r="78" ht="25" customHeight="1" spans="1:65">
      <c r="A78" s="54">
        <v>151</v>
      </c>
      <c r="B78" s="55">
        <v>0.689011936876248</v>
      </c>
      <c r="C78" s="55">
        <v>4.31851292358718</v>
      </c>
      <c r="D78" s="55"/>
      <c r="E78" s="55">
        <v>2.19871148865214</v>
      </c>
      <c r="F78" s="56">
        <v>0.5</v>
      </c>
      <c r="G78" s="57">
        <f t="shared" si="61"/>
        <v>0.000185725163902457</v>
      </c>
      <c r="H78" s="57">
        <f t="shared" si="62"/>
        <v>0.000125</v>
      </c>
      <c r="I78" s="58">
        <f t="shared" si="63"/>
        <v>0.058381616432985</v>
      </c>
      <c r="J78" s="58"/>
      <c r="K78" s="58">
        <f t="shared" si="64"/>
        <v>13.0891202125671</v>
      </c>
      <c r="L78" s="57">
        <f t="shared" si="65"/>
        <v>0.00237707377488173</v>
      </c>
      <c r="M78" s="57">
        <f t="shared" si="66"/>
        <v>0.00367993895031618</v>
      </c>
      <c r="N78" s="57">
        <f t="shared" si="67"/>
        <v>0.330309675504058</v>
      </c>
      <c r="O78" s="59">
        <v>0.0302</v>
      </c>
      <c r="P78" s="60">
        <f t="shared" si="68"/>
        <v>0.0277</v>
      </c>
      <c r="Q78" s="61">
        <v>1000</v>
      </c>
      <c r="R78" s="59">
        <v>0.58071</v>
      </c>
      <c r="S78" s="59">
        <v>9.801</v>
      </c>
      <c r="T78" s="62">
        <v>4e-6</v>
      </c>
      <c r="U78" s="63">
        <v>1e-6</v>
      </c>
      <c r="V78" s="63">
        <f t="shared" si="69"/>
        <v>3.5e-6</v>
      </c>
      <c r="W78" s="64">
        <v>0.001147</v>
      </c>
      <c r="X78" s="64">
        <v>1.85e-5</v>
      </c>
      <c r="Y78" s="65"/>
      <c r="Z78" s="66">
        <f t="shared" si="70"/>
        <v>0.00219871148865214</v>
      </c>
      <c r="AA78" s="65">
        <f t="shared" si="71"/>
        <v>22.1578720263995</v>
      </c>
      <c r="AB78" s="65">
        <f t="shared" si="72"/>
        <v>69.1265353349016</v>
      </c>
      <c r="AC78" s="65">
        <f t="shared" si="73"/>
        <v>6.27566754880175</v>
      </c>
      <c r="AD78" s="67">
        <f t="shared" si="91"/>
        <v>11.0150091280887</v>
      </c>
      <c r="AE78" s="67">
        <f t="shared" si="92"/>
        <v>0.338792272675754</v>
      </c>
      <c r="AF78" s="67">
        <f t="shared" si="93"/>
        <v>0.0294217980122424</v>
      </c>
      <c r="AG78" s="67">
        <f t="shared" si="94"/>
        <v>0.637646070117538</v>
      </c>
      <c r="AH78" s="67">
        <f t="shared" si="95"/>
        <v>0.105941464292233</v>
      </c>
      <c r="AI78" s="67">
        <f t="shared" si="96"/>
        <v>0.830853358555074</v>
      </c>
      <c r="AJ78" s="67">
        <f t="shared" si="97"/>
        <v>0.134908873459713</v>
      </c>
      <c r="AK78" s="67">
        <f t="shared" si="98"/>
        <v>5.3135289853481</v>
      </c>
      <c r="AL78" s="67">
        <f t="shared" si="99"/>
        <v>0.0817149827086405</v>
      </c>
      <c r="AM78" s="67">
        <f t="shared" si="100"/>
        <v>0.22958695280143</v>
      </c>
      <c r="AN78" s="67">
        <f t="shared" si="101"/>
        <v>-0.11867924632282</v>
      </c>
      <c r="AO78" s="67">
        <f t="shared" si="102"/>
        <v>-0.466595580800225</v>
      </c>
      <c r="AP78" s="63">
        <f t="shared" si="74"/>
        <v>148.975553919189</v>
      </c>
      <c r="AQ78" s="68"/>
      <c r="AR78" s="69">
        <f t="shared" si="75"/>
        <v>210.642746169214</v>
      </c>
      <c r="AS78" s="69"/>
      <c r="AT78" s="69">
        <f t="shared" si="76"/>
        <v>0.0261687646224191</v>
      </c>
      <c r="AU78" s="69">
        <f t="shared" si="77"/>
        <v>7.17933360075728e-5</v>
      </c>
      <c r="AV78" s="65">
        <f t="shared" si="78"/>
        <v>0.0187606938782983</v>
      </c>
      <c r="AW78" s="68"/>
      <c r="AX78" s="68"/>
      <c r="AY78" s="68">
        <f t="shared" si="79"/>
        <v>23.206978327455</v>
      </c>
      <c r="AZ78" s="68">
        <f t="shared" si="80"/>
        <v>32.8312142870221</v>
      </c>
      <c r="BA78" s="71">
        <f t="shared" si="81"/>
        <v>0.0178047473298781</v>
      </c>
      <c r="BB78" s="71"/>
      <c r="BC78" s="65"/>
      <c r="BD78" s="65">
        <f t="shared" si="82"/>
        <v>0.0153786650894287</v>
      </c>
      <c r="BE78" s="65">
        <f t="shared" si="83"/>
        <v>1.21991692836815</v>
      </c>
      <c r="BF78" s="65">
        <f t="shared" si="84"/>
        <v>6.47206692578424</v>
      </c>
      <c r="BG78" s="69">
        <f t="shared" si="85"/>
        <v>0.00289871753389278</v>
      </c>
      <c r="BH78" s="69">
        <f t="shared" si="86"/>
        <v>1.05685849503558e-5</v>
      </c>
      <c r="BI78" s="72">
        <f t="shared" si="87"/>
        <v>21.6920522967825</v>
      </c>
      <c r="BJ78" s="72">
        <f t="shared" si="88"/>
        <v>1.15927038102902</v>
      </c>
      <c r="BK78" s="73">
        <f t="shared" si="89"/>
        <v>0.0354229369450283</v>
      </c>
      <c r="BL78" s="72">
        <f t="shared" si="90"/>
        <v>81.6778704325052</v>
      </c>
      <c r="BM78" s="78" t="s">
        <v>118</v>
      </c>
    </row>
    <row r="79" ht="25" customHeight="1" spans="1:65">
      <c r="A79" s="54">
        <v>152</v>
      </c>
      <c r="B79" s="55">
        <v>0.675403616338839</v>
      </c>
      <c r="C79" s="55">
        <v>-0.414813564549938</v>
      </c>
      <c r="D79" s="55"/>
      <c r="E79" s="55">
        <v>2.082789694128</v>
      </c>
      <c r="F79" s="56">
        <v>0.5</v>
      </c>
      <c r="G79" s="57">
        <f t="shared" si="61"/>
        <v>0.000185725163902457</v>
      </c>
      <c r="H79" s="57">
        <f t="shared" si="62"/>
        <v>0.000125</v>
      </c>
      <c r="I79" s="58">
        <f t="shared" si="63"/>
        <v>0.0604241144335804</v>
      </c>
      <c r="J79" s="58"/>
      <c r="K79" s="58">
        <f t="shared" si="64"/>
        <v>12.5789264529534</v>
      </c>
      <c r="L79" s="57">
        <f t="shared" si="65"/>
        <v>0.00231356256182942</v>
      </c>
      <c r="M79" s="57">
        <f t="shared" si="66"/>
        <v>0.00362812293884566</v>
      </c>
      <c r="N79" s="57">
        <f t="shared" si="67"/>
        <v>0.344277052901681</v>
      </c>
      <c r="O79" s="59">
        <v>0.0302</v>
      </c>
      <c r="P79" s="60">
        <f t="shared" si="68"/>
        <v>0.0277</v>
      </c>
      <c r="Q79" s="61">
        <v>1000</v>
      </c>
      <c r="R79" s="59">
        <v>0.58071</v>
      </c>
      <c r="S79" s="59">
        <v>9.801</v>
      </c>
      <c r="T79" s="62">
        <v>4e-6</v>
      </c>
      <c r="U79" s="63">
        <v>1e-6</v>
      </c>
      <c r="V79" s="63">
        <f t="shared" si="69"/>
        <v>3.5e-6</v>
      </c>
      <c r="W79" s="64">
        <v>0.001147</v>
      </c>
      <c r="X79" s="64">
        <v>1.85e-5</v>
      </c>
      <c r="Y79" s="65"/>
      <c r="Z79" s="66">
        <f t="shared" si="70"/>
        <v>0.002082789694128</v>
      </c>
      <c r="AA79" s="65">
        <f t="shared" si="71"/>
        <v>21.2115211500296</v>
      </c>
      <c r="AB79" s="65">
        <f t="shared" si="72"/>
        <v>62.9209449284804</v>
      </c>
      <c r="AC79" s="65">
        <f t="shared" si="73"/>
        <v>5.63137278550661</v>
      </c>
      <c r="AD79" s="67">
        <f t="shared" si="91"/>
        <v>11.1732871051299</v>
      </c>
      <c r="AE79" s="67">
        <f t="shared" si="92"/>
        <v>0.32093026193802</v>
      </c>
      <c r="AF79" s="67">
        <f t="shared" si="93"/>
        <v>0.0274927069854202</v>
      </c>
      <c r="AG79" s="67">
        <f t="shared" si="94"/>
        <v>0.629139793123129</v>
      </c>
      <c r="AH79" s="67">
        <f t="shared" si="95"/>
        <v>0.103174357950257</v>
      </c>
      <c r="AI79" s="67">
        <f t="shared" si="96"/>
        <v>0.83020770972397</v>
      </c>
      <c r="AJ79" s="67">
        <f t="shared" si="97"/>
        <v>0.133098280629063</v>
      </c>
      <c r="AK79" s="67">
        <f t="shared" si="98"/>
        <v>2.85350757976077</v>
      </c>
      <c r="AL79" s="67">
        <f t="shared" si="99"/>
        <v>0.0409806409876595</v>
      </c>
      <c r="AM79" s="67">
        <f t="shared" si="100"/>
        <v>0.422071387082759</v>
      </c>
      <c r="AN79" s="67">
        <f t="shared" si="101"/>
        <v>-0.188111296751934</v>
      </c>
      <c r="AO79" s="67">
        <f t="shared" si="102"/>
        <v>-0.286509555439067</v>
      </c>
      <c r="AP79" s="63">
        <f t="shared" si="74"/>
        <v>146.033214343533</v>
      </c>
      <c r="AQ79" s="68"/>
      <c r="AR79" s="69">
        <f t="shared" si="75"/>
        <v>219.216498549315</v>
      </c>
      <c r="AS79" s="69"/>
      <c r="AT79" s="69">
        <f t="shared" si="76"/>
        <v>0.0256519188059817</v>
      </c>
      <c r="AU79" s="69">
        <f t="shared" si="77"/>
        <v>7.37641847471496e-5</v>
      </c>
      <c r="AV79" s="65">
        <f t="shared" si="78"/>
        <v>0.017296755985202</v>
      </c>
      <c r="AW79" s="68"/>
      <c r="AX79" s="68"/>
      <c r="AY79" s="68">
        <f t="shared" si="79"/>
        <v>21.3960871536949</v>
      </c>
      <c r="AZ79" s="68">
        <f t="shared" si="80"/>
        <v>30.2693229741036</v>
      </c>
      <c r="BA79" s="71">
        <f t="shared" si="81"/>
        <v>0.0182935178172931</v>
      </c>
      <c r="BB79" s="71"/>
      <c r="BC79" s="65"/>
      <c r="BD79" s="65">
        <f t="shared" si="82"/>
        <v>0.0143614971547036</v>
      </c>
      <c r="BE79" s="65">
        <f t="shared" si="83"/>
        <v>1.2043839022408</v>
      </c>
      <c r="BF79" s="65">
        <f t="shared" si="84"/>
        <v>5.72533958998907</v>
      </c>
      <c r="BG79" s="69">
        <f t="shared" si="85"/>
        <v>0.00302108821901952</v>
      </c>
      <c r="BH79" s="69">
        <f t="shared" si="86"/>
        <v>8.63220284622442e-6</v>
      </c>
      <c r="BI79" s="72">
        <f t="shared" si="87"/>
        <v>19.9993741078899</v>
      </c>
      <c r="BJ79" s="72">
        <f t="shared" si="88"/>
        <v>1.17422157481672</v>
      </c>
      <c r="BK79" s="73">
        <f t="shared" si="89"/>
        <v>0.0593960315318653</v>
      </c>
      <c r="BL79" s="72">
        <f t="shared" si="90"/>
        <v>74.1836904994936</v>
      </c>
      <c r="BM79" s="78" t="s">
        <v>118</v>
      </c>
    </row>
    <row r="80" ht="25" customHeight="1" spans="1:65">
      <c r="A80" s="54">
        <v>153</v>
      </c>
      <c r="B80" s="55">
        <v>0.533236756991368</v>
      </c>
      <c r="C80" s="55">
        <v>-0.381019667974973</v>
      </c>
      <c r="D80" s="55"/>
      <c r="E80" s="55">
        <v>2.44363550600385</v>
      </c>
      <c r="F80" s="56">
        <v>0.5</v>
      </c>
      <c r="G80" s="57">
        <f t="shared" si="61"/>
        <v>0.000185725163902457</v>
      </c>
      <c r="H80" s="57">
        <f t="shared" si="62"/>
        <v>0.000125</v>
      </c>
      <c r="I80" s="58">
        <f t="shared" si="63"/>
        <v>0.0406412116640342</v>
      </c>
      <c r="J80" s="58"/>
      <c r="K80" s="58">
        <f t="shared" si="64"/>
        <v>7.83771196682404</v>
      </c>
      <c r="L80" s="57">
        <f t="shared" si="65"/>
        <v>0.00250597509909554</v>
      </c>
      <c r="M80" s="57">
        <f t="shared" si="66"/>
        <v>0.00682738858889854</v>
      </c>
      <c r="N80" s="57">
        <f t="shared" si="67"/>
        <v>0.168831300355622</v>
      </c>
      <c r="O80" s="59">
        <v>0.0302</v>
      </c>
      <c r="P80" s="60">
        <f t="shared" si="68"/>
        <v>0.0277</v>
      </c>
      <c r="Q80" s="61">
        <v>1000</v>
      </c>
      <c r="R80" s="59">
        <v>0.58071</v>
      </c>
      <c r="S80" s="59">
        <v>9.801</v>
      </c>
      <c r="T80" s="62">
        <v>4e-6</v>
      </c>
      <c r="U80" s="63">
        <v>1e-6</v>
      </c>
      <c r="V80" s="63">
        <f t="shared" si="69"/>
        <v>3.5e-6</v>
      </c>
      <c r="W80" s="64">
        <v>0.001147</v>
      </c>
      <c r="X80" s="64">
        <v>1.85e-5</v>
      </c>
      <c r="Y80" s="65"/>
      <c r="Z80" s="66">
        <f t="shared" si="70"/>
        <v>0.00244363550600385</v>
      </c>
      <c r="AA80" s="65">
        <f t="shared" si="71"/>
        <v>12.4536921002381</v>
      </c>
      <c r="AB80" s="65">
        <f t="shared" si="72"/>
        <v>46.0150222639026</v>
      </c>
      <c r="AC80" s="65">
        <f t="shared" si="73"/>
        <v>7.75168812175796</v>
      </c>
      <c r="AD80" s="67">
        <f t="shared" si="91"/>
        <v>5.93612920710066</v>
      </c>
      <c r="AE80" s="67">
        <f t="shared" si="92"/>
        <v>0.376531814630088</v>
      </c>
      <c r="AF80" s="67">
        <f t="shared" si="93"/>
        <v>0.058502836489777</v>
      </c>
      <c r="AG80" s="67">
        <f t="shared" si="94"/>
        <v>0.375728592410989</v>
      </c>
      <c r="AH80" s="67">
        <f t="shared" si="95"/>
        <v>0.107685710617127</v>
      </c>
      <c r="AI80" s="67">
        <f t="shared" si="96"/>
        <v>0.870031701439111</v>
      </c>
      <c r="AJ80" s="67">
        <f t="shared" si="97"/>
        <v>0.23952470792201</v>
      </c>
      <c r="AK80" s="67">
        <f t="shared" si="98"/>
        <v>2.73727518003094</v>
      </c>
      <c r="AL80" s="67">
        <f t="shared" si="99"/>
        <v>0.0868134060699087</v>
      </c>
      <c r="AM80" s="67">
        <f t="shared" si="100"/>
        <v>0.253200391523093</v>
      </c>
      <c r="AN80" s="67">
        <f t="shared" si="101"/>
        <v>0.241235330254173</v>
      </c>
      <c r="AO80" s="67">
        <f t="shared" si="102"/>
        <v>0.241996217843342</v>
      </c>
      <c r="AP80" s="63">
        <f t="shared" si="74"/>
        <v>115.29443394408</v>
      </c>
      <c r="AQ80" s="68"/>
      <c r="AR80" s="69">
        <f t="shared" si="75"/>
        <v>351.689856917598</v>
      </c>
      <c r="AS80" s="69"/>
      <c r="AT80" s="69">
        <f t="shared" si="76"/>
        <v>0.0202524026579172</v>
      </c>
      <c r="AU80" s="69">
        <f t="shared" si="77"/>
        <v>6.81004596958956e-5</v>
      </c>
      <c r="AV80" s="65">
        <f t="shared" si="78"/>
        <v>0.0219811884063542</v>
      </c>
      <c r="AW80" s="68"/>
      <c r="AX80" s="68"/>
      <c r="AY80" s="68">
        <f t="shared" si="79"/>
        <v>27.1907300586601</v>
      </c>
      <c r="AZ80" s="68">
        <f t="shared" si="80"/>
        <v>38.4670797111198</v>
      </c>
      <c r="BA80" s="71">
        <f t="shared" si="81"/>
        <v>0.0168889140045821</v>
      </c>
      <c r="BB80" s="71"/>
      <c r="BC80" s="65"/>
      <c r="BD80" s="65">
        <f t="shared" si="82"/>
        <v>0.0317152643998794</v>
      </c>
      <c r="BE80" s="65">
        <f t="shared" si="83"/>
        <v>0.693079147290279</v>
      </c>
      <c r="BF80" s="65">
        <f t="shared" si="84"/>
        <v>14.8340889153219</v>
      </c>
      <c r="BG80" s="69">
        <f t="shared" si="85"/>
        <v>0.0014818023898758</v>
      </c>
      <c r="BH80" s="69">
        <f t="shared" si="86"/>
        <v>8.68976538372684e-6</v>
      </c>
      <c r="BI80" s="72">
        <f t="shared" si="87"/>
        <v>25.415749094847</v>
      </c>
      <c r="BJ80" s="72">
        <f t="shared" si="88"/>
        <v>2.04047916879656</v>
      </c>
      <c r="BK80" s="73">
        <f t="shared" si="89"/>
        <v>-0.0109393893287497</v>
      </c>
      <c r="BL80" s="72">
        <f t="shared" si="90"/>
        <v>61.5183985074186</v>
      </c>
      <c r="BM80" s="78" t="s">
        <v>118</v>
      </c>
    </row>
    <row r="81" ht="25" customHeight="1" spans="1:68">
      <c r="A81" s="54">
        <v>154</v>
      </c>
      <c r="B81" s="55">
        <v>0.666578762840238</v>
      </c>
      <c r="C81" s="55">
        <v>-2.51090374559526</v>
      </c>
      <c r="D81" s="55"/>
      <c r="E81" s="55">
        <v>2.46916311314968</v>
      </c>
      <c r="F81" s="56">
        <v>0.4</v>
      </c>
      <c r="G81" s="57">
        <f t="shared" si="61"/>
        <v>0.000185725163902457</v>
      </c>
      <c r="H81" s="57">
        <f t="shared" si="62"/>
        <v>0.000125</v>
      </c>
      <c r="I81" s="58">
        <f t="shared" si="63"/>
        <v>0.0502773281109756</v>
      </c>
      <c r="J81" s="58"/>
      <c r="K81" s="58">
        <f t="shared" si="64"/>
        <v>12.2473485706475</v>
      </c>
      <c r="L81" s="57">
        <f t="shared" si="65"/>
        <v>0.00251903051261641</v>
      </c>
      <c r="M81" s="57">
        <f t="shared" si="66"/>
        <v>0.00467818265866128</v>
      </c>
      <c r="N81" s="57">
        <f t="shared" si="67"/>
        <v>0.245110872235826</v>
      </c>
      <c r="O81" s="59">
        <v>0.0302</v>
      </c>
      <c r="P81" s="60">
        <f t="shared" si="68"/>
        <v>0.0272</v>
      </c>
      <c r="Q81" s="61">
        <v>1000</v>
      </c>
      <c r="R81" s="59">
        <v>0.46455</v>
      </c>
      <c r="S81" s="59">
        <v>9.801</v>
      </c>
      <c r="T81" s="62">
        <v>4e-6</v>
      </c>
      <c r="U81" s="63">
        <v>1e-6</v>
      </c>
      <c r="V81" s="63">
        <f t="shared" si="69"/>
        <v>3.4e-6</v>
      </c>
      <c r="W81" s="64">
        <v>0.001147</v>
      </c>
      <c r="X81" s="64">
        <v>1.85e-5</v>
      </c>
      <c r="Y81" s="65"/>
      <c r="Z81" s="66">
        <f t="shared" si="70"/>
        <v>0.00246916311314968</v>
      </c>
      <c r="AA81" s="65">
        <f t="shared" si="71"/>
        <v>20.60791269468</v>
      </c>
      <c r="AB81" s="65">
        <f t="shared" si="72"/>
        <v>72.6567184524275</v>
      </c>
      <c r="AC81" s="65">
        <f t="shared" si="73"/>
        <v>7.91449116079493</v>
      </c>
      <c r="AD81" s="67">
        <f t="shared" si="91"/>
        <v>9.18021348135916</v>
      </c>
      <c r="AE81" s="67">
        <f t="shared" si="92"/>
        <v>0.403174713063926</v>
      </c>
      <c r="AF81" s="67">
        <f t="shared" si="93"/>
        <v>0.0416493617460302</v>
      </c>
      <c r="AG81" s="67">
        <f t="shared" si="94"/>
        <v>0.5360593169892</v>
      </c>
      <c r="AH81" s="67">
        <f t="shared" si="95"/>
        <v>0.105032996286088</v>
      </c>
      <c r="AI81" s="67">
        <f t="shared" si="96"/>
        <v>0.839971418063616</v>
      </c>
      <c r="AJ81" s="67">
        <f t="shared" si="97"/>
        <v>0.160170516164157</v>
      </c>
      <c r="AK81" s="67">
        <f t="shared" si="98"/>
        <v>2.34100041873188</v>
      </c>
      <c r="AL81" s="67">
        <f t="shared" si="99"/>
        <v>0.0514057856073419</v>
      </c>
      <c r="AM81" s="67">
        <f t="shared" si="100"/>
        <v>0.434319369830315</v>
      </c>
      <c r="AN81" s="67">
        <f t="shared" si="101"/>
        <v>0.171338790836762</v>
      </c>
      <c r="AO81" s="67">
        <f t="shared" si="102"/>
        <v>0.323200642842293</v>
      </c>
      <c r="AP81" s="63">
        <f t="shared" si="74"/>
        <v>144.125137911403</v>
      </c>
      <c r="AQ81" s="68"/>
      <c r="AR81" s="69">
        <f t="shared" si="75"/>
        <v>180.047477456328</v>
      </c>
      <c r="AS81" s="69"/>
      <c r="AT81" s="69">
        <f t="shared" si="76"/>
        <v>0.0253167497012501</v>
      </c>
      <c r="AU81" s="69">
        <f t="shared" si="77"/>
        <v>6.77475145220129e-5</v>
      </c>
      <c r="AV81" s="65">
        <f t="shared" si="78"/>
        <v>0.0223265284106131</v>
      </c>
      <c r="AW81" s="68"/>
      <c r="AX81" s="68"/>
      <c r="AY81" s="68">
        <f t="shared" si="79"/>
        <v>27.6179156439284</v>
      </c>
      <c r="AZ81" s="68">
        <f t="shared" si="80"/>
        <v>39.0714247185728</v>
      </c>
      <c r="BA81" s="71">
        <f t="shared" si="81"/>
        <v>0.0168013836014592</v>
      </c>
      <c r="BB81" s="71"/>
      <c r="BC81" s="65"/>
      <c r="BD81" s="65">
        <f t="shared" si="82"/>
        <v>0.0219588963743921</v>
      </c>
      <c r="BE81" s="65">
        <f t="shared" si="83"/>
        <v>1.01674182663614</v>
      </c>
      <c r="BF81" s="65">
        <f t="shared" si="84"/>
        <v>9.79350500854574</v>
      </c>
      <c r="BG81" s="69">
        <f t="shared" si="85"/>
        <v>0.00227972808418754</v>
      </c>
      <c r="BH81" s="69">
        <f t="shared" si="86"/>
        <v>1.40091214636604e-5</v>
      </c>
      <c r="BI81" s="72">
        <f t="shared" si="87"/>
        <v>25.8150484747713</v>
      </c>
      <c r="BJ81" s="72">
        <f t="shared" si="88"/>
        <v>1.39092690526167</v>
      </c>
      <c r="BK81" s="73">
        <f t="shared" si="89"/>
        <v>-0.01140957559393</v>
      </c>
      <c r="BL81" s="72">
        <f t="shared" si="90"/>
        <v>88.4857007740174</v>
      </c>
      <c r="BM81" s="78" t="s">
        <v>118</v>
      </c>
    </row>
    <row r="82" ht="25" customHeight="1" spans="1:68">
      <c r="A82" s="54">
        <v>155</v>
      </c>
      <c r="B82" s="55">
        <v>0.658704109702161</v>
      </c>
      <c r="C82" s="55">
        <v>-2.33009749429651</v>
      </c>
      <c r="D82" s="55"/>
      <c r="E82" s="55">
        <v>2.39947665436238</v>
      </c>
      <c r="F82" s="56">
        <v>0.4</v>
      </c>
      <c r="G82" s="57">
        <f t="shared" si="61"/>
        <v>0.000185725163902457</v>
      </c>
      <c r="H82" s="57">
        <f t="shared" si="62"/>
        <v>0.000125</v>
      </c>
      <c r="I82" s="58">
        <f t="shared" si="63"/>
        <v>0.0511303877470118</v>
      </c>
      <c r="J82" s="58"/>
      <c r="K82" s="58">
        <f t="shared" si="64"/>
        <v>11.9604551107458</v>
      </c>
      <c r="L82" s="57">
        <f t="shared" si="65"/>
        <v>0.00248322917629294</v>
      </c>
      <c r="M82" s="57">
        <f t="shared" si="66"/>
        <v>0.00465568452141331</v>
      </c>
      <c r="N82" s="57">
        <f t="shared" si="67"/>
        <v>0.249864097829448</v>
      </c>
      <c r="O82" s="59">
        <v>0.0302</v>
      </c>
      <c r="P82" s="60">
        <f t="shared" si="68"/>
        <v>0.0272</v>
      </c>
      <c r="Q82" s="61">
        <v>1000</v>
      </c>
      <c r="R82" s="59">
        <v>0.46455</v>
      </c>
      <c r="S82" s="59">
        <v>9.801</v>
      </c>
      <c r="T82" s="62">
        <v>4e-6</v>
      </c>
      <c r="U82" s="63">
        <v>1e-6</v>
      </c>
      <c r="V82" s="63">
        <f t="shared" si="69"/>
        <v>3.4e-6</v>
      </c>
      <c r="W82" s="64">
        <v>0.001147</v>
      </c>
      <c r="X82" s="64">
        <v>1.85e-5</v>
      </c>
      <c r="Y82" s="65"/>
      <c r="Z82" s="66">
        <f t="shared" si="70"/>
        <v>0.00239947665436238</v>
      </c>
      <c r="AA82" s="65">
        <f t="shared" si="71"/>
        <v>20.0759991915656</v>
      </c>
      <c r="AB82" s="65">
        <f t="shared" si="72"/>
        <v>68.9477864182706</v>
      </c>
      <c r="AC82" s="65">
        <f t="shared" si="73"/>
        <v>7.474058542192</v>
      </c>
      <c r="AD82" s="67">
        <f t="shared" si="91"/>
        <v>9.22494599541223</v>
      </c>
      <c r="AE82" s="67">
        <f t="shared" si="92"/>
        <v>0.391796032620992</v>
      </c>
      <c r="AF82" s="67">
        <f t="shared" si="93"/>
        <v>0.0402877335057514</v>
      </c>
      <c r="AG82" s="67">
        <f t="shared" si="94"/>
        <v>0.530882593625947</v>
      </c>
      <c r="AH82" s="67">
        <f t="shared" si="95"/>
        <v>0.103566170423887</v>
      </c>
      <c r="AI82" s="67">
        <f t="shared" si="96"/>
        <v>0.839705739757173</v>
      </c>
      <c r="AJ82" s="67">
        <f t="shared" si="97"/>
        <v>0.159442519697442</v>
      </c>
      <c r="AK82" s="67">
        <f t="shared" si="98"/>
        <v>2.37662007512714</v>
      </c>
      <c r="AL82" s="67">
        <f t="shared" si="99"/>
        <v>0.0504691472961087</v>
      </c>
      <c r="AM82" s="67">
        <f t="shared" si="100"/>
        <v>0.423784779428864</v>
      </c>
      <c r="AN82" s="67">
        <f t="shared" si="101"/>
        <v>0.170335071154188</v>
      </c>
      <c r="AO82" s="67">
        <f t="shared" si="102"/>
        <v>0.320484633951374</v>
      </c>
      <c r="AP82" s="63">
        <f t="shared" si="74"/>
        <v>142.422510205873</v>
      </c>
      <c r="AQ82" s="68"/>
      <c r="AR82" s="69">
        <f t="shared" si="75"/>
        <v>184.378059925517</v>
      </c>
      <c r="AS82" s="69"/>
      <c r="AT82" s="69">
        <f t="shared" si="76"/>
        <v>0.0250176693320655</v>
      </c>
      <c r="AU82" s="69">
        <f t="shared" si="77"/>
        <v>6.87242473888932e-5</v>
      </c>
      <c r="AV82" s="65">
        <f t="shared" si="78"/>
        <v>0.0213880564548443</v>
      </c>
      <c r="AW82" s="68"/>
      <c r="AX82" s="68"/>
      <c r="AY82" s="68">
        <f t="shared" si="79"/>
        <v>26.4570258346424</v>
      </c>
      <c r="AZ82" s="68">
        <f t="shared" si="80"/>
        <v>37.4290987959775</v>
      </c>
      <c r="BA82" s="71">
        <f t="shared" si="81"/>
        <v>0.0170436133524455</v>
      </c>
      <c r="BB82" s="71"/>
      <c r="BC82" s="65"/>
      <c r="BD82" s="65">
        <f t="shared" si="82"/>
        <v>0.021235681640621</v>
      </c>
      <c r="BE82" s="65">
        <f t="shared" si="83"/>
        <v>1.00717541432396</v>
      </c>
      <c r="BF82" s="65">
        <f t="shared" si="84"/>
        <v>9.20366059696564</v>
      </c>
      <c r="BG82" s="69">
        <f t="shared" si="85"/>
        <v>0.00232386410054014</v>
      </c>
      <c r="BH82" s="69">
        <f t="shared" si="86"/>
        <v>1.25541972002306e-5</v>
      </c>
      <c r="BI82" s="72">
        <f t="shared" si="87"/>
        <v>24.7299402759137</v>
      </c>
      <c r="BJ82" s="72">
        <f t="shared" si="88"/>
        <v>1.40413828838579</v>
      </c>
      <c r="BK82" s="73">
        <f t="shared" si="89"/>
        <v>0.000752495740780611</v>
      </c>
      <c r="BL82" s="72">
        <f t="shared" si="90"/>
        <v>83.8959035026546</v>
      </c>
      <c r="BM82" s="78" t="s">
        <v>118</v>
      </c>
    </row>
    <row r="83" ht="25" customHeight="1" spans="1:68">
      <c r="A83" s="54">
        <v>156</v>
      </c>
      <c r="B83" s="55">
        <v>0.597740450121605</v>
      </c>
      <c r="C83" s="55">
        <v>1.63219813806271</v>
      </c>
      <c r="D83" s="55"/>
      <c r="E83" s="55">
        <v>2.03351252191321</v>
      </c>
      <c r="F83" s="56">
        <v>0.4</v>
      </c>
      <c r="G83" s="57">
        <f t="shared" si="61"/>
        <v>0.000185725163902457</v>
      </c>
      <c r="H83" s="57">
        <f t="shared" si="62"/>
        <v>0.000125</v>
      </c>
      <c r="I83" s="58">
        <f t="shared" si="63"/>
        <v>0.0547762707039268</v>
      </c>
      <c r="J83" s="58"/>
      <c r="K83" s="58">
        <f t="shared" si="64"/>
        <v>9.85302557550472</v>
      </c>
      <c r="L83" s="57">
        <f t="shared" si="65"/>
        <v>0.00228603019979575</v>
      </c>
      <c r="M83" s="57">
        <f t="shared" si="66"/>
        <v>0.00479270142887318</v>
      </c>
      <c r="N83" s="57">
        <f t="shared" si="67"/>
        <v>0.263778659783026</v>
      </c>
      <c r="O83" s="59">
        <v>0.0302</v>
      </c>
      <c r="P83" s="60">
        <f t="shared" si="68"/>
        <v>0.0272</v>
      </c>
      <c r="Q83" s="61">
        <v>1000</v>
      </c>
      <c r="R83" s="59">
        <v>0.46455</v>
      </c>
      <c r="S83" s="59">
        <v>9.801</v>
      </c>
      <c r="T83" s="62">
        <v>4e-6</v>
      </c>
      <c r="U83" s="63">
        <v>1e-6</v>
      </c>
      <c r="V83" s="63">
        <f t="shared" si="69"/>
        <v>3.4e-6</v>
      </c>
      <c r="W83" s="64">
        <v>0.001147</v>
      </c>
      <c r="X83" s="64">
        <v>1.85e-5</v>
      </c>
      <c r="Y83" s="65"/>
      <c r="Z83" s="66">
        <f t="shared" si="70"/>
        <v>0.00203351252191321</v>
      </c>
      <c r="AA83" s="65">
        <f t="shared" si="71"/>
        <v>16.1719493227105</v>
      </c>
      <c r="AB83" s="65">
        <f t="shared" si="72"/>
        <v>48.1166293082462</v>
      </c>
      <c r="AC83" s="65">
        <f t="shared" si="73"/>
        <v>5.36805725901979</v>
      </c>
      <c r="AD83" s="67">
        <f t="shared" si="91"/>
        <v>8.96350895426781</v>
      </c>
      <c r="AE83" s="67">
        <f t="shared" si="92"/>
        <v>0.332039962515251</v>
      </c>
      <c r="AF83" s="67">
        <f t="shared" si="93"/>
        <v>0.0350863473707085</v>
      </c>
      <c r="AG83" s="67">
        <f t="shared" si="94"/>
        <v>0.475585545164754</v>
      </c>
      <c r="AH83" s="67">
        <f t="shared" si="95"/>
        <v>0.0951989818972321</v>
      </c>
      <c r="AI83" s="67">
        <f t="shared" si="96"/>
        <v>0.841296255931879</v>
      </c>
      <c r="AJ83" s="67">
        <f t="shared" si="97"/>
        <v>0.163793604403666</v>
      </c>
      <c r="AK83" s="67">
        <f t="shared" si="98"/>
        <v>3.52310733107894</v>
      </c>
      <c r="AL83" s="67">
        <f t="shared" si="99"/>
        <v>0.0652541561634561</v>
      </c>
      <c r="AM83" s="67">
        <f t="shared" si="100"/>
        <v>0.255716426710659</v>
      </c>
      <c r="AN83" s="67">
        <f t="shared" si="101"/>
        <v>0.174707330279393</v>
      </c>
      <c r="AO83" s="67">
        <f t="shared" si="102"/>
        <v>0.287650624776336</v>
      </c>
      <c r="AP83" s="63">
        <f t="shared" si="74"/>
        <v>129.241178404671</v>
      </c>
      <c r="AQ83" s="68"/>
      <c r="AR83" s="69">
        <f t="shared" si="75"/>
        <v>223.905465322994</v>
      </c>
      <c r="AS83" s="69"/>
      <c r="AT83" s="69">
        <f t="shared" si="76"/>
        <v>0.0227022614665391</v>
      </c>
      <c r="AU83" s="69">
        <f t="shared" si="77"/>
        <v>7.46525816894815e-5</v>
      </c>
      <c r="AV83" s="65">
        <f t="shared" si="78"/>
        <v>0.0166865596421383</v>
      </c>
      <c r="AW83" s="68"/>
      <c r="AX83" s="68"/>
      <c r="AY83" s="68">
        <f t="shared" si="79"/>
        <v>20.6412742773251</v>
      </c>
      <c r="AZ83" s="68">
        <f t="shared" si="80"/>
        <v>29.2014793737421</v>
      </c>
      <c r="BA83" s="71">
        <f t="shared" si="81"/>
        <v>0.0185138402589914</v>
      </c>
      <c r="BB83" s="71"/>
      <c r="BC83" s="65"/>
      <c r="BD83" s="65">
        <f t="shared" si="82"/>
        <v>0.0185217621920909</v>
      </c>
      <c r="BE83" s="65">
        <f t="shared" si="83"/>
        <v>0.900916417621635</v>
      </c>
      <c r="BF83" s="65">
        <f t="shared" si="84"/>
        <v>6.80310250928372</v>
      </c>
      <c r="BG83" s="69">
        <f t="shared" si="85"/>
        <v>0.00245278674242632</v>
      </c>
      <c r="BH83" s="69">
        <f t="shared" si="86"/>
        <v>6.29251789525801e-6</v>
      </c>
      <c r="BI83" s="72">
        <f t="shared" si="87"/>
        <v>19.2938345862225</v>
      </c>
      <c r="BJ83" s="72">
        <f t="shared" si="88"/>
        <v>1.5697500175505</v>
      </c>
      <c r="BK83" s="73">
        <f t="shared" si="89"/>
        <v>0.0886156312954712</v>
      </c>
      <c r="BL83" s="72">
        <f t="shared" si="90"/>
        <v>58.8527438262858</v>
      </c>
      <c r="BM83" s="78" t="s">
        <v>118</v>
      </c>
    </row>
    <row r="84" ht="25" customHeight="1" spans="1:68">
      <c r="A84" s="54">
        <v>157</v>
      </c>
      <c r="B84" s="55">
        <v>0.639440225168526</v>
      </c>
      <c r="C84" s="55">
        <v>-0.746041786351949</v>
      </c>
      <c r="D84" s="55"/>
      <c r="E84" s="55">
        <v>2.29119754439041</v>
      </c>
      <c r="F84" s="56">
        <v>0.3</v>
      </c>
      <c r="G84" s="57">
        <f t="shared" si="61"/>
        <v>0.000185725163902457</v>
      </c>
      <c r="H84" s="57">
        <f t="shared" si="62"/>
        <v>0.000125</v>
      </c>
      <c r="I84" s="58">
        <f t="shared" si="63"/>
        <v>0.0519877266701818</v>
      </c>
      <c r="J84" s="58"/>
      <c r="K84" s="58">
        <f t="shared" si="64"/>
        <v>11.2723237343687</v>
      </c>
      <c r="L84" s="57">
        <f t="shared" si="65"/>
        <v>0.00242655313393159</v>
      </c>
      <c r="M84" s="57">
        <f t="shared" si="66"/>
        <v>0.00500805988216864</v>
      </c>
      <c r="N84" s="57">
        <f t="shared" si="67"/>
        <v>0.237737030673616</v>
      </c>
      <c r="O84" s="59">
        <v>0.0302</v>
      </c>
      <c r="P84" s="60">
        <f t="shared" si="68"/>
        <v>0.0267</v>
      </c>
      <c r="Q84" s="61">
        <v>1000</v>
      </c>
      <c r="R84" s="59">
        <v>0.3484</v>
      </c>
      <c r="S84" s="59">
        <v>9.801</v>
      </c>
      <c r="T84" s="62">
        <v>4e-6</v>
      </c>
      <c r="U84" s="63">
        <v>1e-6</v>
      </c>
      <c r="V84" s="63">
        <f t="shared" si="69"/>
        <v>3.3e-6</v>
      </c>
      <c r="W84" s="64">
        <v>0.001147</v>
      </c>
      <c r="X84" s="64">
        <v>1.85e-5</v>
      </c>
      <c r="Y84" s="65"/>
      <c r="Z84" s="66">
        <f t="shared" si="70"/>
        <v>0.00229119754439041</v>
      </c>
      <c r="AA84" s="65">
        <f t="shared" si="71"/>
        <v>18.8014170012016</v>
      </c>
      <c r="AB84" s="65">
        <f t="shared" si="72"/>
        <v>62.0419577538728</v>
      </c>
      <c r="AC84" s="65">
        <f t="shared" si="73"/>
        <v>6.81472771164367</v>
      </c>
      <c r="AD84" s="67">
        <f t="shared" si="91"/>
        <v>9.1040992948064</v>
      </c>
      <c r="AE84" s="67">
        <f t="shared" si="92"/>
        <v>0.397133016553965</v>
      </c>
      <c r="AF84" s="67">
        <f t="shared" si="93"/>
        <v>0.0413503655432553</v>
      </c>
      <c r="AG84" s="67">
        <f t="shared" si="94"/>
        <v>0.482626292994596</v>
      </c>
      <c r="AH84" s="67">
        <f t="shared" si="95"/>
        <v>0.0952718671334464</v>
      </c>
      <c r="AI84" s="67">
        <f t="shared" si="96"/>
        <v>0.840429517471096</v>
      </c>
      <c r="AJ84" s="67">
        <f t="shared" si="97"/>
        <v>0.161424646908662</v>
      </c>
      <c r="AK84" s="67">
        <f t="shared" si="98"/>
        <v>2.73132521751938</v>
      </c>
      <c r="AL84" s="67">
        <f t="shared" si="99"/>
        <v>0.0595720338552423</v>
      </c>
      <c r="AM84" s="67">
        <f t="shared" si="100"/>
        <v>0.33500238861421</v>
      </c>
      <c r="AN84" s="67">
        <f t="shared" si="101"/>
        <v>0.172782234625842</v>
      </c>
      <c r="AO84" s="67">
        <f t="shared" si="102"/>
        <v>0.290840746137993</v>
      </c>
      <c r="AP84" s="63">
        <f t="shared" si="74"/>
        <v>138.257345982384</v>
      </c>
      <c r="AQ84" s="68"/>
      <c r="AR84" s="69">
        <f t="shared" si="75"/>
        <v>146.740956160551</v>
      </c>
      <c r="AS84" s="69"/>
      <c r="AT84" s="69">
        <f t="shared" si="76"/>
        <v>0.0242860244459702</v>
      </c>
      <c r="AU84" s="69">
        <f t="shared" si="77"/>
        <v>7.03294124692695e-5</v>
      </c>
      <c r="AV84" s="65">
        <f t="shared" si="78"/>
        <v>0.0199567736361128</v>
      </c>
      <c r="AW84" s="68"/>
      <c r="AX84" s="68"/>
      <c r="AY84" s="68">
        <f t="shared" si="79"/>
        <v>24.6865289878715</v>
      </c>
      <c r="AZ84" s="68">
        <f t="shared" si="80"/>
        <v>34.9243538631974</v>
      </c>
      <c r="BA84" s="71">
        <f t="shared" si="81"/>
        <v>0.0174416942923788</v>
      </c>
      <c r="BB84" s="71"/>
      <c r="BC84" s="65"/>
      <c r="BD84" s="65">
        <f t="shared" si="82"/>
        <v>0.0218106703197162</v>
      </c>
      <c r="BE84" s="65">
        <f t="shared" si="83"/>
        <v>0.915000471951222</v>
      </c>
      <c r="BF84" s="65">
        <f t="shared" si="84"/>
        <v>8.50314243887316</v>
      </c>
      <c r="BG84" s="69">
        <f t="shared" si="85"/>
        <v>0.00234698804348824</v>
      </c>
      <c r="BH84" s="69">
        <f t="shared" si="86"/>
        <v>1.03002110854659e-5</v>
      </c>
      <c r="BI84" s="72">
        <f t="shared" si="87"/>
        <v>23.0750195167554</v>
      </c>
      <c r="BJ84" s="72">
        <f t="shared" si="88"/>
        <v>1.54558779555306</v>
      </c>
      <c r="BK84" s="73">
        <f t="shared" si="89"/>
        <v>0.0220906081357031</v>
      </c>
      <c r="BL84" s="72">
        <f t="shared" si="90"/>
        <v>75.6714131771601</v>
      </c>
      <c r="BM84" s="74"/>
    </row>
    <row r="85" ht="25" customHeight="1" spans="1:68">
      <c r="A85" s="54">
        <v>158</v>
      </c>
      <c r="B85" s="55">
        <v>0.629093557504955</v>
      </c>
      <c r="C85" s="55">
        <v>0.0151504457043353</v>
      </c>
      <c r="D85" s="55"/>
      <c r="E85" s="55">
        <v>2.28309903521111</v>
      </c>
      <c r="F85" s="56">
        <v>0.3</v>
      </c>
      <c r="G85" s="57">
        <f t="shared" si="61"/>
        <v>0.000185725163902457</v>
      </c>
      <c r="H85" s="57">
        <f t="shared" si="62"/>
        <v>0.000125</v>
      </c>
      <c r="I85" s="58">
        <f t="shared" si="63"/>
        <v>0.051328487600455</v>
      </c>
      <c r="J85" s="58"/>
      <c r="K85" s="58">
        <f t="shared" si="64"/>
        <v>10.9105761319046</v>
      </c>
      <c r="L85" s="57">
        <f t="shared" si="65"/>
        <v>0.00242226086791971</v>
      </c>
      <c r="M85" s="57">
        <f t="shared" si="66"/>
        <v>0.0051558877260553</v>
      </c>
      <c r="N85" s="57">
        <f t="shared" si="67"/>
        <v>0.23133208441334</v>
      </c>
      <c r="O85" s="59">
        <v>0.0302</v>
      </c>
      <c r="P85" s="60">
        <f t="shared" si="68"/>
        <v>0.0267</v>
      </c>
      <c r="Q85" s="61">
        <v>1000</v>
      </c>
      <c r="R85" s="59">
        <v>0.3484</v>
      </c>
      <c r="S85" s="59">
        <v>9.801</v>
      </c>
      <c r="T85" s="62">
        <v>4e-6</v>
      </c>
      <c r="U85" s="63">
        <v>1e-6</v>
      </c>
      <c r="V85" s="63">
        <f t="shared" si="69"/>
        <v>3.3e-6</v>
      </c>
      <c r="W85" s="64">
        <v>0.001147</v>
      </c>
      <c r="X85" s="64">
        <v>1.85e-5</v>
      </c>
      <c r="Y85" s="65"/>
      <c r="Z85" s="66">
        <f t="shared" si="70"/>
        <v>0.00228309903521111</v>
      </c>
      <c r="AA85" s="65">
        <f t="shared" si="71"/>
        <v>18.1324517886973</v>
      </c>
      <c r="AB85" s="65">
        <f t="shared" si="72"/>
        <v>59.8381665890039</v>
      </c>
      <c r="AC85" s="65">
        <f t="shared" si="73"/>
        <v>6.76663792663672</v>
      </c>
      <c r="AD85" s="67">
        <f t="shared" si="91"/>
        <v>8.84311636558125</v>
      </c>
      <c r="AE85" s="67">
        <f t="shared" si="92"/>
        <v>0.395729302855057</v>
      </c>
      <c r="AF85" s="67">
        <f t="shared" si="93"/>
        <v>0.0423551722327755</v>
      </c>
      <c r="AG85" s="67">
        <f t="shared" si="94"/>
        <v>0.468680842797604</v>
      </c>
      <c r="AH85" s="67">
        <f t="shared" si="95"/>
        <v>0.0949574452982597</v>
      </c>
      <c r="AI85" s="67">
        <f t="shared" si="96"/>
        <v>0.842060520025391</v>
      </c>
      <c r="AJ85" s="67">
        <f t="shared" si="97"/>
        <v>0.165878258046576</v>
      </c>
      <c r="AK85" s="67">
        <f t="shared" si="98"/>
        <v>2.93830398859054</v>
      </c>
      <c r="AL85" s="67">
        <f t="shared" si="99"/>
        <v>0.0657445260760596</v>
      </c>
      <c r="AM85" s="67">
        <f t="shared" si="100"/>
        <v>0.301942366972565</v>
      </c>
      <c r="AN85" s="67">
        <f t="shared" si="101"/>
        <v>0.175757565688444</v>
      </c>
      <c r="AO85" s="67">
        <f t="shared" si="102"/>
        <v>0.28541146549659</v>
      </c>
      <c r="AP85" s="63">
        <f t="shared" si="74"/>
        <v>136.02022864972</v>
      </c>
      <c r="AQ85" s="68"/>
      <c r="AR85" s="69">
        <f t="shared" si="75"/>
        <v>151.607531001295</v>
      </c>
      <c r="AS85" s="69"/>
      <c r="AT85" s="69">
        <f t="shared" si="76"/>
        <v>0.0238930566376882</v>
      </c>
      <c r="AU85" s="69">
        <f t="shared" si="77"/>
        <v>7.04540367617128e-5</v>
      </c>
      <c r="AV85" s="65">
        <f t="shared" si="78"/>
        <v>0.0198510578188949</v>
      </c>
      <c r="AW85" s="68"/>
      <c r="AX85" s="68"/>
      <c r="AY85" s="68">
        <f t="shared" si="79"/>
        <v>24.555758521973</v>
      </c>
      <c r="AZ85" s="68">
        <f t="shared" si="80"/>
        <v>34.7393511830661</v>
      </c>
      <c r="BA85" s="71">
        <f t="shared" si="81"/>
        <v>0.0174726011169048</v>
      </c>
      <c r="BB85" s="71"/>
      <c r="BC85" s="65"/>
      <c r="BD85" s="65">
        <f t="shared" si="82"/>
        <v>0.0223749912641258</v>
      </c>
      <c r="BE85" s="65">
        <f t="shared" si="83"/>
        <v>0.887198461199956</v>
      </c>
      <c r="BF85" s="65">
        <f t="shared" si="84"/>
        <v>8.69231648970831</v>
      </c>
      <c r="BG85" s="69">
        <f t="shared" si="85"/>
        <v>0.00228374770320415</v>
      </c>
      <c r="BH85" s="69">
        <f t="shared" si="86"/>
        <v>9.86423341865257e-6</v>
      </c>
      <c r="BI85" s="72">
        <f t="shared" si="87"/>
        <v>22.9527856030973</v>
      </c>
      <c r="BJ85" s="72">
        <f t="shared" si="88"/>
        <v>1.5940216583112</v>
      </c>
      <c r="BK85" s="73">
        <f t="shared" si="89"/>
        <v>0.0245115154814268</v>
      </c>
      <c r="BL85" s="72">
        <f t="shared" si="90"/>
        <v>73.3714424422773</v>
      </c>
      <c r="BM85" s="74"/>
    </row>
    <row r="86" ht="25" customHeight="1" spans="1:68">
      <c r="A86" s="54">
        <v>159</v>
      </c>
      <c r="B86" s="55">
        <v>0.628154363828625</v>
      </c>
      <c r="C86" s="55">
        <v>-5.21407430510281</v>
      </c>
      <c r="D86" s="55"/>
      <c r="E86" s="55">
        <v>1.81254596135072</v>
      </c>
      <c r="F86" s="56">
        <v>0.3</v>
      </c>
      <c r="G86" s="57">
        <f t="shared" si="61"/>
        <v>0.000185725163902457</v>
      </c>
      <c r="H86" s="57">
        <f t="shared" si="62"/>
        <v>0.000125</v>
      </c>
      <c r="I86" s="58">
        <f t="shared" si="63"/>
        <v>0.0646071886576237</v>
      </c>
      <c r="J86" s="58"/>
      <c r="K86" s="58">
        <f t="shared" si="64"/>
        <v>10.884757053402</v>
      </c>
      <c r="L86" s="57">
        <f t="shared" si="65"/>
        <v>0.00215825647160292</v>
      </c>
      <c r="M86" s="57">
        <f t="shared" si="66"/>
        <v>0.0041070856752786</v>
      </c>
      <c r="N86" s="57">
        <f t="shared" si="67"/>
        <v>0.326154377300524</v>
      </c>
      <c r="O86" s="59">
        <v>0.0302</v>
      </c>
      <c r="P86" s="60">
        <f t="shared" si="68"/>
        <v>0.0267</v>
      </c>
      <c r="Q86" s="61">
        <v>1000</v>
      </c>
      <c r="R86" s="59">
        <v>0.3484</v>
      </c>
      <c r="S86" s="59">
        <v>9.801</v>
      </c>
      <c r="T86" s="62">
        <v>4e-6</v>
      </c>
      <c r="U86" s="63">
        <v>1e-6</v>
      </c>
      <c r="V86" s="63">
        <f t="shared" si="69"/>
        <v>3.3e-6</v>
      </c>
      <c r="W86" s="64">
        <v>0.001147</v>
      </c>
      <c r="X86" s="64">
        <v>1.85e-5</v>
      </c>
      <c r="Y86" s="65"/>
      <c r="Z86" s="66">
        <f t="shared" si="70"/>
        <v>0.00181254596135072</v>
      </c>
      <c r="AA86" s="65">
        <f t="shared" si="71"/>
        <v>18.0722683382744</v>
      </c>
      <c r="AB86" s="65">
        <f t="shared" si="72"/>
        <v>47.3636150846312</v>
      </c>
      <c r="AC86" s="65">
        <f t="shared" si="73"/>
        <v>4.26482773119845</v>
      </c>
      <c r="AD86" s="67">
        <f t="shared" si="91"/>
        <v>11.1056338191934</v>
      </c>
      <c r="AE86" s="67">
        <f t="shared" si="92"/>
        <v>0.314168390689958</v>
      </c>
      <c r="AF86" s="67">
        <f t="shared" si="93"/>
        <v>0.0270703345964946</v>
      </c>
      <c r="AG86" s="67">
        <f t="shared" si="94"/>
        <v>0.518724124818761</v>
      </c>
      <c r="AH86" s="67">
        <f t="shared" si="95"/>
        <v>0.0855405551968209</v>
      </c>
      <c r="AI86" s="67">
        <f t="shared" si="96"/>
        <v>0.830481420357912</v>
      </c>
      <c r="AJ86" s="67">
        <f t="shared" si="97"/>
        <v>0.133866202832032</v>
      </c>
      <c r="AK86" s="67">
        <f t="shared" si="98"/>
        <v>1.94075987533227</v>
      </c>
      <c r="AL86" s="67">
        <f t="shared" si="99"/>
        <v>0.0274511755328644</v>
      </c>
      <c r="AM86" s="67">
        <f t="shared" si="100"/>
        <v>0.511527661367604</v>
      </c>
      <c r="AN86" s="67">
        <f t="shared" si="101"/>
        <v>-0.157072607460059</v>
      </c>
      <c r="AO86" s="67">
        <f t="shared" si="102"/>
        <v>-0.284555595373862</v>
      </c>
      <c r="AP86" s="63">
        <f t="shared" si="74"/>
        <v>135.81715974673</v>
      </c>
      <c r="AQ86" s="68"/>
      <c r="AR86" s="69">
        <f t="shared" si="75"/>
        <v>152.061226111677</v>
      </c>
      <c r="AS86" s="69"/>
      <c r="AT86" s="69">
        <f t="shared" si="76"/>
        <v>0.0238573859374647</v>
      </c>
      <c r="AU86" s="69">
        <f t="shared" si="77"/>
        <v>7.90721855721471e-5</v>
      </c>
      <c r="AV86" s="65">
        <f t="shared" si="78"/>
        <v>0.0140420356221177</v>
      </c>
      <c r="AW86" s="68"/>
      <c r="AX86" s="68"/>
      <c r="AY86" s="68">
        <f t="shared" si="79"/>
        <v>17.3699980645596</v>
      </c>
      <c r="AZ86" s="68">
        <f t="shared" si="80"/>
        <v>24.573562338706</v>
      </c>
      <c r="BA86" s="71">
        <f t="shared" si="81"/>
        <v>0.0196099020218925</v>
      </c>
      <c r="BB86" s="71"/>
      <c r="BC86" s="65"/>
      <c r="BD86" s="65">
        <f t="shared" si="82"/>
        <v>0.014144550225805</v>
      </c>
      <c r="BE86" s="65">
        <f t="shared" si="83"/>
        <v>0.992752360304801</v>
      </c>
      <c r="BF86" s="65">
        <f t="shared" si="84"/>
        <v>4.3624059381781</v>
      </c>
      <c r="BG86" s="69">
        <f t="shared" si="85"/>
        <v>0.00321887413072388</v>
      </c>
      <c r="BH86" s="69">
        <f t="shared" si="86"/>
        <v>4.92105772960229e-6</v>
      </c>
      <c r="BI86" s="72">
        <f t="shared" si="87"/>
        <v>16.2361036880736</v>
      </c>
      <c r="BJ86" s="72">
        <f t="shared" si="88"/>
        <v>1.42453810126313</v>
      </c>
      <c r="BK86" s="73">
        <f t="shared" si="89"/>
        <v>0.136610022821139</v>
      </c>
      <c r="BL86" s="72">
        <f t="shared" si="90"/>
        <v>55.8932705470281</v>
      </c>
      <c r="BM86" s="74"/>
    </row>
    <row r="87" ht="25" customHeight="1" spans="1:68">
      <c r="A87" s="54">
        <v>160</v>
      </c>
      <c r="B87" s="55">
        <v>0.577604190310569</v>
      </c>
      <c r="C87" s="55">
        <v>5.05760783005585</v>
      </c>
      <c r="D87" s="55"/>
      <c r="E87" s="55">
        <v>2.13587757658587</v>
      </c>
      <c r="F87" s="56">
        <v>0.2</v>
      </c>
      <c r="G87" s="57">
        <f t="shared" si="61"/>
        <v>0.000185725163902457</v>
      </c>
      <c r="H87" s="57">
        <f t="shared" si="62"/>
        <v>0.000125</v>
      </c>
      <c r="I87" s="58">
        <f t="shared" si="63"/>
        <v>0.0503861401293144</v>
      </c>
      <c r="J87" s="58"/>
      <c r="K87" s="58">
        <f t="shared" si="64"/>
        <v>9.1991832793677</v>
      </c>
      <c r="L87" s="57">
        <f t="shared" si="65"/>
        <v>0.00234286204119455</v>
      </c>
      <c r="M87" s="57">
        <f t="shared" si="66"/>
        <v>0.006085517117075</v>
      </c>
      <c r="N87" s="57">
        <f t="shared" si="67"/>
        <v>0.202672884319783</v>
      </c>
      <c r="O87" s="59">
        <v>0.0302</v>
      </c>
      <c r="P87" s="60">
        <f t="shared" si="68"/>
        <v>0.0262</v>
      </c>
      <c r="Q87" s="61">
        <v>1000</v>
      </c>
      <c r="R87" s="59">
        <v>0.23226</v>
      </c>
      <c r="S87" s="59">
        <v>9.801</v>
      </c>
      <c r="T87" s="62">
        <v>4e-6</v>
      </c>
      <c r="U87" s="63">
        <v>1e-6</v>
      </c>
      <c r="V87" s="63">
        <f t="shared" si="69"/>
        <v>3.2e-6</v>
      </c>
      <c r="W87" s="64">
        <v>0.001147</v>
      </c>
      <c r="X87" s="64">
        <v>1.85e-5</v>
      </c>
      <c r="Y87" s="65"/>
      <c r="Z87" s="66">
        <f t="shared" si="70"/>
        <v>0.00213587757658587</v>
      </c>
      <c r="AA87" s="65">
        <f t="shared" si="71"/>
        <v>14.9656779135743</v>
      </c>
      <c r="AB87" s="65">
        <f t="shared" si="72"/>
        <v>47.1910977027488</v>
      </c>
      <c r="AC87" s="65">
        <f t="shared" si="73"/>
        <v>5.92210564108781</v>
      </c>
      <c r="AD87" s="67">
        <f t="shared" si="91"/>
        <v>7.96863490163617</v>
      </c>
      <c r="AE87" s="67">
        <f t="shared" si="92"/>
        <v>0.393711172317782</v>
      </c>
      <c r="AF87" s="67">
        <f t="shared" si="93"/>
        <v>0.0464905119763417</v>
      </c>
      <c r="AG87" s="67">
        <f t="shared" si="94"/>
        <v>0.386364071638479</v>
      </c>
      <c r="AH87" s="67">
        <f t="shared" si="95"/>
        <v>0.085858607185314</v>
      </c>
      <c r="AI87" s="67">
        <f t="shared" si="96"/>
        <v>0.848310035790901</v>
      </c>
      <c r="AJ87" s="67">
        <f t="shared" si="97"/>
        <v>0.182777434928233</v>
      </c>
      <c r="AK87" s="67">
        <f t="shared" si="98"/>
        <v>6.01956507647256</v>
      </c>
      <c r="AL87" s="67">
        <f t="shared" si="99"/>
        <v>0.148706149318911</v>
      </c>
      <c r="AM87" s="67">
        <f t="shared" si="100"/>
        <v>0.120790320924897</v>
      </c>
      <c r="AN87" s="67">
        <f t="shared" si="101"/>
        <v>0.178727964772891</v>
      </c>
      <c r="AO87" s="67">
        <f t="shared" si="102"/>
        <v>0.255264731064951</v>
      </c>
      <c r="AP87" s="63">
        <f t="shared" si="74"/>
        <v>124.887392499582</v>
      </c>
      <c r="AQ87" s="68"/>
      <c r="AR87" s="69">
        <f t="shared" si="75"/>
        <v>119.894516565378</v>
      </c>
      <c r="AS87" s="69"/>
      <c r="AT87" s="69">
        <f t="shared" si="76"/>
        <v>0.0219374836518617</v>
      </c>
      <c r="AU87" s="69">
        <f t="shared" si="77"/>
        <v>7.28417009769217e-5</v>
      </c>
      <c r="AV87" s="65">
        <f t="shared" si="78"/>
        <v>0.0179622634997369</v>
      </c>
      <c r="AW87" s="68"/>
      <c r="AX87" s="68"/>
      <c r="AY87" s="68">
        <f t="shared" si="79"/>
        <v>22.2193199491745</v>
      </c>
      <c r="AZ87" s="68">
        <f t="shared" si="80"/>
        <v>31.4339611245395</v>
      </c>
      <c r="BA87" s="71">
        <f t="shared" si="81"/>
        <v>0.0180647418422766</v>
      </c>
      <c r="BB87" s="71"/>
      <c r="BC87" s="65"/>
      <c r="BD87" s="65">
        <f t="shared" si="82"/>
        <v>0.0247038029209333</v>
      </c>
      <c r="BE87" s="65">
        <f t="shared" si="83"/>
        <v>0.72710519741542</v>
      </c>
      <c r="BF87" s="65">
        <f t="shared" si="84"/>
        <v>8.44228779443489</v>
      </c>
      <c r="BG87" s="69">
        <f t="shared" si="85"/>
        <v>0.0021276535386033</v>
      </c>
      <c r="BH87" s="69">
        <f t="shared" si="86"/>
        <v>6.808451578485e-6</v>
      </c>
      <c r="BI87" s="72">
        <f t="shared" si="87"/>
        <v>20.7688671715708</v>
      </c>
      <c r="BJ87" s="72">
        <f t="shared" si="88"/>
        <v>1.94499168400952</v>
      </c>
      <c r="BK87" s="73">
        <f t="shared" si="89"/>
        <v>0.0668725431585068</v>
      </c>
      <c r="BL87" s="72">
        <f t="shared" si="90"/>
        <v>59.0353089849244</v>
      </c>
      <c r="BM87" s="74"/>
    </row>
    <row r="88" ht="25" customHeight="1" spans="1:68">
      <c r="A88" s="54">
        <v>161</v>
      </c>
      <c r="B88" s="55">
        <v>0.652443836310622</v>
      </c>
      <c r="C88" s="55">
        <v>2.37537051190267</v>
      </c>
      <c r="D88" s="55"/>
      <c r="E88" s="55">
        <v>2.34917507563188</v>
      </c>
      <c r="F88" s="56">
        <v>0.2</v>
      </c>
      <c r="G88" s="57">
        <f t="shared" si="61"/>
        <v>0.000185725163902457</v>
      </c>
      <c r="H88" s="57">
        <f t="shared" si="62"/>
        <v>0.000125</v>
      </c>
      <c r="I88" s="58">
        <f t="shared" si="63"/>
        <v>0.0517320093213377</v>
      </c>
      <c r="J88" s="58"/>
      <c r="K88" s="58">
        <f t="shared" si="64"/>
        <v>11.7347633119276</v>
      </c>
      <c r="L88" s="57">
        <f t="shared" si="65"/>
        <v>0.00245706264906017</v>
      </c>
      <c r="M88" s="57">
        <f t="shared" si="66"/>
        <v>0.00524502996936873</v>
      </c>
      <c r="N88" s="57">
        <f t="shared" si="67"/>
        <v>0.224162797750285</v>
      </c>
      <c r="O88" s="59">
        <v>0.0302</v>
      </c>
      <c r="P88" s="60">
        <f t="shared" si="68"/>
        <v>0.0262</v>
      </c>
      <c r="Q88" s="61">
        <v>1000</v>
      </c>
      <c r="R88" s="59">
        <v>0.23226</v>
      </c>
      <c r="S88" s="59">
        <v>9.801</v>
      </c>
      <c r="T88" s="62">
        <v>4e-6</v>
      </c>
      <c r="U88" s="63">
        <v>1e-6</v>
      </c>
      <c r="V88" s="63">
        <f t="shared" si="69"/>
        <v>3.2e-6</v>
      </c>
      <c r="W88" s="64">
        <v>0.001147</v>
      </c>
      <c r="X88" s="64">
        <v>1.85e-5</v>
      </c>
      <c r="Y88" s="65"/>
      <c r="Z88" s="66">
        <f t="shared" si="70"/>
        <v>0.00234917507563188</v>
      </c>
      <c r="AA88" s="65">
        <f t="shared" si="71"/>
        <v>19.6576431977432</v>
      </c>
      <c r="AB88" s="65">
        <f t="shared" si="72"/>
        <v>66.2254171305913</v>
      </c>
      <c r="AC88" s="65">
        <f t="shared" si="73"/>
        <v>7.16397738755529</v>
      </c>
      <c r="AD88" s="67">
        <f t="shared" si="91"/>
        <v>9.24422475783256</v>
      </c>
      <c r="AE88" s="67">
        <f t="shared" si="92"/>
        <v>0.433028785519233</v>
      </c>
      <c r="AF88" s="67">
        <f t="shared" si="93"/>
        <v>0.0444395317514775</v>
      </c>
      <c r="AG88" s="67">
        <f t="shared" si="94"/>
        <v>0.466229909524678</v>
      </c>
      <c r="AH88" s="67">
        <f t="shared" si="95"/>
        <v>0.0907833149955947</v>
      </c>
      <c r="AI88" s="67">
        <f t="shared" si="96"/>
        <v>0.839592035627134</v>
      </c>
      <c r="AJ88" s="67">
        <f t="shared" si="97"/>
        <v>0.159130807416506</v>
      </c>
      <c r="AK88" s="67">
        <f t="shared" si="98"/>
        <v>3.88334564834943</v>
      </c>
      <c r="AL88" s="67">
        <f t="shared" si="99"/>
        <v>0.0909541088576058</v>
      </c>
      <c r="AM88" s="67">
        <f t="shared" si="100"/>
        <v>0.227796623242688</v>
      </c>
      <c r="AN88" s="67">
        <f t="shared" si="101"/>
        <v>0.16986392450373</v>
      </c>
      <c r="AO88" s="67">
        <f t="shared" si="102"/>
        <v>0.281677193147151</v>
      </c>
      <c r="AP88" s="63">
        <f t="shared" si="74"/>
        <v>141.068937580675</v>
      </c>
      <c r="AQ88" s="68"/>
      <c r="AR88" s="69">
        <f t="shared" si="75"/>
        <v>93.9666460768146</v>
      </c>
      <c r="AS88" s="69"/>
      <c r="AT88" s="69">
        <f t="shared" si="76"/>
        <v>0.0247799033194796</v>
      </c>
      <c r="AU88" s="69">
        <f t="shared" si="77"/>
        <v>6.94561273397528e-5</v>
      </c>
      <c r="AV88" s="65">
        <f t="shared" si="78"/>
        <v>0.0207190388678104</v>
      </c>
      <c r="AW88" s="68"/>
      <c r="AX88" s="68"/>
      <c r="AY88" s="68">
        <f t="shared" si="79"/>
        <v>25.6294510794815</v>
      </c>
      <c r="AZ88" s="68">
        <f t="shared" si="80"/>
        <v>36.2583180186682</v>
      </c>
      <c r="BA88" s="71">
        <f t="shared" si="81"/>
        <v>0.0172251195802587</v>
      </c>
      <c r="BB88" s="71"/>
      <c r="BC88" s="65"/>
      <c r="BD88" s="65">
        <f t="shared" si="82"/>
        <v>0.0234215846576172</v>
      </c>
      <c r="BE88" s="65">
        <f t="shared" si="83"/>
        <v>0.884613025578186</v>
      </c>
      <c r="BF88" s="65">
        <f t="shared" si="84"/>
        <v>8.80342446551623</v>
      </c>
      <c r="BG88" s="69">
        <f t="shared" si="85"/>
        <v>0.00235352037709515</v>
      </c>
      <c r="BH88" s="69">
        <f t="shared" si="86"/>
        <v>1.15582220114142e-5</v>
      </c>
      <c r="BI88" s="72">
        <f t="shared" si="87"/>
        <v>23.9563886909058</v>
      </c>
      <c r="BJ88" s="72">
        <f t="shared" si="88"/>
        <v>1.59868046420497</v>
      </c>
      <c r="BK88" s="73">
        <f t="shared" si="89"/>
        <v>0.0101478443474987</v>
      </c>
      <c r="BL88" s="72">
        <f t="shared" si="90"/>
        <v>80.5533719057019</v>
      </c>
      <c r="BM88" s="74"/>
    </row>
    <row r="89" ht="25" customHeight="1" spans="1:68">
      <c r="A89" s="54">
        <v>162</v>
      </c>
      <c r="B89" s="55">
        <v>0.645829755740645</v>
      </c>
      <c r="C89" s="55">
        <v>3.50346158796699</v>
      </c>
      <c r="D89" s="55"/>
      <c r="E89" s="55">
        <v>2.36169908315737</v>
      </c>
      <c r="F89" s="56">
        <v>0.2</v>
      </c>
      <c r="G89" s="57">
        <f t="shared" si="61"/>
        <v>0.000185725163902457</v>
      </c>
      <c r="H89" s="57">
        <f t="shared" si="62"/>
        <v>0.000125</v>
      </c>
      <c r="I89" s="58">
        <f t="shared" si="63"/>
        <v>0.0509352475962923</v>
      </c>
      <c r="J89" s="58"/>
      <c r="K89" s="58">
        <f t="shared" si="64"/>
        <v>11.4979080351051</v>
      </c>
      <c r="L89" s="57">
        <f t="shared" si="65"/>
        <v>0.00246360353373652</v>
      </c>
      <c r="M89" s="57">
        <f t="shared" si="66"/>
        <v>0.0053815077677105</v>
      </c>
      <c r="N89" s="57">
        <f t="shared" si="67"/>
        <v>0.217894866476414</v>
      </c>
      <c r="O89" s="59">
        <v>0.0302</v>
      </c>
      <c r="P89" s="60">
        <f t="shared" si="68"/>
        <v>0.0262</v>
      </c>
      <c r="Q89" s="61">
        <v>1000</v>
      </c>
      <c r="R89" s="59">
        <v>0.23226</v>
      </c>
      <c r="S89" s="59">
        <v>9.801</v>
      </c>
      <c r="T89" s="62">
        <v>4e-6</v>
      </c>
      <c r="U89" s="63">
        <v>1e-6</v>
      </c>
      <c r="V89" s="63">
        <f t="shared" si="69"/>
        <v>3.2e-6</v>
      </c>
      <c r="W89" s="64">
        <v>0.001147</v>
      </c>
      <c r="X89" s="64">
        <v>1.85e-5</v>
      </c>
      <c r="Y89" s="65"/>
      <c r="Z89" s="66">
        <f t="shared" si="70"/>
        <v>0.00236169908315737</v>
      </c>
      <c r="AA89" s="65">
        <f t="shared" si="71"/>
        <v>19.2199833537218</v>
      </c>
      <c r="AB89" s="65">
        <f t="shared" si="72"/>
        <v>65.235457889892</v>
      </c>
      <c r="AC89" s="65">
        <f t="shared" si="73"/>
        <v>7.24056671583387</v>
      </c>
      <c r="AD89" s="67">
        <f t="shared" si="91"/>
        <v>9.0097171188594</v>
      </c>
      <c r="AE89" s="67">
        <f t="shared" si="92"/>
        <v>0.435337364315617</v>
      </c>
      <c r="AF89" s="67">
        <f t="shared" si="93"/>
        <v>0.0457781613137859</v>
      </c>
      <c r="AG89" s="67">
        <f t="shared" si="94"/>
        <v>0.456220740223239</v>
      </c>
      <c r="AH89" s="67">
        <f t="shared" si="95"/>
        <v>0.0909035783530824</v>
      </c>
      <c r="AI89" s="67">
        <f t="shared" si="96"/>
        <v>0.84100838012923</v>
      </c>
      <c r="AJ89" s="67">
        <f t="shared" si="97"/>
        <v>0.163007351288258</v>
      </c>
      <c r="AK89" s="67">
        <f t="shared" si="98"/>
        <v>4.57164564638621</v>
      </c>
      <c r="AL89" s="67">
        <f t="shared" si="99"/>
        <v>0.110447872004593</v>
      </c>
      <c r="AM89" s="67">
        <f t="shared" si="100"/>
        <v>0.189093246085953</v>
      </c>
      <c r="AN89" s="67">
        <f t="shared" si="101"/>
        <v>0.174168637588254</v>
      </c>
      <c r="AO89" s="67">
        <f t="shared" si="102"/>
        <v>0.275446635404066</v>
      </c>
      <c r="AP89" s="63">
        <f t="shared" si="74"/>
        <v>139.638866106085</v>
      </c>
      <c r="AQ89" s="68"/>
      <c r="AR89" s="69">
        <f t="shared" si="75"/>
        <v>95.9011665440386</v>
      </c>
      <c r="AS89" s="69"/>
      <c r="AT89" s="69">
        <f t="shared" si="76"/>
        <v>0.0245286996633947</v>
      </c>
      <c r="AU89" s="69">
        <f t="shared" si="77"/>
        <v>6.92717208340898e-5</v>
      </c>
      <c r="AV89" s="65">
        <f t="shared" si="78"/>
        <v>0.0208849466406343</v>
      </c>
      <c r="AW89" s="68"/>
      <c r="AX89" s="68"/>
      <c r="AY89" s="68">
        <f t="shared" si="79"/>
        <v>25.8346789944646</v>
      </c>
      <c r="AZ89" s="68">
        <f t="shared" si="80"/>
        <v>36.54865662111</v>
      </c>
      <c r="BA89" s="71">
        <f t="shared" si="81"/>
        <v>0.0171793867668543</v>
      </c>
      <c r="BB89" s="71"/>
      <c r="BC89" s="65"/>
      <c r="BD89" s="65">
        <f t="shared" si="82"/>
        <v>0.0241593247919158</v>
      </c>
      <c r="BE89" s="65">
        <f t="shared" si="83"/>
        <v>0.864467315229884</v>
      </c>
      <c r="BF89" s="65">
        <f t="shared" si="84"/>
        <v>9.129128833723</v>
      </c>
      <c r="BG89" s="69">
        <f t="shared" si="85"/>
        <v>0.00228772613696559</v>
      </c>
      <c r="BH89" s="69">
        <f t="shared" si="86"/>
        <v>1.15071665246487e-5</v>
      </c>
      <c r="BI89" s="72">
        <f t="shared" si="87"/>
        <v>24.1482195532334</v>
      </c>
      <c r="BJ89" s="72">
        <f t="shared" si="88"/>
        <v>1.63593641709521</v>
      </c>
      <c r="BK89" s="73">
        <f t="shared" si="89"/>
        <v>0.00795375069196308</v>
      </c>
      <c r="BL89" s="72">
        <f t="shared" si="90"/>
        <v>79.7165913215597</v>
      </c>
      <c r="BM89" s="74"/>
    </row>
    <row r="90" ht="25" customHeight="1" spans="1:68">
      <c r="A90" s="54">
        <v>164</v>
      </c>
      <c r="B90" s="55">
        <v>0.699158169969465</v>
      </c>
      <c r="C90" s="55">
        <v>2.50676445777079</v>
      </c>
      <c r="D90" s="55"/>
      <c r="E90" s="55">
        <v>2.36142156567417</v>
      </c>
      <c r="F90" s="56">
        <v>0.1</v>
      </c>
      <c r="G90" s="57">
        <f t="shared" si="61"/>
        <v>0.000185725163902457</v>
      </c>
      <c r="H90" s="57">
        <f t="shared" si="62"/>
        <v>0.000125</v>
      </c>
      <c r="I90" s="58">
        <f t="shared" si="63"/>
        <v>0.0551476474707754</v>
      </c>
      <c r="J90" s="58"/>
      <c r="K90" s="58">
        <f t="shared" si="64"/>
        <v>13.4751534941723</v>
      </c>
      <c r="L90" s="57">
        <f t="shared" si="65"/>
        <v>0.00246345878347111</v>
      </c>
      <c r="M90" s="57">
        <f t="shared" si="66"/>
        <v>0.00489231943490756</v>
      </c>
      <c r="N90" s="57">
        <f t="shared" si="67"/>
        <v>0.23969656671355</v>
      </c>
      <c r="O90" s="59">
        <v>0.0302</v>
      </c>
      <c r="P90" s="60">
        <f t="shared" si="68"/>
        <v>0.0257</v>
      </c>
      <c r="Q90" s="61">
        <v>1000</v>
      </c>
      <c r="R90" s="59">
        <v>0.11613</v>
      </c>
      <c r="S90" s="59">
        <v>9.801</v>
      </c>
      <c r="T90" s="62">
        <v>4e-6</v>
      </c>
      <c r="U90" s="63">
        <v>1e-6</v>
      </c>
      <c r="V90" s="63">
        <f t="shared" si="69"/>
        <v>3.1e-6</v>
      </c>
      <c r="W90" s="64">
        <v>0.001147</v>
      </c>
      <c r="X90" s="64">
        <v>1.85e-5</v>
      </c>
      <c r="Y90" s="65"/>
      <c r="Z90" s="66">
        <f t="shared" si="70"/>
        <v>0.00236142156567417</v>
      </c>
      <c r="AA90" s="65">
        <f t="shared" si="71"/>
        <v>22.875746515548</v>
      </c>
      <c r="AB90" s="65">
        <f t="shared" si="72"/>
        <v>76.444712506169</v>
      </c>
      <c r="AC90" s="65">
        <f t="shared" si="73"/>
        <v>7.23886517323909</v>
      </c>
      <c r="AD90" s="67">
        <f t="shared" si="91"/>
        <v>10.5603172150205</v>
      </c>
      <c r="AE90" s="67">
        <f t="shared" si="92"/>
        <v>0.46382214141512</v>
      </c>
      <c r="AF90" s="67">
        <f t="shared" si="93"/>
        <v>0.0419356997089763</v>
      </c>
      <c r="AG90" s="67">
        <f t="shared" si="94"/>
        <v>0.497935307749445</v>
      </c>
      <c r="AH90" s="67">
        <f t="shared" si="95"/>
        <v>0.0859695624166703</v>
      </c>
      <c r="AI90" s="67">
        <f t="shared" si="96"/>
        <v>0.832816273039325</v>
      </c>
      <c r="AJ90" s="67">
        <f t="shared" si="97"/>
        <v>0.140395630815085</v>
      </c>
      <c r="AK90" s="67">
        <f t="shared" si="98"/>
        <v>3.98443171252875</v>
      </c>
      <c r="AL90" s="67">
        <f t="shared" si="99"/>
        <v>0.0875005746323035</v>
      </c>
      <c r="AM90" s="67">
        <f t="shared" si="100"/>
        <v>0.238641467533499</v>
      </c>
      <c r="AN90" s="67">
        <f t="shared" si="101"/>
        <v>0.0263610164462804</v>
      </c>
      <c r="AO90" s="67">
        <f t="shared" si="102"/>
        <v>1.70782429523374</v>
      </c>
      <c r="AP90" s="63">
        <f t="shared" si="74"/>
        <v>151.169334047452</v>
      </c>
      <c r="AQ90" s="68"/>
      <c r="AR90" s="69">
        <f t="shared" si="75"/>
        <v>40.9146765089835</v>
      </c>
      <c r="AS90" s="69"/>
      <c r="AT90" s="69">
        <f t="shared" si="76"/>
        <v>0.0265541198991714</v>
      </c>
      <c r="AU90" s="69">
        <f t="shared" si="77"/>
        <v>6.92757911680625e-5</v>
      </c>
      <c r="AV90" s="65">
        <f t="shared" si="78"/>
        <v>0.0208812655402774</v>
      </c>
      <c r="AW90" s="68"/>
      <c r="AX90" s="68"/>
      <c r="AY90" s="68">
        <f t="shared" si="79"/>
        <v>25.8301254733232</v>
      </c>
      <c r="AZ90" s="68">
        <f t="shared" si="80"/>
        <v>36.5422146954855</v>
      </c>
      <c r="BA90" s="71">
        <f t="shared" si="81"/>
        <v>0.0171803962096795</v>
      </c>
      <c r="BB90" s="71"/>
      <c r="BC90" s="65"/>
      <c r="BD90" s="65">
        <f t="shared" si="82"/>
        <v>0.0219606159536288</v>
      </c>
      <c r="BE90" s="65">
        <f t="shared" si="83"/>
        <v>0.950850631164876</v>
      </c>
      <c r="BF90" s="65">
        <f t="shared" si="84"/>
        <v>7.78684367127503</v>
      </c>
      <c r="BG90" s="69">
        <f t="shared" si="85"/>
        <v>0.00268160841822297</v>
      </c>
      <c r="BH90" s="69">
        <f t="shared" si="86"/>
        <v>1.34812469086844e-5</v>
      </c>
      <c r="BI90" s="72">
        <f t="shared" si="87"/>
        <v>24.1439632809458</v>
      </c>
      <c r="BJ90" s="72">
        <f t="shared" si="88"/>
        <v>1.48731411224974</v>
      </c>
      <c r="BK90" s="73">
        <f t="shared" si="89"/>
        <v>0.00683199185921038</v>
      </c>
      <c r="BL90" s="72">
        <f t="shared" si="90"/>
        <v>90.9224428526472</v>
      </c>
      <c r="BM90" s="74"/>
      <c r="BO90" s="79"/>
      <c r="BP90" s="79"/>
    </row>
    <row r="91" ht="25" customHeight="1" spans="1:68">
      <c r="A91" s="54">
        <v>165</v>
      </c>
      <c r="B91" s="55">
        <v>0.664030541739012</v>
      </c>
      <c r="C91" s="55">
        <v>2.04541139892606</v>
      </c>
      <c r="D91" s="55"/>
      <c r="E91" s="55">
        <v>2.29001090305687</v>
      </c>
      <c r="F91" s="56">
        <v>0.1</v>
      </c>
      <c r="G91" s="57">
        <f t="shared" si="61"/>
        <v>0.000185725163902457</v>
      </c>
      <c r="H91" s="57">
        <f t="shared" si="62"/>
        <v>0.000125</v>
      </c>
      <c r="I91" s="58">
        <f t="shared" si="63"/>
        <v>0.054015025063789</v>
      </c>
      <c r="J91" s="58"/>
      <c r="K91" s="58">
        <f t="shared" si="64"/>
        <v>12.1559860224172</v>
      </c>
      <c r="L91" s="57">
        <f t="shared" si="65"/>
        <v>0.00242592468066348</v>
      </c>
      <c r="M91" s="57">
        <f t="shared" si="66"/>
        <v>0.00525984747786358</v>
      </c>
      <c r="N91" s="57">
        <f t="shared" si="67"/>
        <v>0.226415568195558</v>
      </c>
      <c r="O91" s="59">
        <v>0.0302</v>
      </c>
      <c r="P91" s="60">
        <f t="shared" si="68"/>
        <v>0.0257</v>
      </c>
      <c r="Q91" s="61">
        <v>1000</v>
      </c>
      <c r="R91" s="59">
        <v>0.11613</v>
      </c>
      <c r="S91" s="59">
        <v>9.801</v>
      </c>
      <c r="T91" s="62">
        <v>4e-6</v>
      </c>
      <c r="U91" s="63">
        <v>1e-6</v>
      </c>
      <c r="V91" s="63">
        <f t="shared" si="69"/>
        <v>3.1e-6</v>
      </c>
      <c r="W91" s="64">
        <v>0.001147</v>
      </c>
      <c r="X91" s="64">
        <v>1.85e-5</v>
      </c>
      <c r="Y91" s="65"/>
      <c r="Z91" s="66">
        <f t="shared" si="70"/>
        <v>0.00229001090305687</v>
      </c>
      <c r="AA91" s="65">
        <f t="shared" si="71"/>
        <v>20.4350948196843</v>
      </c>
      <c r="AB91" s="65">
        <f t="shared" si="72"/>
        <v>66.8708298533672</v>
      </c>
      <c r="AC91" s="65">
        <f t="shared" si="73"/>
        <v>6.80767066541797</v>
      </c>
      <c r="AD91" s="67">
        <f t="shared" si="91"/>
        <v>9.82286499155458</v>
      </c>
      <c r="AE91" s="67">
        <f t="shared" si="92"/>
        <v>0.449795909531541</v>
      </c>
      <c r="AF91" s="67">
        <f t="shared" si="93"/>
        <v>0.043572778477635</v>
      </c>
      <c r="AG91" s="67">
        <f t="shared" si="94"/>
        <v>0.457654355017404</v>
      </c>
      <c r="AH91" s="67">
        <f t="shared" si="95"/>
        <v>0.0843733465789946</v>
      </c>
      <c r="AI91" s="67">
        <f t="shared" si="96"/>
        <v>0.836388145704531</v>
      </c>
      <c r="AJ91" s="67">
        <f t="shared" si="97"/>
        <v>0.150311277017362</v>
      </c>
      <c r="AK91" s="67">
        <f t="shared" si="98"/>
        <v>3.73187465556154</v>
      </c>
      <c r="AL91" s="67">
        <f t="shared" si="99"/>
        <v>0.085442585050248</v>
      </c>
      <c r="AM91" s="67">
        <f t="shared" si="100"/>
        <v>0.233387974143935</v>
      </c>
      <c r="AN91" s="67">
        <f t="shared" si="101"/>
        <v>0.140373151415382</v>
      </c>
      <c r="AO91" s="67">
        <f t="shared" si="102"/>
        <v>0.315829943028159</v>
      </c>
      <c r="AP91" s="63">
        <f t="shared" si="74"/>
        <v>143.574171186813</v>
      </c>
      <c r="AQ91" s="68"/>
      <c r="AR91" s="69">
        <f t="shared" si="75"/>
        <v>45.3579988549171</v>
      </c>
      <c r="AS91" s="69"/>
      <c r="AT91" s="69">
        <f t="shared" si="76"/>
        <v>0.0252199679263128</v>
      </c>
      <c r="AU91" s="69">
        <f t="shared" si="77"/>
        <v>7.03476318103165e-5</v>
      </c>
      <c r="AV91" s="65">
        <f t="shared" si="78"/>
        <v>0.0199412718304983</v>
      </c>
      <c r="AW91" s="68"/>
      <c r="AX91" s="68"/>
      <c r="AY91" s="68">
        <f t="shared" si="79"/>
        <v>24.6673532543264</v>
      </c>
      <c r="AZ91" s="68">
        <f t="shared" si="80"/>
        <v>34.897225703372</v>
      </c>
      <c r="BA91" s="71">
        <f t="shared" si="81"/>
        <v>0.0174462126889585</v>
      </c>
      <c r="BB91" s="71"/>
      <c r="BC91" s="65"/>
      <c r="BD91" s="65">
        <f t="shared" si="82"/>
        <v>0.0228953523192197</v>
      </c>
      <c r="BE91" s="65">
        <f t="shared" si="83"/>
        <v>0.870974665620604</v>
      </c>
      <c r="BF91" s="65">
        <f t="shared" si="84"/>
        <v>7.87278324830752</v>
      </c>
      <c r="BG91" s="69">
        <f t="shared" si="85"/>
        <v>0.00253293799683679</v>
      </c>
      <c r="BH91" s="69">
        <f t="shared" si="86"/>
        <v>1.10904041778324e-5</v>
      </c>
      <c r="BI91" s="72">
        <f t="shared" si="87"/>
        <v>23.0570955540136</v>
      </c>
      <c r="BJ91" s="72">
        <f t="shared" si="88"/>
        <v>1.623713775148</v>
      </c>
      <c r="BK91" s="73">
        <f t="shared" si="89"/>
        <v>0.0207064675614212</v>
      </c>
      <c r="BL91" s="72">
        <f t="shared" si="90"/>
        <v>80.4861711842031</v>
      </c>
      <c r="BM91" s="74"/>
    </row>
    <row r="92" ht="25" customHeight="1" spans="1:68">
      <c r="A92" s="54">
        <v>168</v>
      </c>
      <c r="B92" s="55">
        <v>0.193003782231753</v>
      </c>
      <c r="C92" s="55">
        <v>-1.94057525873416</v>
      </c>
      <c r="D92" s="55"/>
      <c r="E92" s="55">
        <v>1.89439707139519</v>
      </c>
      <c r="F92" s="56">
        <v>1</v>
      </c>
      <c r="G92" s="57">
        <f t="shared" si="61"/>
        <v>0.000185725163902457</v>
      </c>
      <c r="H92" s="57">
        <f t="shared" si="62"/>
        <v>0.000125</v>
      </c>
      <c r="I92" s="58">
        <f t="shared" ref="I92:I143" si="103">B92*SQRT((G92/Z92)^2+(H92/AV92)^2)</f>
        <v>0.0189901328858749</v>
      </c>
      <c r="J92" s="58"/>
      <c r="K92" s="58">
        <f t="shared" ref="K92:K143" si="104">AB92*SQRT((G92/Z92)^2+(2*I92/B92)^2)</f>
        <v>1.02745142957684</v>
      </c>
      <c r="L92" s="57">
        <f t="shared" ref="L92:L143" si="105">AV92*1.5*G92/Z92</f>
        <v>0.00220644976767295</v>
      </c>
      <c r="M92" s="57">
        <f t="shared" ref="M92:M143" si="106">BD92*SQRT((2*G92/Z92)^2+(2*I92/B92)^2)</f>
        <v>0.0309449291365622</v>
      </c>
      <c r="N92" s="57">
        <f t="shared" ref="N92:N143" si="107">BE92*SQRT((L92/AV92)^2+(M92/BD92)^2)</f>
        <v>0.0423363739653465</v>
      </c>
      <c r="O92" s="59">
        <v>0.0302</v>
      </c>
      <c r="P92" s="60">
        <f t="shared" ref="P92:P143" si="108">0.0252+0.005*F92</f>
        <v>0.0302</v>
      </c>
      <c r="Q92" s="61">
        <v>1000</v>
      </c>
      <c r="R92" s="59">
        <v>1.1616</v>
      </c>
      <c r="S92" s="59">
        <v>9.801</v>
      </c>
      <c r="T92" s="62">
        <v>4e-6</v>
      </c>
      <c r="U92" s="63">
        <v>1e-6</v>
      </c>
      <c r="V92" s="63">
        <f t="shared" si="69"/>
        <v>4e-6</v>
      </c>
      <c r="W92" s="64">
        <v>0.001147</v>
      </c>
      <c r="X92" s="64">
        <v>1.85e-5</v>
      </c>
      <c r="Y92" s="65"/>
      <c r="Z92" s="66">
        <f t="shared" ref="Z92:Z143" si="109">E92/1000</f>
        <v>0.00189439707139519</v>
      </c>
      <c r="AA92" s="65">
        <f t="shared" ref="AA92:AA143" si="110">(B92^2-0.2^2)/(2*9.81)*1000</f>
        <v>-0.140139655669627</v>
      </c>
      <c r="AB92" s="65">
        <f t="shared" ref="AB92:AB143" si="111">Q92*2*Z92*B92^2/O92</f>
        <v>4.67332200319995</v>
      </c>
      <c r="AC92" s="65">
        <f t="shared" ref="AC92:AC143" si="112">Q92*S92*(Z92*2)^2/O92</f>
        <v>4.65870772563559</v>
      </c>
      <c r="AD92" s="67">
        <f t="shared" si="91"/>
        <v>1.00313698098808</v>
      </c>
      <c r="AE92" s="67">
        <f t="shared" si="92"/>
        <v>0.223487053749688</v>
      </c>
      <c r="AF92" s="67">
        <f t="shared" si="93"/>
        <v>0.148680430710167</v>
      </c>
      <c r="AG92" s="67">
        <f t="shared" si="94"/>
        <v>0.100913492874042</v>
      </c>
      <c r="AH92" s="67">
        <f t="shared" si="95"/>
        <v>0.0896070863088282</v>
      </c>
      <c r="AI92" s="67">
        <f t="shared" si="96"/>
        <v>1.53124381525125</v>
      </c>
      <c r="AJ92" s="67">
        <f t="shared" si="97"/>
        <v>0.997913261085956</v>
      </c>
      <c r="AK92" s="67">
        <f t="shared" si="98"/>
        <v>1.6711665322594</v>
      </c>
      <c r="AL92" s="67">
        <f t="shared" si="99"/>
        <v>0.186158067989806</v>
      </c>
      <c r="AM92" s="67">
        <f t="shared" si="100"/>
        <v>0.0805974285562605</v>
      </c>
      <c r="AN92" s="67">
        <f t="shared" si="101"/>
        <v>1.0286033368637</v>
      </c>
      <c r="AO92" s="67">
        <f t="shared" si="102"/>
        <v>0.065268367457755</v>
      </c>
      <c r="AP92" s="63">
        <f t="shared" ref="AP92:AP143" si="113">Q92*B92*T92/X92</f>
        <v>41.7305475095682</v>
      </c>
      <c r="AQ92" s="68"/>
      <c r="AR92" s="69">
        <f t="shared" ref="AR92:AR143" si="114">F92*1*10^5/(0.5*Q92*B92^2)</f>
        <v>5369.06122065384</v>
      </c>
      <c r="AS92" s="69"/>
      <c r="AT92" s="69">
        <f t="shared" ref="AT92:AT143" si="115">W92*B92/O92</f>
        <v>0.00733030921257684</v>
      </c>
      <c r="AU92" s="69">
        <f t="shared" ref="AU92:AU143" si="116">X92/SQRT(Q92*O92*Z92)</f>
        <v>7.73450901693807e-5</v>
      </c>
      <c r="AV92" s="65">
        <f t="shared" ref="AV92:AV143" si="117">SQRT(Q92*(Z92^3)/O92)</f>
        <v>0.0150038615849798</v>
      </c>
      <c r="AW92" s="68"/>
      <c r="AX92" s="68"/>
      <c r="AY92" s="68">
        <f t="shared" ref="AY92:AY143" si="118">1.237*AV92*1000</f>
        <v>18.5597767806201</v>
      </c>
      <c r="AZ92" s="68">
        <f t="shared" ref="AZ92:AZ143" si="119">1.75*1000*AV92</f>
        <v>26.2567577737147</v>
      </c>
      <c r="BA92" s="71">
        <f t="shared" ref="BA92:BA143" si="120">W92/X92*4*AU92</f>
        <v>0.0191815823620064</v>
      </c>
      <c r="BB92" s="71"/>
      <c r="BC92" s="65"/>
      <c r="BD92" s="65">
        <f t="shared" si="82"/>
        <v>0.111394085745675</v>
      </c>
      <c r="BE92" s="65">
        <f t="shared" ref="BE92:BE143" si="121">AV92/BD92</f>
        <v>0.134691725189391</v>
      </c>
      <c r="BF92" s="65">
        <f t="shared" ref="BF92:BF143" si="122">X92*(Z92)^3/(Q92*(B92)^2*(T92)^3)</f>
        <v>52.7561574518377</v>
      </c>
      <c r="BG92" s="69">
        <f t="shared" ref="BG92:BG143" si="123">AV92/BF92</f>
        <v>0.000284400197240999</v>
      </c>
      <c r="BH92" s="69">
        <f t="shared" ref="BH92:BH143" si="124">0.5*Q92*(4/3)*PI()*Z92^3*B92^2</f>
        <v>5.30399729900001e-7</v>
      </c>
      <c r="BI92" s="72">
        <f t="shared" ref="BI92:BI143" si="125">AU92*(Z92)^2/(T92)^2</f>
        <v>17.3482149576329</v>
      </c>
      <c r="BJ92" s="72">
        <f t="shared" si="88"/>
        <v>10.499632107203</v>
      </c>
      <c r="BK92" s="73">
        <f t="shared" ref="BK92:BK143" si="126">(15-2*AC92)/(AB92)</f>
        <v>1.21596255187162</v>
      </c>
      <c r="BL92" s="72">
        <f t="shared" si="90"/>
        <v>13.9907374544711</v>
      </c>
      <c r="BM92" s="74" t="s">
        <v>141</v>
      </c>
    </row>
    <row r="93" ht="25" customHeight="1" spans="1:68">
      <c r="A93" s="54">
        <v>178</v>
      </c>
      <c r="B93" s="55">
        <v>0.439754745828357</v>
      </c>
      <c r="C93" s="55">
        <v>3.43611637655144</v>
      </c>
      <c r="D93" s="55"/>
      <c r="E93" s="55">
        <v>2.05566153666183</v>
      </c>
      <c r="F93" s="56">
        <v>1</v>
      </c>
      <c r="G93" s="57">
        <f t="shared" si="61"/>
        <v>0.000185725163902457</v>
      </c>
      <c r="H93" s="57">
        <f t="shared" si="62"/>
        <v>0.000125</v>
      </c>
      <c r="I93" s="58">
        <f t="shared" si="103"/>
        <v>0.0398629978309742</v>
      </c>
      <c r="J93" s="58"/>
      <c r="K93" s="58">
        <f t="shared" si="104"/>
        <v>5.33277012014751</v>
      </c>
      <c r="L93" s="57">
        <f t="shared" si="105"/>
        <v>0.00229844620101531</v>
      </c>
      <c r="M93" s="57">
        <f t="shared" si="106"/>
        <v>0.00646724574448609</v>
      </c>
      <c r="N93" s="57">
        <f t="shared" si="107"/>
        <v>0.194417036481908</v>
      </c>
      <c r="O93" s="59">
        <v>0.0302</v>
      </c>
      <c r="P93" s="60">
        <f t="shared" si="108"/>
        <v>0.0302</v>
      </c>
      <c r="Q93" s="61">
        <v>1000</v>
      </c>
      <c r="R93" s="59">
        <v>1.1616</v>
      </c>
      <c r="S93" s="59">
        <v>9.801</v>
      </c>
      <c r="T93" s="62">
        <v>4e-6</v>
      </c>
      <c r="U93" s="63">
        <v>1e-6</v>
      </c>
      <c r="V93" s="63">
        <f t="shared" si="69"/>
        <v>4e-6</v>
      </c>
      <c r="W93" s="64">
        <v>0.001147</v>
      </c>
      <c r="X93" s="64">
        <v>1.85e-5</v>
      </c>
      <c r="Y93" s="65"/>
      <c r="Z93" s="66">
        <f t="shared" si="109"/>
        <v>0.00205566153666183</v>
      </c>
      <c r="AA93" s="65">
        <f t="shared" si="110"/>
        <v>7.81774905599199</v>
      </c>
      <c r="AB93" s="65">
        <f t="shared" si="111"/>
        <v>26.3266580613044</v>
      </c>
      <c r="AC93" s="65">
        <f t="shared" si="112"/>
        <v>5.48563184196025</v>
      </c>
      <c r="AD93" s="67">
        <f t="shared" si="91"/>
        <v>4.79920250205796</v>
      </c>
      <c r="AE93" s="67">
        <f t="shared" si="92"/>
        <v>0.242511851011656</v>
      </c>
      <c r="AF93" s="67">
        <f t="shared" si="93"/>
        <v>0.0457638391658888</v>
      </c>
      <c r="AG93" s="67">
        <f t="shared" si="94"/>
        <v>0.370596653021173</v>
      </c>
      <c r="AH93" s="67">
        <f t="shared" si="95"/>
        <v>0.126671680476722</v>
      </c>
      <c r="AI93" s="67">
        <f t="shared" si="96"/>
        <v>0.890351157616492</v>
      </c>
      <c r="AJ93" s="67">
        <f t="shared" si="97"/>
        <v>0.289929744257484</v>
      </c>
      <c r="AK93" s="67">
        <f t="shared" si="98"/>
        <v>4.28544267514868</v>
      </c>
      <c r="AL93" s="67">
        <f t="shared" si="99"/>
        <v>0.108275347321664</v>
      </c>
      <c r="AM93" s="67">
        <f t="shared" si="100"/>
        <v>0.156637000423496</v>
      </c>
      <c r="AN93" s="67">
        <f t="shared" si="101"/>
        <v>0.301696796553621</v>
      </c>
      <c r="AO93" s="67">
        <f t="shared" si="102"/>
        <v>0.231803654261821</v>
      </c>
      <c r="AP93" s="63">
        <f t="shared" si="113"/>
        <v>95.0821072061312</v>
      </c>
      <c r="AQ93" s="68"/>
      <c r="AR93" s="69">
        <f t="shared" si="114"/>
        <v>1034.21045914552</v>
      </c>
      <c r="AS93" s="69"/>
      <c r="AT93" s="69">
        <f t="shared" si="115"/>
        <v>0.0167019434922227</v>
      </c>
      <c r="AU93" s="69">
        <f t="shared" si="116"/>
        <v>7.42493151066524e-5</v>
      </c>
      <c r="AV93" s="65">
        <f t="shared" si="117"/>
        <v>0.0169599256242776</v>
      </c>
      <c r="AW93" s="68"/>
      <c r="AX93" s="68"/>
      <c r="AY93" s="68">
        <f t="shared" si="118"/>
        <v>20.9794279972314</v>
      </c>
      <c r="AZ93" s="68">
        <f t="shared" si="119"/>
        <v>29.6798698424859</v>
      </c>
      <c r="BA93" s="71">
        <f t="shared" si="120"/>
        <v>0.0184138301464498</v>
      </c>
      <c r="BB93" s="71"/>
      <c r="BC93" s="65"/>
      <c r="BD93" s="65">
        <f t="shared" si="82"/>
        <v>0.0252658489517439</v>
      </c>
      <c r="BE93" s="65">
        <f t="shared" si="121"/>
        <v>0.671258886122131</v>
      </c>
      <c r="BF93" s="65">
        <f t="shared" si="122"/>
        <v>12.9845084703019</v>
      </c>
      <c r="BG93" s="69">
        <f t="shared" si="123"/>
        <v>0.0013061661643233</v>
      </c>
      <c r="BH93" s="69">
        <f t="shared" si="124"/>
        <v>3.51831332765248e-6</v>
      </c>
      <c r="BI93" s="72">
        <f t="shared" si="125"/>
        <v>19.609914003071</v>
      </c>
      <c r="BJ93" s="72">
        <f t="shared" si="88"/>
        <v>2.10680795682724</v>
      </c>
      <c r="BK93" s="73">
        <f t="shared" si="126"/>
        <v>0.153028778157036</v>
      </c>
      <c r="BL93" s="72">
        <f t="shared" si="90"/>
        <v>37.297921745225</v>
      </c>
      <c r="BM93" s="74"/>
    </row>
    <row r="94" ht="25" customHeight="1" spans="1:68">
      <c r="A94" s="54">
        <v>179</v>
      </c>
      <c r="B94" s="55">
        <v>0.295147245700814</v>
      </c>
      <c r="C94" s="55">
        <v>3.37938425664175</v>
      </c>
      <c r="D94" s="55"/>
      <c r="E94" s="55">
        <v>2.13137101053508</v>
      </c>
      <c r="F94" s="56">
        <v>0.6</v>
      </c>
      <c r="G94" s="57">
        <f t="shared" si="61"/>
        <v>0.000185725163902457</v>
      </c>
      <c r="H94" s="57">
        <f t="shared" si="62"/>
        <v>0.000125</v>
      </c>
      <c r="I94" s="58">
        <f t="shared" si="103"/>
        <v>0.0258011886087547</v>
      </c>
      <c r="J94" s="58"/>
      <c r="K94" s="58">
        <f t="shared" si="104"/>
        <v>2.40197460346318</v>
      </c>
      <c r="L94" s="57">
        <f t="shared" si="105"/>
        <v>0.00234038909100035</v>
      </c>
      <c r="M94" s="57">
        <f t="shared" si="106"/>
        <v>0.0183763734510745</v>
      </c>
      <c r="N94" s="57">
        <f t="shared" si="107"/>
        <v>0.0671884449482449</v>
      </c>
      <c r="O94" s="59">
        <v>0.0302</v>
      </c>
      <c r="P94" s="60">
        <f t="shared" si="108"/>
        <v>0.0282</v>
      </c>
      <c r="Q94" s="61">
        <v>1000</v>
      </c>
      <c r="R94" s="59">
        <v>0.69687</v>
      </c>
      <c r="S94" s="59">
        <v>9.801</v>
      </c>
      <c r="T94" s="62">
        <v>4e-6</v>
      </c>
      <c r="U94" s="63">
        <v>1e-6</v>
      </c>
      <c r="V94" s="63">
        <f t="shared" si="69"/>
        <v>3.6e-6</v>
      </c>
      <c r="W94" s="64">
        <v>0.001147</v>
      </c>
      <c r="X94" s="64">
        <v>1.85e-5</v>
      </c>
      <c r="Y94" s="65"/>
      <c r="Z94" s="66">
        <f t="shared" si="109"/>
        <v>0.00213137101053508</v>
      </c>
      <c r="AA94" s="65">
        <f t="shared" si="110"/>
        <v>2.40121797373989</v>
      </c>
      <c r="AB94" s="65">
        <f t="shared" si="111"/>
        <v>12.2958788861858</v>
      </c>
      <c r="AC94" s="65">
        <f t="shared" si="112"/>
        <v>5.89714147165139</v>
      </c>
      <c r="AD94" s="67">
        <f t="shared" si="91"/>
        <v>2.08505747153841</v>
      </c>
      <c r="AE94" s="67">
        <f t="shared" si="92"/>
        <v>0.310424072490863</v>
      </c>
      <c r="AF94" s="67">
        <f t="shared" si="93"/>
        <v>0.120084012022419</v>
      </c>
      <c r="AG94" s="67">
        <f t="shared" si="94"/>
        <v>0.149107648409011</v>
      </c>
      <c r="AH94" s="67">
        <f t="shared" si="95"/>
        <v>0.0930481067707059</v>
      </c>
      <c r="AI94" s="67">
        <f t="shared" si="96"/>
        <v>1.03549932666966</v>
      </c>
      <c r="AJ94" s="67">
        <f t="shared" si="97"/>
        <v>0.585149454981091</v>
      </c>
      <c r="AK94" s="67">
        <f t="shared" si="98"/>
        <v>3.72446782678221</v>
      </c>
      <c r="AL94" s="67">
        <f t="shared" si="99"/>
        <v>0.277250024623512</v>
      </c>
      <c r="AM94" s="67">
        <f t="shared" si="100"/>
        <v>0.064582301366778</v>
      </c>
      <c r="AN94" s="67">
        <f t="shared" si="101"/>
        <v>0.574791857018962</v>
      </c>
      <c r="AO94" s="67">
        <f t="shared" si="102"/>
        <v>0.100350400746894</v>
      </c>
      <c r="AP94" s="63">
        <f t="shared" si="113"/>
        <v>63.8156206920679</v>
      </c>
      <c r="AQ94" s="68"/>
      <c r="AR94" s="69">
        <f t="shared" si="114"/>
        <v>1377.53859830803</v>
      </c>
      <c r="AS94" s="69"/>
      <c r="AT94" s="69">
        <f t="shared" si="115"/>
        <v>0.0112097314840673</v>
      </c>
      <c r="AU94" s="69">
        <f t="shared" si="116"/>
        <v>7.29186684774409e-5</v>
      </c>
      <c r="AV94" s="65">
        <f t="shared" si="117"/>
        <v>0.0179054446441823</v>
      </c>
      <c r="AW94" s="68"/>
      <c r="AX94" s="68"/>
      <c r="AY94" s="68">
        <f t="shared" si="118"/>
        <v>22.1490350248535</v>
      </c>
      <c r="AZ94" s="68">
        <f t="shared" si="119"/>
        <v>31.334528127319</v>
      </c>
      <c r="BA94" s="71">
        <f t="shared" si="120"/>
        <v>0.0180838297824054</v>
      </c>
      <c r="BB94" s="71"/>
      <c r="BC94" s="65"/>
      <c r="BD94" s="65">
        <f t="shared" si="82"/>
        <v>0.0744401717286533</v>
      </c>
      <c r="BE94" s="65">
        <f t="shared" si="121"/>
        <v>0.240534703620117</v>
      </c>
      <c r="BF94" s="65">
        <f t="shared" si="122"/>
        <v>32.1285738684452</v>
      </c>
      <c r="BG94" s="69">
        <f t="shared" si="123"/>
        <v>0.000557305927038608</v>
      </c>
      <c r="BH94" s="69">
        <f t="shared" si="124"/>
        <v>1.76649839291844e-6</v>
      </c>
      <c r="BI94" s="72">
        <f t="shared" si="125"/>
        <v>20.7031703698357</v>
      </c>
      <c r="BJ94" s="72">
        <f t="shared" si="88"/>
        <v>5.87945747989279</v>
      </c>
      <c r="BK94" s="73">
        <f t="shared" si="126"/>
        <v>0.26071475543719</v>
      </c>
      <c r="BL94" s="72">
        <f t="shared" si="90"/>
        <v>24.0901618294885</v>
      </c>
      <c r="BM94" s="74"/>
    </row>
    <row r="95" ht="25" customHeight="1" spans="1:68">
      <c r="A95" s="54">
        <v>180</v>
      </c>
      <c r="B95" s="55">
        <v>0.31485634605453</v>
      </c>
      <c r="C95" s="55">
        <v>2.68127014276962</v>
      </c>
      <c r="D95" s="55"/>
      <c r="E95" s="55">
        <v>2.04439602773899</v>
      </c>
      <c r="F95" s="56">
        <v>0.6</v>
      </c>
      <c r="G95" s="57">
        <f t="shared" si="61"/>
        <v>0.000185725163902457</v>
      </c>
      <c r="H95" s="57">
        <f t="shared" si="62"/>
        <v>0.000125</v>
      </c>
      <c r="I95" s="58">
        <f t="shared" si="103"/>
        <v>0.0286989735276485</v>
      </c>
      <c r="J95" s="58"/>
      <c r="K95" s="58">
        <f t="shared" si="104"/>
        <v>2.73377666145797</v>
      </c>
      <c r="L95" s="57">
        <f t="shared" si="105"/>
        <v>0.00229213953563655</v>
      </c>
      <c r="M95" s="57">
        <f t="shared" si="106"/>
        <v>0.0154898745155956</v>
      </c>
      <c r="N95" s="57">
        <f t="shared" si="107"/>
        <v>0.0813965769437518</v>
      </c>
      <c r="O95" s="59">
        <v>0.0302</v>
      </c>
      <c r="P95" s="60">
        <f t="shared" si="108"/>
        <v>0.0282</v>
      </c>
      <c r="Q95" s="61">
        <v>1000</v>
      </c>
      <c r="R95" s="59">
        <v>0.69687</v>
      </c>
      <c r="S95" s="59">
        <v>9.801</v>
      </c>
      <c r="T95" s="62">
        <v>4e-6</v>
      </c>
      <c r="U95" s="63">
        <v>1e-6</v>
      </c>
      <c r="V95" s="63">
        <f t="shared" si="69"/>
        <v>3.6e-6</v>
      </c>
      <c r="W95" s="64">
        <v>0.001147</v>
      </c>
      <c r="X95" s="64">
        <v>1.85e-5</v>
      </c>
      <c r="Y95" s="65"/>
      <c r="Z95" s="66">
        <f t="shared" si="109"/>
        <v>0.00204439602773899</v>
      </c>
      <c r="AA95" s="65">
        <f t="shared" si="110"/>
        <v>3.01399177629001</v>
      </c>
      <c r="AB95" s="65">
        <f t="shared" si="111"/>
        <v>13.4218686186445</v>
      </c>
      <c r="AC95" s="65">
        <f t="shared" si="112"/>
        <v>5.42567148527428</v>
      </c>
      <c r="AD95" s="67">
        <f t="shared" si="91"/>
        <v>2.47377097103512</v>
      </c>
      <c r="AE95" s="67">
        <f t="shared" si="92"/>
        <v>0.297756579017914</v>
      </c>
      <c r="AF95" s="67">
        <f t="shared" si="93"/>
        <v>0.100127609663992</v>
      </c>
      <c r="AG95" s="67">
        <f t="shared" si="94"/>
        <v>0.167992627505626</v>
      </c>
      <c r="AH95" s="67">
        <f t="shared" si="95"/>
        <v>0.0939863257656215</v>
      </c>
      <c r="AI95" s="67">
        <f t="shared" si="96"/>
        <v>0.993472667977423</v>
      </c>
      <c r="AJ95" s="67">
        <f t="shared" si="97"/>
        <v>0.510309626793715</v>
      </c>
      <c r="AK95" s="67">
        <f t="shared" si="98"/>
        <v>3.475736214166</v>
      </c>
      <c r="AL95" s="67">
        <f t="shared" si="99"/>
        <v>0.209179292831966</v>
      </c>
      <c r="AM95" s="67">
        <f t="shared" si="100"/>
        <v>0.0804128363070038</v>
      </c>
      <c r="AN95" s="67">
        <f t="shared" si="101"/>
        <v>0.493699942837315</v>
      </c>
      <c r="AO95" s="67">
        <f t="shared" si="102"/>
        <v>0.114424659339715</v>
      </c>
      <c r="AP95" s="63">
        <f t="shared" si="113"/>
        <v>68.077047795574</v>
      </c>
      <c r="AQ95" s="68"/>
      <c r="AR95" s="69">
        <f t="shared" si="114"/>
        <v>1210.47644789285</v>
      </c>
      <c r="AS95" s="69"/>
      <c r="AT95" s="69">
        <f t="shared" si="115"/>
        <v>0.0119582857259783</v>
      </c>
      <c r="AU95" s="69">
        <f t="shared" si="116"/>
        <v>7.44536070259266e-5</v>
      </c>
      <c r="AV95" s="65">
        <f t="shared" si="117"/>
        <v>0.0168207002333117</v>
      </c>
      <c r="AW95" s="68"/>
      <c r="AX95" s="68"/>
      <c r="AY95" s="68">
        <f t="shared" si="118"/>
        <v>20.8072061886065</v>
      </c>
      <c r="AZ95" s="68">
        <f t="shared" si="119"/>
        <v>29.4362254082954</v>
      </c>
      <c r="BA95" s="71">
        <f t="shared" si="120"/>
        <v>0.0184644945424298</v>
      </c>
      <c r="BB95" s="71"/>
      <c r="BC95" s="65"/>
      <c r="BD95" s="65">
        <f t="shared" si="82"/>
        <v>0.0601827296270117</v>
      </c>
      <c r="BE95" s="65">
        <f t="shared" si="121"/>
        <v>0.279493807236056</v>
      </c>
      <c r="BF95" s="65">
        <f t="shared" si="122"/>
        <v>24.9150600110604</v>
      </c>
      <c r="BG95" s="69">
        <f t="shared" si="123"/>
        <v>0.000675121802871218</v>
      </c>
      <c r="BH95" s="69">
        <f t="shared" si="124"/>
        <v>1.77410206417326e-6</v>
      </c>
      <c r="BI95" s="72">
        <f t="shared" si="125"/>
        <v>19.4489346447666</v>
      </c>
      <c r="BJ95" s="72">
        <f t="shared" si="88"/>
        <v>5.05991018677088</v>
      </c>
      <c r="BK95" s="73">
        <f t="shared" si="126"/>
        <v>0.309096829012948</v>
      </c>
      <c r="BL95" s="72">
        <f t="shared" si="90"/>
        <v>24.2732115891931</v>
      </c>
      <c r="BM95" s="74"/>
    </row>
    <row r="96" ht="25" customHeight="1" spans="1:68">
      <c r="A96" s="54">
        <v>181</v>
      </c>
      <c r="B96" s="55">
        <v>0.368636584017437</v>
      </c>
      <c r="C96" s="55">
        <v>3.24502087999337</v>
      </c>
      <c r="D96" s="55"/>
      <c r="E96" s="55">
        <v>2.09915619729952</v>
      </c>
      <c r="F96" s="56">
        <v>0.3</v>
      </c>
      <c r="G96" s="57">
        <f t="shared" si="61"/>
        <v>0.000185725163902457</v>
      </c>
      <c r="H96" s="57">
        <f t="shared" si="62"/>
        <v>0.000125</v>
      </c>
      <c r="I96" s="58">
        <f t="shared" si="103"/>
        <v>0.0327216324766112</v>
      </c>
      <c r="J96" s="58"/>
      <c r="K96" s="58">
        <f t="shared" si="104"/>
        <v>3.7471823768881</v>
      </c>
      <c r="L96" s="57">
        <f t="shared" si="105"/>
        <v>0.00232263472945046</v>
      </c>
      <c r="M96" s="57">
        <f t="shared" si="106"/>
        <v>0.0138074632004761</v>
      </c>
      <c r="N96" s="57">
        <f t="shared" si="107"/>
        <v>0.0901086823053188</v>
      </c>
      <c r="O96" s="59">
        <v>0.0302</v>
      </c>
      <c r="P96" s="60">
        <f t="shared" si="108"/>
        <v>0.0267</v>
      </c>
      <c r="Q96" s="61">
        <v>1000</v>
      </c>
      <c r="R96" s="59">
        <v>0.3484</v>
      </c>
      <c r="S96" s="59">
        <v>9.801</v>
      </c>
      <c r="T96" s="62">
        <v>4e-6</v>
      </c>
      <c r="U96" s="63">
        <v>1e-6</v>
      </c>
      <c r="V96" s="63">
        <f t="shared" ref="V96:V127" si="127">0.000003+0.000001*F96</f>
        <v>3.3e-6</v>
      </c>
      <c r="W96" s="64">
        <v>0.001147</v>
      </c>
      <c r="X96" s="64">
        <v>1.85e-5</v>
      </c>
      <c r="Y96" s="65"/>
      <c r="Z96" s="66">
        <f t="shared" si="109"/>
        <v>0.00209915619729952</v>
      </c>
      <c r="AA96" s="65">
        <f t="shared" si="110"/>
        <v>4.88750922915621</v>
      </c>
      <c r="AB96" s="65">
        <f t="shared" si="111"/>
        <v>18.8914230753295</v>
      </c>
      <c r="AC96" s="65">
        <f t="shared" si="112"/>
        <v>5.72022284969779</v>
      </c>
      <c r="AD96" s="67">
        <f t="shared" si="91"/>
        <v>3.30256767467156</v>
      </c>
      <c r="AE96" s="67">
        <f t="shared" si="92"/>
        <v>0.363846511136737</v>
      </c>
      <c r="AF96" s="67">
        <f t="shared" si="93"/>
        <v>0.0956844275409677</v>
      </c>
      <c r="AG96" s="67">
        <f t="shared" si="94"/>
        <v>0.1829036611543</v>
      </c>
      <c r="AH96" s="67">
        <f t="shared" si="95"/>
        <v>0.0835507237383874</v>
      </c>
      <c r="AI96" s="67">
        <f t="shared" si="96"/>
        <v>0.939209990596819</v>
      </c>
      <c r="AJ96" s="67">
        <f t="shared" si="97"/>
        <v>0.40132171993428</v>
      </c>
      <c r="AK96" s="67">
        <f t="shared" si="98"/>
        <v>3.96304632808429</v>
      </c>
      <c r="AL96" s="67">
        <f t="shared" si="99"/>
        <v>0.218305985219535</v>
      </c>
      <c r="AM96" s="67">
        <f t="shared" si="100"/>
        <v>0.0801674406457375</v>
      </c>
      <c r="AN96" s="67">
        <f t="shared" si="101"/>
        <v>0.393154905233298</v>
      </c>
      <c r="AO96" s="67">
        <f t="shared" si="102"/>
        <v>0.122343738779124</v>
      </c>
      <c r="AP96" s="63">
        <f t="shared" si="113"/>
        <v>79.7052073551215</v>
      </c>
      <c r="AQ96" s="68"/>
      <c r="AR96" s="69">
        <f t="shared" si="114"/>
        <v>441.52406990489</v>
      </c>
      <c r="AS96" s="69"/>
      <c r="AT96" s="69">
        <f t="shared" si="115"/>
        <v>0.0140008662870199</v>
      </c>
      <c r="AU96" s="69">
        <f t="shared" si="116"/>
        <v>7.34760632272349e-5</v>
      </c>
      <c r="AV96" s="65">
        <f t="shared" si="117"/>
        <v>0.0175010321126963</v>
      </c>
      <c r="AW96" s="68"/>
      <c r="AX96" s="68"/>
      <c r="AY96" s="68">
        <f t="shared" si="118"/>
        <v>21.6487767234053</v>
      </c>
      <c r="AZ96" s="68">
        <f t="shared" si="119"/>
        <v>30.6268061972185</v>
      </c>
      <c r="BA96" s="71">
        <f t="shared" si="120"/>
        <v>0.0182220636803543</v>
      </c>
      <c r="BB96" s="71"/>
      <c r="BC96" s="65"/>
      <c r="BD96" s="65">
        <f t="shared" ref="BD96:BD127" si="128">X96*(Z96)^2/(Q96*(B96*V96)^2)</f>
        <v>0.0550853982383451</v>
      </c>
      <c r="BE96" s="65">
        <f t="shared" si="121"/>
        <v>0.317707281283006</v>
      </c>
      <c r="BF96" s="65">
        <f t="shared" si="122"/>
        <v>19.6756529993731</v>
      </c>
      <c r="BG96" s="69">
        <f t="shared" si="123"/>
        <v>0.000889476558325863</v>
      </c>
      <c r="BH96" s="69">
        <f t="shared" si="124"/>
        <v>2.63262951540622e-6</v>
      </c>
      <c r="BI96" s="72">
        <f t="shared" si="125"/>
        <v>20.2355683803051</v>
      </c>
      <c r="BJ96" s="72">
        <f t="shared" ref="BJ96:BJ127" si="129">((Z96*2)^2)*(AU96)/(SQRT(2)*AB96*((V96)^2))</f>
        <v>4.45130988708235</v>
      </c>
      <c r="BK96" s="73">
        <f t="shared" si="126"/>
        <v>0.188421713198138</v>
      </c>
      <c r="BL96" s="72">
        <f t="shared" si="90"/>
        <v>30.3318687747251</v>
      </c>
      <c r="BM96" s="74"/>
    </row>
    <row r="97" ht="25" customHeight="1" spans="1:67">
      <c r="A97" s="80">
        <v>24</v>
      </c>
      <c r="B97" s="55">
        <v>0.434421302012416</v>
      </c>
      <c r="C97" s="55">
        <v>-29.0669323349156</v>
      </c>
      <c r="D97" s="55"/>
      <c r="E97" s="55">
        <v>1.15848988842918</v>
      </c>
      <c r="F97" s="56">
        <v>1</v>
      </c>
      <c r="G97" s="57">
        <f t="shared" ref="G97:G105" si="130">0.001/11.95261</f>
        <v>8.36637353682585e-5</v>
      </c>
      <c r="H97" s="57">
        <f t="shared" ref="H97:H105" si="131">1/3000</f>
        <v>0.000333333333333333</v>
      </c>
      <c r="I97" s="58">
        <f t="shared" si="103"/>
        <v>0.0373036354423826</v>
      </c>
      <c r="J97" s="58"/>
      <c r="K97" s="58">
        <f t="shared" si="104"/>
        <v>2.69751569395075</v>
      </c>
      <c r="L97" s="57">
        <f t="shared" si="105"/>
        <v>0.000777268669169119</v>
      </c>
      <c r="M97" s="57">
        <f t="shared" si="106"/>
        <v>0.00184518651655679</v>
      </c>
      <c r="N97" s="57">
        <f t="shared" si="107"/>
        <v>0.217437645303659</v>
      </c>
      <c r="O97" s="59">
        <v>0.0302</v>
      </c>
      <c r="P97" s="60">
        <f t="shared" si="108"/>
        <v>0.0302</v>
      </c>
      <c r="Q97" s="61">
        <v>1000</v>
      </c>
      <c r="R97" s="59">
        <v>1.1616</v>
      </c>
      <c r="S97" s="59">
        <v>9.801</v>
      </c>
      <c r="T97" s="62">
        <v>4e-6</v>
      </c>
      <c r="U97" s="63">
        <v>1e-6</v>
      </c>
      <c r="V97" s="63">
        <f t="shared" si="127"/>
        <v>4e-6</v>
      </c>
      <c r="W97" s="64">
        <v>0.001147</v>
      </c>
      <c r="X97" s="64">
        <v>1.85e-5</v>
      </c>
      <c r="Y97" s="65">
        <f t="shared" ref="Y97:Y105" si="132">AC97*(1+C97/9.801)-7.5*Z97+18*AT97</f>
        <v>-3.13643960571778</v>
      </c>
      <c r="Z97" s="66">
        <f t="shared" si="109"/>
        <v>0.00115848988842918</v>
      </c>
      <c r="AA97" s="65">
        <f t="shared" si="110"/>
        <v>7.58011557809188</v>
      </c>
      <c r="AB97" s="65">
        <f t="shared" si="111"/>
        <v>14.4789652575441</v>
      </c>
      <c r="AC97" s="65">
        <f t="shared" si="112"/>
        <v>1.74223980800392</v>
      </c>
      <c r="AD97" s="67">
        <f t="shared" si="91"/>
        <v>8.31054668308411</v>
      </c>
      <c r="AE97" s="67">
        <f t="shared" si="92"/>
        <v>0.136670128915033</v>
      </c>
      <c r="AF97" s="67">
        <f t="shared" si="93"/>
        <v>0.0155121054153693</v>
      </c>
      <c r="AG97" s="67">
        <f t="shared" si="94"/>
        <v>0.462555822828565</v>
      </c>
      <c r="AH97" s="67">
        <f t="shared" si="95"/>
        <v>0.0990416867648614</v>
      </c>
      <c r="AI97" s="67">
        <f t="shared" si="96"/>
        <v>0.845708819091923</v>
      </c>
      <c r="AJ97" s="67"/>
      <c r="AK97" s="67">
        <f t="shared" si="98"/>
        <v>0.736653574739827</v>
      </c>
      <c r="AL97" s="67">
        <f t="shared" si="99"/>
        <v>0.00605727534329003</v>
      </c>
      <c r="AM97" s="67">
        <f t="shared" si="100"/>
        <v>1.18456142036831</v>
      </c>
      <c r="AN97" s="67">
        <f t="shared" ref="AN97:AN143" si="133">1.99297-1.34937*AD97+0.460643*(AD97^2)-0.0802005*(AD97^3)+0.00679617*(AD97^4)-0.000222018*AD97^5</f>
        <v>0.177371751408478</v>
      </c>
      <c r="AO97" s="67">
        <f t="shared" si="102"/>
        <v>0.295989865505812</v>
      </c>
      <c r="AP97" s="63">
        <f t="shared" si="113"/>
        <v>93.9289301648467</v>
      </c>
      <c r="AQ97" s="68"/>
      <c r="AR97" s="69">
        <f t="shared" si="114"/>
        <v>1059.76060166605</v>
      </c>
      <c r="AS97" s="69"/>
      <c r="AT97" s="69">
        <f t="shared" si="115"/>
        <v>0.0164993785896769</v>
      </c>
      <c r="AU97" s="69">
        <f t="shared" si="116"/>
        <v>9.89058849633402e-5</v>
      </c>
      <c r="AV97" s="65">
        <f t="shared" si="117"/>
        <v>0.00717521468420959</v>
      </c>
      <c r="AW97" s="68"/>
      <c r="AX97" s="68"/>
      <c r="AY97" s="68">
        <f t="shared" si="118"/>
        <v>8.87574056436726</v>
      </c>
      <c r="AZ97" s="68">
        <f t="shared" si="119"/>
        <v>12.5566256973668</v>
      </c>
      <c r="BA97" s="71">
        <f t="shared" si="120"/>
        <v>0.0245286594709084</v>
      </c>
      <c r="BB97" s="71"/>
      <c r="BC97" s="65"/>
      <c r="BD97" s="65">
        <f t="shared" si="128"/>
        <v>0.00822269184728975</v>
      </c>
      <c r="BE97" s="65">
        <f t="shared" si="121"/>
        <v>0.872611404813205</v>
      </c>
      <c r="BF97" s="65">
        <f t="shared" si="122"/>
        <v>2.38147634018856</v>
      </c>
      <c r="BG97" s="69">
        <f t="shared" si="123"/>
        <v>0.00301292713394813</v>
      </c>
      <c r="BH97" s="69">
        <f t="shared" si="124"/>
        <v>6.14550507974784e-7</v>
      </c>
      <c r="BI97" s="72">
        <f t="shared" si="125"/>
        <v>8.29634197861734</v>
      </c>
      <c r="BJ97" s="72">
        <f t="shared" si="129"/>
        <v>1.62066820874961</v>
      </c>
      <c r="BK97" s="73">
        <f t="shared" si="126"/>
        <v>0.795327578950584</v>
      </c>
      <c r="BL97" s="72">
        <f t="shared" si="90"/>
        <v>17.9634448735519</v>
      </c>
      <c r="BM97" s="1"/>
      <c r="BN97" s="81"/>
    </row>
    <row r="98" ht="25" customHeight="1" spans="1:67">
      <c r="A98" s="80">
        <v>25</v>
      </c>
      <c r="B98" s="55">
        <v>0.428729248751949</v>
      </c>
      <c r="C98" s="55">
        <v>-28.956501806821</v>
      </c>
      <c r="D98" s="55"/>
      <c r="E98" s="55">
        <v>1.18207714490075</v>
      </c>
      <c r="F98" s="56">
        <v>1</v>
      </c>
      <c r="G98" s="57">
        <f t="shared" si="130"/>
        <v>8.36637353682585e-5</v>
      </c>
      <c r="H98" s="57">
        <f t="shared" si="131"/>
        <v>0.000333333333333333</v>
      </c>
      <c r="I98" s="58">
        <f t="shared" si="103"/>
        <v>0.0359747389001234</v>
      </c>
      <c r="J98" s="58"/>
      <c r="K98" s="58">
        <f t="shared" si="104"/>
        <v>2.62076234267948</v>
      </c>
      <c r="L98" s="57">
        <f t="shared" si="105"/>
        <v>0.000785141527588209</v>
      </c>
      <c r="M98" s="57">
        <f t="shared" si="106"/>
        <v>0.00192977091305879</v>
      </c>
      <c r="N98" s="57">
        <f t="shared" si="107"/>
        <v>0.205184764778911</v>
      </c>
      <c r="O98" s="59">
        <v>0.0302</v>
      </c>
      <c r="P98" s="60">
        <f t="shared" si="108"/>
        <v>0.0302</v>
      </c>
      <c r="Q98" s="61">
        <v>1000</v>
      </c>
      <c r="R98" s="59">
        <v>1.1616</v>
      </c>
      <c r="S98" s="59">
        <v>9.801</v>
      </c>
      <c r="T98" s="62">
        <v>4e-6</v>
      </c>
      <c r="U98" s="63">
        <v>1e-6</v>
      </c>
      <c r="V98" s="63">
        <f t="shared" si="127"/>
        <v>4e-6</v>
      </c>
      <c r="W98" s="64">
        <v>0.001147</v>
      </c>
      <c r="X98" s="64">
        <v>1.85e-5</v>
      </c>
      <c r="Y98" s="65">
        <f t="shared" si="132"/>
        <v>-3.26094753914729</v>
      </c>
      <c r="Z98" s="66">
        <f t="shared" si="109"/>
        <v>0.00118207714490075</v>
      </c>
      <c r="AA98" s="65">
        <f t="shared" si="110"/>
        <v>7.32970278977628</v>
      </c>
      <c r="AB98" s="65">
        <f t="shared" si="111"/>
        <v>14.3891486459918</v>
      </c>
      <c r="AC98" s="65">
        <f t="shared" si="112"/>
        <v>1.8139072577542</v>
      </c>
      <c r="AD98" s="67">
        <f t="shared" si="91"/>
        <v>7.93268155495832</v>
      </c>
      <c r="AE98" s="67">
        <f t="shared" si="92"/>
        <v>0.139452780205233</v>
      </c>
      <c r="AF98" s="67">
        <f t="shared" si="93"/>
        <v>0.0165371808832549</v>
      </c>
      <c r="AG98" s="67">
        <f t="shared" si="94"/>
        <v>0.447202046678745</v>
      </c>
      <c r="AH98" s="67">
        <f t="shared" si="95"/>
        <v>0.0997751520166141</v>
      </c>
      <c r="AI98" s="67">
        <f t="shared" si="96"/>
        <v>0.848596696419964</v>
      </c>
      <c r="AJ98" s="67"/>
      <c r="AK98" s="67">
        <f t="shared" si="98"/>
        <v>0.736338023032818</v>
      </c>
      <c r="AL98" s="67">
        <f t="shared" si="99"/>
        <v>0.00647223664351992</v>
      </c>
      <c r="AM98" s="67">
        <f t="shared" si="100"/>
        <v>1.14264380995597</v>
      </c>
      <c r="AN98" s="67">
        <f t="shared" si="133"/>
        <v>0.178974506386838</v>
      </c>
      <c r="AO98" s="67">
        <f t="shared" si="102"/>
        <v>0.296310409646841</v>
      </c>
      <c r="AP98" s="63">
        <f t="shared" si="113"/>
        <v>92.6982159463674</v>
      </c>
      <c r="AQ98" s="68"/>
      <c r="AR98" s="69">
        <f t="shared" si="114"/>
        <v>1088.0873713261</v>
      </c>
      <c r="AS98" s="69"/>
      <c r="AT98" s="69">
        <f t="shared" si="115"/>
        <v>0.01628319365293</v>
      </c>
      <c r="AU98" s="69">
        <f t="shared" si="116"/>
        <v>9.79141248770752e-5</v>
      </c>
      <c r="AV98" s="65">
        <f t="shared" si="117"/>
        <v>0.00739546113728823</v>
      </c>
      <c r="AW98" s="68"/>
      <c r="AX98" s="68"/>
      <c r="AY98" s="68">
        <f t="shared" si="118"/>
        <v>9.14818542682554</v>
      </c>
      <c r="AZ98" s="68">
        <f t="shared" si="119"/>
        <v>12.9420569902544</v>
      </c>
      <c r="BA98" s="71">
        <f t="shared" si="120"/>
        <v>0.0242827029695146</v>
      </c>
      <c r="BB98" s="71"/>
      <c r="BC98" s="65"/>
      <c r="BD98" s="65">
        <f t="shared" si="128"/>
        <v>0.008789762909244</v>
      </c>
      <c r="BE98" s="65">
        <f t="shared" si="121"/>
        <v>0.841372084053665</v>
      </c>
      <c r="BF98" s="65">
        <f t="shared" si="122"/>
        <v>2.59754446102841</v>
      </c>
      <c r="BG98" s="69">
        <f t="shared" si="123"/>
        <v>0.00284709703654513</v>
      </c>
      <c r="BH98" s="69">
        <f t="shared" si="124"/>
        <v>6.3586116428126e-7</v>
      </c>
      <c r="BI98" s="72">
        <f t="shared" si="125"/>
        <v>8.55100193998951</v>
      </c>
      <c r="BJ98" s="72">
        <f t="shared" si="129"/>
        <v>1.68084203074521</v>
      </c>
      <c r="BK98" s="73">
        <f t="shared" si="126"/>
        <v>0.7903306696091</v>
      </c>
      <c r="BL98" s="72">
        <f t="shared" si="90"/>
        <v>18.0169631615002</v>
      </c>
      <c r="BM98" s="1"/>
      <c r="BN98" s="81"/>
    </row>
    <row r="99" ht="25" customHeight="1" spans="1:67">
      <c r="A99" s="80">
        <v>27</v>
      </c>
      <c r="B99" s="55">
        <v>0.444544126461706</v>
      </c>
      <c r="C99" s="55">
        <v>-28.0286398967497</v>
      </c>
      <c r="D99" s="55">
        <v>10.2668883765643</v>
      </c>
      <c r="E99" s="55">
        <v>1.16865343065144</v>
      </c>
      <c r="F99" s="56">
        <v>1</v>
      </c>
      <c r="G99" s="57">
        <f t="shared" si="130"/>
        <v>8.36637353682585e-5</v>
      </c>
      <c r="H99" s="57">
        <f t="shared" si="131"/>
        <v>0.000333333333333333</v>
      </c>
      <c r="I99" s="58">
        <f t="shared" si="103"/>
        <v>0.0377927057290259</v>
      </c>
      <c r="J99" s="58"/>
      <c r="K99" s="58">
        <f t="shared" si="104"/>
        <v>2.82163810511108</v>
      </c>
      <c r="L99" s="57">
        <f t="shared" si="105"/>
        <v>0.000780670749831988</v>
      </c>
      <c r="M99" s="57">
        <f t="shared" si="106"/>
        <v>0.00177624245055468</v>
      </c>
      <c r="N99" s="57">
        <f t="shared" si="107"/>
        <v>0.224589426114383</v>
      </c>
      <c r="O99" s="59">
        <v>0.0302</v>
      </c>
      <c r="P99" s="60">
        <f t="shared" si="108"/>
        <v>0.0302</v>
      </c>
      <c r="Q99" s="61">
        <v>1000</v>
      </c>
      <c r="R99" s="59">
        <v>1.1616</v>
      </c>
      <c r="S99" s="59">
        <v>9.801</v>
      </c>
      <c r="T99" s="62">
        <v>4e-6</v>
      </c>
      <c r="U99" s="63">
        <v>1e-6</v>
      </c>
      <c r="V99" s="63">
        <f t="shared" si="127"/>
        <v>4e-6</v>
      </c>
      <c r="W99" s="64">
        <v>0.001147</v>
      </c>
      <c r="X99" s="64">
        <v>1.85e-5</v>
      </c>
      <c r="Y99" s="65">
        <f t="shared" si="132"/>
        <v>-3.00212914036084</v>
      </c>
      <c r="Z99" s="66">
        <f t="shared" si="109"/>
        <v>0.00116865343065144</v>
      </c>
      <c r="AA99" s="65">
        <f t="shared" si="110"/>
        <v>8.03361265910302</v>
      </c>
      <c r="AB99" s="65">
        <f t="shared" si="111"/>
        <v>15.2946148145581</v>
      </c>
      <c r="AC99" s="65">
        <f t="shared" si="112"/>
        <v>1.77294357514968</v>
      </c>
      <c r="AD99" s="67">
        <f t="shared" si="91"/>
        <v>8.62667883452907</v>
      </c>
      <c r="AE99" s="67">
        <f t="shared" si="92"/>
        <v>0.137869148983851</v>
      </c>
      <c r="AF99" s="67">
        <f t="shared" si="93"/>
        <v>0.0151061685727616</v>
      </c>
      <c r="AG99" s="67">
        <f t="shared" si="94"/>
        <v>0.48125007390393</v>
      </c>
      <c r="AH99" s="67">
        <f t="shared" si="95"/>
        <v>0.0996824947547501</v>
      </c>
      <c r="AI99" s="67">
        <f t="shared" si="96"/>
        <v>0.843488491344742</v>
      </c>
      <c r="AJ99" s="67"/>
      <c r="AK99" s="67">
        <f t="shared" si="98"/>
        <v>0.758789418126589</v>
      </c>
      <c r="AL99" s="67">
        <f t="shared" si="99"/>
        <v>0.00606337927617862</v>
      </c>
      <c r="AM99" s="67">
        <f t="shared" si="100"/>
        <v>1.19897575442922</v>
      </c>
      <c r="AN99" s="67">
        <f t="shared" si="133"/>
        <v>0.176742591746921</v>
      </c>
      <c r="AO99" s="67">
        <f t="shared" si="102"/>
        <v>0.298343665980249</v>
      </c>
      <c r="AP99" s="63">
        <f t="shared" si="113"/>
        <v>96.1176489646932</v>
      </c>
      <c r="AQ99" s="68">
        <f t="shared" ref="AQ99:AQ102" si="134">((D99/9.801)-1)*AC99*(AP99^2)/64</f>
        <v>12.165576814253</v>
      </c>
      <c r="AR99" s="69">
        <f t="shared" si="114"/>
        <v>1012.04597656022</v>
      </c>
      <c r="AS99" s="69"/>
      <c r="AT99" s="69">
        <f t="shared" si="115"/>
        <v>0.0168838448030323</v>
      </c>
      <c r="AU99" s="69">
        <f t="shared" si="116"/>
        <v>9.8474863564434e-5</v>
      </c>
      <c r="AV99" s="65">
        <f t="shared" si="117"/>
        <v>0.00726984474204674</v>
      </c>
      <c r="AW99" s="68">
        <v>10.17</v>
      </c>
      <c r="AX99" s="68">
        <f t="shared" ref="AX99:AX102" si="135">AW99/(1000*AV99)</f>
        <v>1.39892946285078</v>
      </c>
      <c r="AY99" s="68">
        <f t="shared" si="118"/>
        <v>8.99279794591181</v>
      </c>
      <c r="AZ99" s="68">
        <f t="shared" si="119"/>
        <v>12.7222282985818</v>
      </c>
      <c r="BA99" s="71">
        <f t="shared" si="120"/>
        <v>0.0244217661639796</v>
      </c>
      <c r="BB99" s="71"/>
      <c r="BC99" s="65"/>
      <c r="BD99" s="65">
        <f t="shared" si="128"/>
        <v>0.00799085903325956</v>
      </c>
      <c r="BE99" s="65">
        <f t="shared" si="121"/>
        <v>0.909770115051233</v>
      </c>
      <c r="BF99" s="65">
        <f t="shared" si="122"/>
        <v>2.33463620576771</v>
      </c>
      <c r="BG99" s="69">
        <f t="shared" si="123"/>
        <v>0.00311390902106573</v>
      </c>
      <c r="BH99" s="69">
        <f t="shared" si="124"/>
        <v>6.60610666262525e-7</v>
      </c>
      <c r="BI99" s="72">
        <f t="shared" si="125"/>
        <v>8.40575798299154</v>
      </c>
      <c r="BJ99" s="72">
        <f t="shared" si="129"/>
        <v>1.55447353015487</v>
      </c>
      <c r="BK99" s="73">
        <f t="shared" si="126"/>
        <v>0.748898418729586</v>
      </c>
      <c r="BL99" s="72">
        <f t="shared" si="90"/>
        <v>18.8405019648574</v>
      </c>
      <c r="BM99" s="1"/>
      <c r="BN99" s="81"/>
    </row>
    <row r="100" ht="25" customHeight="1" spans="1:67">
      <c r="A100" s="80">
        <v>28</v>
      </c>
      <c r="B100" s="55">
        <v>0.445252299123823</v>
      </c>
      <c r="C100" s="55">
        <v>-28.9981318410377</v>
      </c>
      <c r="D100" s="55">
        <v>10.1710669934562</v>
      </c>
      <c r="E100" s="55">
        <v>1.16632159265942</v>
      </c>
      <c r="F100" s="56">
        <v>1</v>
      </c>
      <c r="G100" s="57">
        <f t="shared" si="130"/>
        <v>8.36637353682585e-5</v>
      </c>
      <c r="H100" s="57">
        <f t="shared" si="131"/>
        <v>0.000333333333333333</v>
      </c>
      <c r="I100" s="58">
        <f t="shared" si="103"/>
        <v>0.0379396178154227</v>
      </c>
      <c r="J100" s="58"/>
      <c r="K100" s="58">
        <f t="shared" si="104"/>
        <v>2.83133425294573</v>
      </c>
      <c r="L100" s="57">
        <f t="shared" si="105"/>
        <v>0.000779891516809527</v>
      </c>
      <c r="M100" s="57">
        <f t="shared" si="106"/>
        <v>0.0017673644358969</v>
      </c>
      <c r="N100" s="57">
        <f t="shared" si="107"/>
        <v>0.226012743536468</v>
      </c>
      <c r="O100" s="59">
        <v>0.0302</v>
      </c>
      <c r="P100" s="60">
        <f t="shared" si="108"/>
        <v>0.0302</v>
      </c>
      <c r="Q100" s="61">
        <v>1000</v>
      </c>
      <c r="R100" s="59">
        <v>1.1616</v>
      </c>
      <c r="S100" s="59">
        <v>9.801</v>
      </c>
      <c r="T100" s="62">
        <v>4e-6</v>
      </c>
      <c r="U100" s="63">
        <v>1e-6</v>
      </c>
      <c r="V100" s="63">
        <f t="shared" si="127"/>
        <v>4e-6</v>
      </c>
      <c r="W100" s="64">
        <v>0.001147</v>
      </c>
      <c r="X100" s="64">
        <v>1.85e-5</v>
      </c>
      <c r="Y100" s="65">
        <f t="shared" si="132"/>
        <v>-3.16315866865108</v>
      </c>
      <c r="Z100" s="66">
        <f t="shared" si="109"/>
        <v>0.00116632159265942</v>
      </c>
      <c r="AA100" s="65">
        <f t="shared" si="110"/>
        <v>8.06572935142968</v>
      </c>
      <c r="AB100" s="65">
        <f t="shared" si="111"/>
        <v>15.3127682605018</v>
      </c>
      <c r="AC100" s="65">
        <f t="shared" si="112"/>
        <v>1.7658754529262</v>
      </c>
      <c r="AD100" s="67">
        <f t="shared" ref="AD100:AD143" si="136">AB100/AC100</f>
        <v>8.67148826103634</v>
      </c>
      <c r="AE100" s="67">
        <f t="shared" ref="AE100:AE143" si="137">2*AD100*BD100</f>
        <v>0.137594055862917</v>
      </c>
      <c r="AF100" s="67">
        <f t="shared" ref="AF100:AF143" si="138">HARMEAN(AE100,BD100)</f>
        <v>0.0150023695115508</v>
      </c>
      <c r="AG100" s="67">
        <f t="shared" ref="AG100:AG143" si="139">AV100/AF100</f>
        <v>0.483130154203836</v>
      </c>
      <c r="AH100" s="67">
        <f t="shared" ref="AH100:AH143" si="140">AV100/AVERAGE((AE100,BD100))</f>
        <v>0.0996111953230547</v>
      </c>
      <c r="AI100" s="67">
        <f t="shared" ref="AI100:AI143" si="141">ATAN((1+1/AD100)/SQRT(1-1/(AD100^2)))</f>
        <v>0.84318696551408</v>
      </c>
      <c r="AJ100" s="67"/>
      <c r="AK100" s="67">
        <f t="shared" ref="AK100:AK143" si="142">((9.8)/(9.8-C100))*2*AD100*(PI()-2*AI100)/SQRT(AD100^2-1)</f>
        <v>0.74008346979588</v>
      </c>
      <c r="AL100" s="67">
        <f t="shared" ref="AL100:AL143" si="143">AK100*BD100</f>
        <v>0.00587160376747983</v>
      </c>
      <c r="AM100" s="67">
        <f t="shared" ref="AM100:AM143" si="144">AV100/AL100</f>
        <v>1.23443225779001</v>
      </c>
      <c r="AN100" s="67">
        <f t="shared" si="133"/>
        <v>0.176605553704777</v>
      </c>
      <c r="AO100" s="67">
        <f t="shared" ref="AO100:AO143" si="145">AV100/(2*AD100*AN100*BD100)</f>
        <v>0.298277142079783</v>
      </c>
      <c r="AP100" s="63">
        <f t="shared" si="113"/>
        <v>96.2707673781239</v>
      </c>
      <c r="AQ100" s="68">
        <f t="shared" si="134"/>
        <v>9.65559242575446</v>
      </c>
      <c r="AR100" s="69">
        <f t="shared" si="114"/>
        <v>1008.82922355334</v>
      </c>
      <c r="AS100" s="69"/>
      <c r="AT100" s="69">
        <f t="shared" si="115"/>
        <v>0.0169107412945373</v>
      </c>
      <c r="AU100" s="69">
        <f t="shared" si="116"/>
        <v>9.8573255281638e-5</v>
      </c>
      <c r="AV100" s="65">
        <f t="shared" si="117"/>
        <v>0.00724809709553846</v>
      </c>
      <c r="AW100" s="68">
        <v>10.284</v>
      </c>
      <c r="AX100" s="68">
        <f t="shared" si="135"/>
        <v>1.41885516494119</v>
      </c>
      <c r="AY100" s="68">
        <f t="shared" si="118"/>
        <v>8.96589610718107</v>
      </c>
      <c r="AZ100" s="68">
        <f t="shared" si="119"/>
        <v>12.6841699171923</v>
      </c>
      <c r="BA100" s="71">
        <f t="shared" si="120"/>
        <v>0.0244461673098462</v>
      </c>
      <c r="BB100" s="71"/>
      <c r="BC100" s="65"/>
      <c r="BD100" s="65">
        <f t="shared" si="128"/>
        <v>0.00793370478751437</v>
      </c>
      <c r="BE100" s="65">
        <f t="shared" si="121"/>
        <v>0.913582908573194</v>
      </c>
      <c r="BF100" s="65">
        <f t="shared" si="122"/>
        <v>2.31331280086586</v>
      </c>
      <c r="BG100" s="69">
        <f t="shared" si="123"/>
        <v>0.00313321099197028</v>
      </c>
      <c r="BH100" s="69">
        <f t="shared" si="124"/>
        <v>6.58758000977752e-7</v>
      </c>
      <c r="BI100" s="72">
        <f t="shared" si="125"/>
        <v>8.38061226671634</v>
      </c>
      <c r="BJ100" s="72">
        <f t="shared" si="129"/>
        <v>1.54798601101434</v>
      </c>
      <c r="BK100" s="73">
        <f t="shared" si="126"/>
        <v>0.74893375900745</v>
      </c>
      <c r="BL100" s="72">
        <f t="shared" si="90"/>
        <v>18.8445191663542</v>
      </c>
      <c r="BM100" s="1"/>
      <c r="BN100" s="81"/>
    </row>
    <row r="101" ht="25" customHeight="1" spans="1:67">
      <c r="A101" s="80">
        <v>29</v>
      </c>
      <c r="B101" s="55">
        <v>0.44361056425456</v>
      </c>
      <c r="C101" s="55">
        <v>-30.1941618588336</v>
      </c>
      <c r="D101" s="55">
        <v>9.97420515007628</v>
      </c>
      <c r="E101" s="55">
        <v>1.19984002384025</v>
      </c>
      <c r="F101" s="56">
        <v>1</v>
      </c>
      <c r="G101" s="57">
        <f t="shared" si="130"/>
        <v>8.36637353682585e-5</v>
      </c>
      <c r="H101" s="57">
        <f t="shared" si="131"/>
        <v>0.000333333333333333</v>
      </c>
      <c r="I101" s="58">
        <f t="shared" si="103"/>
        <v>0.0365939546910664</v>
      </c>
      <c r="J101" s="58"/>
      <c r="K101" s="58">
        <f t="shared" si="104"/>
        <v>2.80076229034073</v>
      </c>
      <c r="L101" s="57">
        <f t="shared" si="105"/>
        <v>0.000791018627693626</v>
      </c>
      <c r="M101" s="57">
        <f t="shared" si="106"/>
        <v>0.00182727158336402</v>
      </c>
      <c r="N101" s="57">
        <f t="shared" si="107"/>
        <v>0.214598488028775</v>
      </c>
      <c r="O101" s="59">
        <v>0.0302</v>
      </c>
      <c r="P101" s="60">
        <f t="shared" si="108"/>
        <v>0.0302</v>
      </c>
      <c r="Q101" s="61">
        <v>1000</v>
      </c>
      <c r="R101" s="59">
        <v>1.1616</v>
      </c>
      <c r="S101" s="59">
        <v>9.801</v>
      </c>
      <c r="T101" s="62">
        <v>4e-6</v>
      </c>
      <c r="U101" s="63">
        <v>1e-6</v>
      </c>
      <c r="V101" s="63">
        <f t="shared" si="127"/>
        <v>4e-6</v>
      </c>
      <c r="W101" s="64">
        <v>0.001147</v>
      </c>
      <c r="X101" s="64">
        <v>1.85e-5</v>
      </c>
      <c r="Y101" s="65">
        <f t="shared" si="132"/>
        <v>-3.59424752387462</v>
      </c>
      <c r="Z101" s="66">
        <f t="shared" si="109"/>
        <v>0.00119984002384025</v>
      </c>
      <c r="AA101" s="65">
        <f t="shared" si="110"/>
        <v>7.99135233018599</v>
      </c>
      <c r="AB101" s="65">
        <f t="shared" si="111"/>
        <v>15.6368819536553</v>
      </c>
      <c r="AC101" s="65">
        <f t="shared" si="112"/>
        <v>1.86883142087559</v>
      </c>
      <c r="AD101" s="67">
        <f t="shared" si="136"/>
        <v>8.36719769316005</v>
      </c>
      <c r="AE101" s="67">
        <f t="shared" si="137"/>
        <v>0.141548314209294</v>
      </c>
      <c r="AF101" s="67">
        <f t="shared" si="138"/>
        <v>0.0159631395517979</v>
      </c>
      <c r="AG101" s="67">
        <f t="shared" si="139"/>
        <v>0.473765285837257</v>
      </c>
      <c r="AH101" s="67">
        <f t="shared" si="140"/>
        <v>0.100832487037264</v>
      </c>
      <c r="AI101" s="67">
        <f t="shared" si="141"/>
        <v>0.84529850771074</v>
      </c>
      <c r="AJ101" s="67"/>
      <c r="AK101" s="67">
        <f t="shared" si="142"/>
        <v>0.716225210323419</v>
      </c>
      <c r="AL101" s="67">
        <f t="shared" si="143"/>
        <v>0.00605820938104239</v>
      </c>
      <c r="AM101" s="67">
        <f t="shared" si="144"/>
        <v>1.24835259017018</v>
      </c>
      <c r="AN101" s="67">
        <f t="shared" si="133"/>
        <v>0.177260072075018</v>
      </c>
      <c r="AO101" s="67">
        <f t="shared" si="145"/>
        <v>0.301415736757019</v>
      </c>
      <c r="AP101" s="63">
        <f t="shared" si="113"/>
        <v>95.9157976766616</v>
      </c>
      <c r="AQ101" s="68">
        <f t="shared" si="134"/>
        <v>4.74745493794082</v>
      </c>
      <c r="AR101" s="69">
        <f t="shared" si="114"/>
        <v>1016.31008615828</v>
      </c>
      <c r="AS101" s="69"/>
      <c r="AT101" s="69">
        <f t="shared" si="115"/>
        <v>0.0168483879867543</v>
      </c>
      <c r="AU101" s="69">
        <f t="shared" si="116"/>
        <v>9.71866437615991e-5</v>
      </c>
      <c r="AV101" s="65">
        <f t="shared" si="117"/>
        <v>0.00756278137261753</v>
      </c>
      <c r="AW101" s="68">
        <v>10.279</v>
      </c>
      <c r="AX101" s="68">
        <f t="shared" si="135"/>
        <v>1.3591560424075</v>
      </c>
      <c r="AY101" s="68">
        <f t="shared" si="118"/>
        <v>9.35516055792789</v>
      </c>
      <c r="AZ101" s="68">
        <f t="shared" si="119"/>
        <v>13.2348674020807</v>
      </c>
      <c r="BA101" s="71">
        <f t="shared" si="120"/>
        <v>0.0241022876528766</v>
      </c>
      <c r="BB101" s="71"/>
      <c r="BC101" s="65"/>
      <c r="BD101" s="65">
        <f t="shared" si="128"/>
        <v>0.00845852574542404</v>
      </c>
      <c r="BE101" s="65">
        <f t="shared" si="121"/>
        <v>0.89410159645242</v>
      </c>
      <c r="BF101" s="65">
        <f t="shared" si="122"/>
        <v>2.53721943301074</v>
      </c>
      <c r="BG101" s="69">
        <f t="shared" si="123"/>
        <v>0.00298073602709377</v>
      </c>
      <c r="BH101" s="69">
        <f t="shared" si="124"/>
        <v>7.1192199092908e-7</v>
      </c>
      <c r="BI101" s="72">
        <f t="shared" si="125"/>
        <v>8.74446596208902</v>
      </c>
      <c r="BJ101" s="72">
        <f t="shared" si="129"/>
        <v>1.58171461496585</v>
      </c>
      <c r="BK101" s="73">
        <f t="shared" si="126"/>
        <v>0.72024187377178</v>
      </c>
      <c r="BL101" s="72">
        <f t="shared" si="90"/>
        <v>19.3745447954065</v>
      </c>
      <c r="BM101" s="1"/>
      <c r="BN101" s="81"/>
    </row>
    <row r="102" ht="25" customHeight="1" spans="1:67">
      <c r="A102" s="80">
        <v>30</v>
      </c>
      <c r="B102" s="55">
        <v>0.443348194180834</v>
      </c>
      <c r="C102" s="55">
        <v>-29.1367464292118</v>
      </c>
      <c r="D102" s="55">
        <v>10.2853428196793</v>
      </c>
      <c r="E102" s="55">
        <v>1.15587692288015</v>
      </c>
      <c r="F102" s="56">
        <v>1</v>
      </c>
      <c r="G102" s="57">
        <f t="shared" si="130"/>
        <v>8.36637353682585e-5</v>
      </c>
      <c r="H102" s="57">
        <f t="shared" si="131"/>
        <v>0.000333333333333333</v>
      </c>
      <c r="I102" s="58">
        <f t="shared" si="103"/>
        <v>0.0381688673006808</v>
      </c>
      <c r="J102" s="58"/>
      <c r="K102" s="58">
        <f t="shared" si="104"/>
        <v>2.8103065472189</v>
      </c>
      <c r="L102" s="57">
        <f t="shared" si="105"/>
        <v>0.00077639161241551</v>
      </c>
      <c r="M102" s="57">
        <f t="shared" si="106"/>
        <v>0.00176797489234688</v>
      </c>
      <c r="N102" s="57">
        <f t="shared" si="107"/>
        <v>0.227269741584647</v>
      </c>
      <c r="O102" s="59">
        <v>0.0302</v>
      </c>
      <c r="P102" s="60">
        <f t="shared" si="108"/>
        <v>0.0302</v>
      </c>
      <c r="Q102" s="61">
        <v>1000</v>
      </c>
      <c r="R102" s="59">
        <v>1.1616</v>
      </c>
      <c r="S102" s="59">
        <v>9.801</v>
      </c>
      <c r="T102" s="62">
        <v>4e-6</v>
      </c>
      <c r="U102" s="63">
        <v>1e-6</v>
      </c>
      <c r="V102" s="63">
        <f t="shared" si="127"/>
        <v>4e-6</v>
      </c>
      <c r="W102" s="64">
        <v>0.001147</v>
      </c>
      <c r="X102" s="64">
        <v>1.85e-5</v>
      </c>
      <c r="Y102" s="65">
        <f t="shared" si="132"/>
        <v>-3.12724001189498</v>
      </c>
      <c r="Z102" s="66">
        <f t="shared" si="109"/>
        <v>0.00115587692288015</v>
      </c>
      <c r="AA102" s="65">
        <f t="shared" si="110"/>
        <v>7.97949140078524</v>
      </c>
      <c r="AB102" s="65">
        <f t="shared" si="111"/>
        <v>15.0461204276626</v>
      </c>
      <c r="AC102" s="65">
        <f t="shared" si="112"/>
        <v>1.73438945268349</v>
      </c>
      <c r="AD102" s="67">
        <f t="shared" si="136"/>
        <v>8.67516831607973</v>
      </c>
      <c r="AE102" s="67">
        <f t="shared" si="137"/>
        <v>0.136361870429566</v>
      </c>
      <c r="AF102" s="67">
        <f t="shared" si="138"/>
        <v>0.0148620565565634</v>
      </c>
      <c r="AG102" s="67">
        <f t="shared" si="139"/>
        <v>0.481155005926334</v>
      </c>
      <c r="AH102" s="67">
        <f t="shared" si="140"/>
        <v>0.099166465403528</v>
      </c>
      <c r="AI102" s="67">
        <f t="shared" si="141"/>
        <v>0.843162341508502</v>
      </c>
      <c r="AJ102" s="67"/>
      <c r="AK102" s="67">
        <f t="shared" si="142"/>
        <v>0.737469518443345</v>
      </c>
      <c r="AL102" s="67">
        <f t="shared" si="143"/>
        <v>0.00579600990180958</v>
      </c>
      <c r="AM102" s="67">
        <f t="shared" si="144"/>
        <v>1.23377168633169</v>
      </c>
      <c r="AN102" s="67">
        <f t="shared" si="133"/>
        <v>0.176593100395786</v>
      </c>
      <c r="AO102" s="67">
        <f t="shared" si="145"/>
        <v>0.296959509443285</v>
      </c>
      <c r="AP102" s="63">
        <f t="shared" si="113"/>
        <v>95.8590690120722</v>
      </c>
      <c r="AQ102" s="68">
        <f t="shared" si="134"/>
        <v>12.3059611576406</v>
      </c>
      <c r="AR102" s="69">
        <f t="shared" si="114"/>
        <v>1017.51333117544</v>
      </c>
      <c r="AS102" s="69"/>
      <c r="AT102" s="69">
        <f t="shared" si="115"/>
        <v>0.0168384231366032</v>
      </c>
      <c r="AU102" s="69">
        <f t="shared" si="116"/>
        <v>9.9017614756645e-5</v>
      </c>
      <c r="AV102" s="65">
        <f t="shared" si="117"/>
        <v>0.00715095291055079</v>
      </c>
      <c r="AW102" s="68">
        <v>10.123</v>
      </c>
      <c r="AX102" s="68">
        <f t="shared" si="135"/>
        <v>1.41561553077271</v>
      </c>
      <c r="AY102" s="68">
        <f t="shared" si="118"/>
        <v>8.84572875035132</v>
      </c>
      <c r="AZ102" s="68">
        <f t="shared" si="119"/>
        <v>12.5141675934639</v>
      </c>
      <c r="BA102" s="71">
        <f t="shared" si="120"/>
        <v>0.024556368459648</v>
      </c>
      <c r="BB102" s="71"/>
      <c r="BC102" s="65"/>
      <c r="BD102" s="65">
        <f t="shared" si="128"/>
        <v>0.00785932131004387</v>
      </c>
      <c r="BE102" s="65">
        <f t="shared" si="121"/>
        <v>0.909869011388067</v>
      </c>
      <c r="BF102" s="65">
        <f t="shared" si="122"/>
        <v>2.27110203294498</v>
      </c>
      <c r="BG102" s="69">
        <f t="shared" si="123"/>
        <v>0.00314867091254285</v>
      </c>
      <c r="BH102" s="69">
        <f t="shared" si="124"/>
        <v>6.35745479389712e-7</v>
      </c>
      <c r="BI102" s="72">
        <f t="shared" si="125"/>
        <v>8.26828930282435</v>
      </c>
      <c r="BJ102" s="72">
        <f t="shared" si="129"/>
        <v>1.55430456985849</v>
      </c>
      <c r="BK102" s="73">
        <f t="shared" si="126"/>
        <v>0.766391652258254</v>
      </c>
      <c r="BL102" s="72">
        <f t="shared" si="90"/>
        <v>18.5148993330296</v>
      </c>
      <c r="BM102" s="1"/>
      <c r="BN102" s="81"/>
    </row>
    <row r="103" ht="25" customHeight="1" spans="1:67">
      <c r="A103" s="80">
        <v>31</v>
      </c>
      <c r="B103" s="55">
        <v>0.391491215646472</v>
      </c>
      <c r="C103" s="55">
        <v>-27.5015872864381</v>
      </c>
      <c r="D103" s="55"/>
      <c r="E103" s="55">
        <v>1.10331689080258</v>
      </c>
      <c r="F103" s="56">
        <v>1</v>
      </c>
      <c r="G103" s="57">
        <f t="shared" si="130"/>
        <v>8.36637353682585e-5</v>
      </c>
      <c r="H103" s="57">
        <f t="shared" si="131"/>
        <v>0.000333333333333333</v>
      </c>
      <c r="I103" s="58">
        <f t="shared" si="103"/>
        <v>0.0355557025534034</v>
      </c>
      <c r="J103" s="58"/>
      <c r="K103" s="58">
        <f t="shared" si="104"/>
        <v>2.20429560805131</v>
      </c>
      <c r="L103" s="57">
        <f t="shared" si="105"/>
        <v>0.000758534209150231</v>
      </c>
      <c r="M103" s="57">
        <f t="shared" si="106"/>
        <v>0.00217310191627142</v>
      </c>
      <c r="N103" s="57">
        <f t="shared" si="107"/>
        <v>0.190655367058676</v>
      </c>
      <c r="O103" s="59">
        <v>0.0302</v>
      </c>
      <c r="P103" s="60">
        <f t="shared" si="108"/>
        <v>0.0302</v>
      </c>
      <c r="Q103" s="61">
        <v>1000</v>
      </c>
      <c r="R103" s="59">
        <v>1.1616</v>
      </c>
      <c r="S103" s="59">
        <v>9.801</v>
      </c>
      <c r="T103" s="62">
        <v>4e-6</v>
      </c>
      <c r="U103" s="63">
        <v>1e-6</v>
      </c>
      <c r="V103" s="63">
        <f t="shared" si="127"/>
        <v>4e-6</v>
      </c>
      <c r="W103" s="64">
        <v>0.001147</v>
      </c>
      <c r="X103" s="64">
        <v>1.85e-5</v>
      </c>
      <c r="Y103" s="65">
        <f t="shared" si="132"/>
        <v>-2.59455136119768</v>
      </c>
      <c r="Z103" s="66">
        <f t="shared" si="109"/>
        <v>0.00110331689080258</v>
      </c>
      <c r="AA103" s="65">
        <f t="shared" si="110"/>
        <v>5.7729547364094</v>
      </c>
      <c r="AB103" s="65">
        <f t="shared" si="111"/>
        <v>11.198693617463</v>
      </c>
      <c r="AC103" s="65">
        <f t="shared" si="112"/>
        <v>1.58024334982228</v>
      </c>
      <c r="AD103" s="67">
        <f t="shared" si="136"/>
        <v>7.08668928663578</v>
      </c>
      <c r="AE103" s="67">
        <f t="shared" si="137"/>
        <v>0.130161223853738</v>
      </c>
      <c r="AF103" s="67">
        <f t="shared" si="138"/>
        <v>0.0171565249262312</v>
      </c>
      <c r="AG103" s="67">
        <f t="shared" si="139"/>
        <v>0.388702741129872</v>
      </c>
      <c r="AH103" s="67">
        <f t="shared" si="140"/>
        <v>0.0957164085848058</v>
      </c>
      <c r="AI103" s="67">
        <f t="shared" si="141"/>
        <v>0.856189241360007</v>
      </c>
      <c r="AJ103" s="67"/>
      <c r="AK103" s="67">
        <f t="shared" si="142"/>
        <v>0.758566255727853</v>
      </c>
      <c r="AL103" s="67">
        <f t="shared" si="143"/>
        <v>0.00696629330185838</v>
      </c>
      <c r="AM103" s="67">
        <f t="shared" si="144"/>
        <v>0.957293639260067</v>
      </c>
      <c r="AN103" s="67">
        <f t="shared" si="133"/>
        <v>0.193689550243514</v>
      </c>
      <c r="AO103" s="67">
        <f t="shared" si="145"/>
        <v>0.264520365862439</v>
      </c>
      <c r="AP103" s="63">
        <f t="shared" si="113"/>
        <v>84.6467493289669</v>
      </c>
      <c r="AQ103" s="68"/>
      <c r="AR103" s="69">
        <f t="shared" si="114"/>
        <v>1304.92620403189</v>
      </c>
      <c r="AS103" s="69"/>
      <c r="AT103" s="69">
        <f t="shared" si="115"/>
        <v>0.0148688882233942</v>
      </c>
      <c r="AU103" s="69">
        <f t="shared" si="116"/>
        <v>0.000101348686257107</v>
      </c>
      <c r="AV103" s="65">
        <f t="shared" si="117"/>
        <v>0.00666878826708904</v>
      </c>
      <c r="AW103" s="68"/>
      <c r="AX103" s="68"/>
      <c r="AY103" s="68">
        <f t="shared" si="118"/>
        <v>8.24929108638914</v>
      </c>
      <c r="AZ103" s="68">
        <f t="shared" si="119"/>
        <v>11.6703794674058</v>
      </c>
      <c r="BA103" s="71">
        <f t="shared" si="120"/>
        <v>0.0251344741917625</v>
      </c>
      <c r="BB103" s="71"/>
      <c r="BC103" s="65"/>
      <c r="BD103" s="65">
        <f t="shared" si="128"/>
        <v>0.00918350012178454</v>
      </c>
      <c r="BE103" s="65">
        <f t="shared" si="121"/>
        <v>0.726170651565599</v>
      </c>
      <c r="BF103" s="65">
        <f t="shared" si="122"/>
        <v>2.53307770026311</v>
      </c>
      <c r="BG103" s="69">
        <f t="shared" si="123"/>
        <v>0.00263268207935207</v>
      </c>
      <c r="BH103" s="69">
        <f t="shared" si="124"/>
        <v>4.3112524855787e-7</v>
      </c>
      <c r="BI103" s="72">
        <f t="shared" si="125"/>
        <v>7.7107864338217</v>
      </c>
      <c r="BJ103" s="72">
        <f t="shared" si="129"/>
        <v>1.94749479247626</v>
      </c>
      <c r="BK103" s="73">
        <f t="shared" si="126"/>
        <v>1.05722271764746</v>
      </c>
      <c r="BL103" s="72">
        <f t="shared" si="90"/>
        <v>14.3591803171075</v>
      </c>
      <c r="BM103" s="1"/>
      <c r="BN103" s="81"/>
    </row>
    <row r="104" ht="25" customHeight="1" spans="1:67">
      <c r="A104" s="80">
        <v>41</v>
      </c>
      <c r="B104" s="55">
        <v>0.366613985528432</v>
      </c>
      <c r="C104" s="55">
        <v>-21.8725491945285</v>
      </c>
      <c r="D104" s="55"/>
      <c r="E104" s="55">
        <v>1.12510297988399</v>
      </c>
      <c r="F104" s="56">
        <v>1</v>
      </c>
      <c r="G104" s="57">
        <f t="shared" si="130"/>
        <v>8.36637353682585e-5</v>
      </c>
      <c r="H104" s="57">
        <f t="shared" si="131"/>
        <v>0.000333333333333333</v>
      </c>
      <c r="I104" s="58">
        <f t="shared" si="103"/>
        <v>0.0325556912430507</v>
      </c>
      <c r="J104" s="58"/>
      <c r="K104" s="58">
        <f t="shared" si="104"/>
        <v>1.92821987476979</v>
      </c>
      <c r="L104" s="57">
        <f t="shared" si="105"/>
        <v>0.000765986606338896</v>
      </c>
      <c r="M104" s="57">
        <f t="shared" si="106"/>
        <v>0.00252258808894218</v>
      </c>
      <c r="N104" s="57">
        <f t="shared" si="107"/>
        <v>0.162134180320832</v>
      </c>
      <c r="O104" s="59">
        <v>0.0302</v>
      </c>
      <c r="P104" s="60">
        <f t="shared" si="108"/>
        <v>0.0302</v>
      </c>
      <c r="Q104" s="61">
        <v>1000</v>
      </c>
      <c r="R104" s="59">
        <v>1.1616</v>
      </c>
      <c r="S104" s="59">
        <v>9.801</v>
      </c>
      <c r="T104" s="62">
        <v>4e-6</v>
      </c>
      <c r="U104" s="63">
        <v>1e-6</v>
      </c>
      <c r="V104" s="63">
        <f t="shared" si="127"/>
        <v>4e-6</v>
      </c>
      <c r="W104" s="64">
        <v>0.001147</v>
      </c>
      <c r="X104" s="64">
        <v>1.85e-5</v>
      </c>
      <c r="Y104" s="65">
        <f t="shared" si="132"/>
        <v>-1.7817592691958</v>
      </c>
      <c r="Z104" s="66">
        <f t="shared" si="109"/>
        <v>0.00112510297988399</v>
      </c>
      <c r="AA104" s="65">
        <f t="shared" si="110"/>
        <v>4.81171327140883</v>
      </c>
      <c r="AB104" s="65">
        <f t="shared" si="111"/>
        <v>10.0145948528705</v>
      </c>
      <c r="AC104" s="65">
        <f t="shared" si="112"/>
        <v>1.64326644597151</v>
      </c>
      <c r="AD104" s="67">
        <f t="shared" si="136"/>
        <v>6.09432199958893</v>
      </c>
      <c r="AE104" s="67">
        <f t="shared" si="137"/>
        <v>0.132731386643288</v>
      </c>
      <c r="AF104" s="67">
        <f t="shared" si="138"/>
        <v>0.0201281324526709</v>
      </c>
      <c r="AG104" s="67">
        <f t="shared" si="139"/>
        <v>0.341178345870704</v>
      </c>
      <c r="AH104" s="67">
        <f t="shared" si="140"/>
        <v>0.0956305276690413</v>
      </c>
      <c r="AI104" s="67">
        <f t="shared" si="141"/>
        <v>0.867814442890264</v>
      </c>
      <c r="AJ104" s="67"/>
      <c r="AK104" s="67">
        <f t="shared" si="142"/>
        <v>0.882010861805299</v>
      </c>
      <c r="AL104" s="67">
        <f t="shared" si="143"/>
        <v>0.00960488506594788</v>
      </c>
      <c r="AM104" s="67">
        <f t="shared" si="144"/>
        <v>0.714978147944241</v>
      </c>
      <c r="AN104" s="67">
        <f t="shared" si="133"/>
        <v>0.233340386523229</v>
      </c>
      <c r="AO104" s="67">
        <f t="shared" si="145"/>
        <v>0.221728437464475</v>
      </c>
      <c r="AP104" s="63">
        <f t="shared" si="113"/>
        <v>79.2678887629042</v>
      </c>
      <c r="AQ104" s="68"/>
      <c r="AR104" s="69">
        <f t="shared" si="114"/>
        <v>1488.03086321137</v>
      </c>
      <c r="AS104" s="69"/>
      <c r="AT104" s="69">
        <f t="shared" si="115"/>
        <v>0.0139240477285136</v>
      </c>
      <c r="AU104" s="69">
        <f t="shared" si="116"/>
        <v>0.000100362649871761</v>
      </c>
      <c r="AV104" s="65">
        <f t="shared" si="117"/>
        <v>0.00686728293566871</v>
      </c>
      <c r="AW104" s="82" t="s">
        <v>202</v>
      </c>
      <c r="AX104" s="83" t="e">
        <f>AVERAGE(AX99:AX102,AX7:AX9,#REF!)</f>
        <v>#REF!</v>
      </c>
      <c r="AY104" s="68">
        <f t="shared" si="118"/>
        <v>8.4948289914222</v>
      </c>
      <c r="AZ104" s="68">
        <f t="shared" si="119"/>
        <v>12.0177451374203</v>
      </c>
      <c r="BA104" s="71">
        <f t="shared" si="120"/>
        <v>0.0248899371681968</v>
      </c>
      <c r="BB104" s="71"/>
      <c r="BC104" s="65"/>
      <c r="BD104" s="65">
        <f t="shared" si="128"/>
        <v>0.0108897582579523</v>
      </c>
      <c r="BE104" s="65">
        <f t="shared" si="121"/>
        <v>0.630618492440257</v>
      </c>
      <c r="BF104" s="65">
        <f t="shared" si="122"/>
        <v>3.0630248665596</v>
      </c>
      <c r="BG104" s="69">
        <f t="shared" si="123"/>
        <v>0.00224199385732773</v>
      </c>
      <c r="BH104" s="69">
        <f t="shared" si="124"/>
        <v>4.00916098248102e-7</v>
      </c>
      <c r="BI104" s="72">
        <f t="shared" si="125"/>
        <v>7.94029589436695</v>
      </c>
      <c r="BJ104" s="72">
        <f t="shared" si="129"/>
        <v>2.24258181345209</v>
      </c>
      <c r="BK104" s="73">
        <f t="shared" si="126"/>
        <v>1.16963963896148</v>
      </c>
      <c r="BL104" s="72">
        <f t="shared" si="90"/>
        <v>13.3011277448135</v>
      </c>
      <c r="BM104" s="1"/>
      <c r="BN104" s="81"/>
    </row>
    <row r="105" ht="25" customHeight="1" spans="1:67">
      <c r="A105" s="80">
        <v>81</v>
      </c>
      <c r="B105" s="55">
        <v>2.27593010001801</v>
      </c>
      <c r="C105" s="55">
        <v>-27.7152961787266</v>
      </c>
      <c r="D105" s="55"/>
      <c r="E105" s="55">
        <v>1.85144111694553</v>
      </c>
      <c r="F105" s="56">
        <v>1</v>
      </c>
      <c r="G105" s="57">
        <f t="shared" si="130"/>
        <v>8.36637353682585e-5</v>
      </c>
      <c r="H105" s="57">
        <f t="shared" si="131"/>
        <v>0.000333333333333333</v>
      </c>
      <c r="I105" s="58">
        <f t="shared" si="103"/>
        <v>0.11539495347514</v>
      </c>
      <c r="J105" s="58"/>
      <c r="K105" s="58">
        <f t="shared" si="104"/>
        <v>70.5086636807546</v>
      </c>
      <c r="L105" s="57">
        <f t="shared" si="105"/>
        <v>0.000982607309659309</v>
      </c>
      <c r="M105" s="57">
        <f t="shared" si="106"/>
        <v>0.000103935117094855</v>
      </c>
      <c r="N105" s="57">
        <f t="shared" si="107"/>
        <v>2.87607061055764</v>
      </c>
      <c r="O105" s="59">
        <v>0.0302</v>
      </c>
      <c r="P105" s="60">
        <f t="shared" si="108"/>
        <v>0.0302</v>
      </c>
      <c r="Q105" s="61">
        <v>1000</v>
      </c>
      <c r="R105" s="59">
        <v>1.1616</v>
      </c>
      <c r="S105" s="59">
        <v>9.801</v>
      </c>
      <c r="T105" s="62">
        <v>4e-6</v>
      </c>
      <c r="U105" s="63">
        <v>1e-6</v>
      </c>
      <c r="V105" s="63">
        <f t="shared" si="127"/>
        <v>4e-6</v>
      </c>
      <c r="W105" s="64">
        <v>0.001147</v>
      </c>
      <c r="X105" s="64">
        <v>1.85e-5</v>
      </c>
      <c r="Y105" s="65">
        <f t="shared" si="132"/>
        <v>-6.59137244011312</v>
      </c>
      <c r="Z105" s="66">
        <f t="shared" si="109"/>
        <v>0.00185144111694553</v>
      </c>
      <c r="AA105" s="65">
        <f t="shared" si="110"/>
        <v>261.970327225688</v>
      </c>
      <c r="AB105" s="65">
        <f t="shared" si="111"/>
        <v>635.112698555686</v>
      </c>
      <c r="AC105" s="65">
        <f t="shared" si="112"/>
        <v>4.44982822350614</v>
      </c>
      <c r="AD105" s="67">
        <f t="shared" si="136"/>
        <v>142.727464220015</v>
      </c>
      <c r="AE105" s="67">
        <f t="shared" si="137"/>
        <v>0.218419425718628</v>
      </c>
      <c r="AF105" s="67">
        <f t="shared" si="138"/>
        <v>0.00152498284395448</v>
      </c>
      <c r="AG105" s="67">
        <f t="shared" si="139"/>
        <v>9.50596973236835</v>
      </c>
      <c r="AH105" s="67">
        <f t="shared" si="140"/>
        <v>0.132276095417276</v>
      </c>
      <c r="AI105" s="67">
        <f t="shared" si="141"/>
        <v>0.788901372072664</v>
      </c>
      <c r="AJ105" s="67"/>
      <c r="AK105" s="67">
        <f t="shared" si="142"/>
        <v>0.817027657302129</v>
      </c>
      <c r="AL105" s="67">
        <f t="shared" si="143"/>
        <v>0.000625158979315564</v>
      </c>
      <c r="AM105" s="67">
        <f t="shared" si="144"/>
        <v>23.1884068479402</v>
      </c>
      <c r="AN105" s="67">
        <f t="shared" si="133"/>
        <v>-10553702.5195179</v>
      </c>
      <c r="AO105" s="67">
        <f t="shared" si="145"/>
        <v>-6.28876368959081e-9</v>
      </c>
      <c r="AP105" s="63">
        <f t="shared" si="113"/>
        <v>492.092994598489</v>
      </c>
      <c r="AQ105" s="68"/>
      <c r="AR105" s="69">
        <f t="shared" si="114"/>
        <v>38.6110984014449</v>
      </c>
      <c r="AS105" s="69"/>
      <c r="AT105" s="69">
        <f t="shared" si="115"/>
        <v>0.0864401266463794</v>
      </c>
      <c r="AU105" s="69">
        <f t="shared" si="116"/>
        <v>7.82372009883624e-5</v>
      </c>
      <c r="AV105" s="65">
        <f t="shared" si="117"/>
        <v>0.0144964407570123</v>
      </c>
      <c r="AW105" s="82" t="s">
        <v>203</v>
      </c>
      <c r="AX105" s="83" t="e">
        <f>2*PI()/(3.5909*AX104)</f>
        <v>#REF!</v>
      </c>
      <c r="AY105" s="68">
        <f t="shared" si="118"/>
        <v>17.9320972164242</v>
      </c>
      <c r="AZ105" s="68">
        <f t="shared" si="119"/>
        <v>25.3687713247716</v>
      </c>
      <c r="BA105" s="71">
        <f t="shared" si="120"/>
        <v>0.0194028258451139</v>
      </c>
      <c r="BB105" s="71"/>
      <c r="BC105" s="65"/>
      <c r="BD105" s="65">
        <f t="shared" si="128"/>
        <v>0.000765162566687</v>
      </c>
      <c r="BE105" s="65">
        <f t="shared" si="121"/>
        <v>18.9455697235412</v>
      </c>
      <c r="BF105" s="65">
        <f t="shared" si="122"/>
        <v>0.354163359277972</v>
      </c>
      <c r="BG105" s="69">
        <f t="shared" si="123"/>
        <v>0.0409315090826053</v>
      </c>
      <c r="BH105" s="69">
        <f t="shared" si="124"/>
        <v>6.88503521368955e-5</v>
      </c>
      <c r="BI105" s="72">
        <f t="shared" si="125"/>
        <v>16.7615096252955</v>
      </c>
      <c r="BJ105" s="72">
        <f t="shared" si="129"/>
        <v>0.074646135376749</v>
      </c>
      <c r="BK105" s="73">
        <f t="shared" si="126"/>
        <v>0.0096051355402916</v>
      </c>
      <c r="BL105" s="72">
        <f t="shared" si="90"/>
        <v>644.012355002698</v>
      </c>
      <c r="BM105" s="1"/>
      <c r="BN105" s="81"/>
    </row>
    <row r="106" ht="25" customHeight="1" spans="1:67">
      <c r="A106" s="80">
        <v>146</v>
      </c>
      <c r="B106" s="55">
        <v>0.348278074416479</v>
      </c>
      <c r="C106" s="55">
        <v>7.25442589205387</v>
      </c>
      <c r="D106" s="55"/>
      <c r="E106" s="55">
        <v>2.20046826040579</v>
      </c>
      <c r="F106" s="56">
        <v>0.7</v>
      </c>
      <c r="G106" s="57">
        <f>0.001/5.3843</f>
        <v>0.000185725163902457</v>
      </c>
      <c r="H106" s="57">
        <f>1/8000</f>
        <v>0.000125</v>
      </c>
      <c r="I106" s="58">
        <f t="shared" si="103"/>
        <v>0.0294867949010387</v>
      </c>
      <c r="J106" s="58"/>
      <c r="K106" s="58">
        <f t="shared" si="104"/>
        <v>3.34432422771514</v>
      </c>
      <c r="L106" s="57">
        <f t="shared" si="105"/>
        <v>0.00237802322692827</v>
      </c>
      <c r="M106" s="57">
        <f t="shared" si="106"/>
        <v>0.0128979533674859</v>
      </c>
      <c r="N106" s="57">
        <f t="shared" si="107"/>
        <v>0.094203430374774</v>
      </c>
      <c r="O106" s="59">
        <v>0.0302</v>
      </c>
      <c r="P106" s="60">
        <f t="shared" si="108"/>
        <v>0.0287</v>
      </c>
      <c r="Q106" s="61">
        <v>1000</v>
      </c>
      <c r="R106" s="59">
        <v>0.81304</v>
      </c>
      <c r="S106" s="59">
        <v>9.801</v>
      </c>
      <c r="T106" s="62">
        <v>4e-6</v>
      </c>
      <c r="U106" s="63">
        <v>1e-6</v>
      </c>
      <c r="V106" s="63">
        <f t="shared" si="127"/>
        <v>3.7e-6</v>
      </c>
      <c r="W106" s="64">
        <v>0.001147</v>
      </c>
      <c r="X106" s="64">
        <v>1.85e-5</v>
      </c>
      <c r="Y106" s="65"/>
      <c r="Z106" s="66">
        <f t="shared" si="109"/>
        <v>0.00220046826040579</v>
      </c>
      <c r="AA106" s="65">
        <f t="shared" si="110"/>
        <v>4.14360943523193</v>
      </c>
      <c r="AB106" s="65">
        <f t="shared" si="111"/>
        <v>17.6762620221036</v>
      </c>
      <c r="AC106" s="65">
        <f t="shared" si="112"/>
        <v>6.28570007921685</v>
      </c>
      <c r="AD106" s="67">
        <f t="shared" si="136"/>
        <v>2.81213895020997</v>
      </c>
      <c r="AE106" s="67">
        <f t="shared" si="137"/>
        <v>0.303398199908695</v>
      </c>
      <c r="AF106" s="67">
        <f t="shared" si="138"/>
        <v>0.0916018936613336</v>
      </c>
      <c r="AG106" s="67">
        <f t="shared" si="139"/>
        <v>0.205052344729795</v>
      </c>
      <c r="AH106" s="67">
        <f t="shared" si="140"/>
        <v>0.105127034879173</v>
      </c>
      <c r="AI106" s="67">
        <f t="shared" si="141"/>
        <v>0.967176782434098</v>
      </c>
      <c r="AJ106" s="67"/>
      <c r="AK106" s="67">
        <f t="shared" si="142"/>
        <v>9.94535482773037</v>
      </c>
      <c r="AL106" s="67">
        <f t="shared" si="143"/>
        <v>0.536496027687634</v>
      </c>
      <c r="AM106" s="67">
        <f t="shared" si="144"/>
        <v>0.0350108520987633</v>
      </c>
      <c r="AN106" s="67">
        <f t="shared" si="133"/>
        <v>0.443594356391769</v>
      </c>
      <c r="AO106" s="67">
        <f t="shared" si="145"/>
        <v>0.139562962477194</v>
      </c>
      <c r="AP106" s="63">
        <f t="shared" si="113"/>
        <v>75.3033674414009</v>
      </c>
      <c r="AQ106" s="68"/>
      <c r="AR106" s="69">
        <f t="shared" si="114"/>
        <v>1154.18590508965</v>
      </c>
      <c r="AS106" s="69"/>
      <c r="AT106" s="69">
        <f t="shared" si="115"/>
        <v>0.0132276473958842</v>
      </c>
      <c r="AU106" s="69">
        <f t="shared" si="116"/>
        <v>7.17646717249752e-5</v>
      </c>
      <c r="AV106" s="65">
        <f t="shared" si="117"/>
        <v>0.0187831830769458</v>
      </c>
      <c r="AW106" s="82" t="s">
        <v>204</v>
      </c>
      <c r="AX106" s="83" t="e">
        <f>3.5909*AX105</f>
        <v>#REF!</v>
      </c>
      <c r="AY106" s="68">
        <f t="shared" si="118"/>
        <v>23.2347974661819</v>
      </c>
      <c r="AZ106" s="68">
        <f t="shared" si="119"/>
        <v>32.8705703846551</v>
      </c>
      <c r="BA106" s="71">
        <f t="shared" si="120"/>
        <v>0.0177976385877938</v>
      </c>
      <c r="BB106" s="71"/>
      <c r="BC106" s="65"/>
      <c r="BD106" s="65">
        <f t="shared" si="128"/>
        <v>0.0539443827777503</v>
      </c>
      <c r="BE106" s="65">
        <f t="shared" si="121"/>
        <v>0.34819534694339</v>
      </c>
      <c r="BF106" s="65">
        <f t="shared" si="122"/>
        <v>25.3912926586641</v>
      </c>
      <c r="BG106" s="69">
        <f t="shared" si="123"/>
        <v>0.000739748989129805</v>
      </c>
      <c r="BH106" s="69">
        <f t="shared" si="124"/>
        <v>2.70680025628213e-6</v>
      </c>
      <c r="BI106" s="72">
        <f t="shared" si="125"/>
        <v>21.7180554327185</v>
      </c>
      <c r="BJ106" s="72">
        <f t="shared" si="129"/>
        <v>4.06155215682138</v>
      </c>
      <c r="BK106" s="73">
        <f t="shared" si="126"/>
        <v>0.137393292684246</v>
      </c>
      <c r="BL106" s="72">
        <f t="shared" si="90"/>
        <v>30.2476621805373</v>
      </c>
      <c r="BM106" s="1"/>
      <c r="BN106" s="81"/>
    </row>
    <row r="107" ht="25" customHeight="1" spans="1:67">
      <c r="A107" s="80">
        <v>148</v>
      </c>
      <c r="B107" s="55">
        <v>0.709748407126769</v>
      </c>
      <c r="C107" s="55">
        <v>-2.65194264820753</v>
      </c>
      <c r="D107" s="55"/>
      <c r="E107" s="55">
        <v>1.99363110667822</v>
      </c>
      <c r="F107" s="56">
        <v>0.6</v>
      </c>
      <c r="G107" s="57">
        <f>0.001/5.3843</f>
        <v>0.000185725163902457</v>
      </c>
      <c r="H107" s="57">
        <f>1/8000</f>
        <v>0.000125</v>
      </c>
      <c r="I107" s="58">
        <f t="shared" si="103"/>
        <v>0.066346087395006</v>
      </c>
      <c r="J107" s="58"/>
      <c r="K107" s="58">
        <f t="shared" si="104"/>
        <v>13.892372583232</v>
      </c>
      <c r="L107" s="57">
        <f t="shared" si="105"/>
        <v>0.00226350229168284</v>
      </c>
      <c r="M107" s="57">
        <f t="shared" si="106"/>
        <v>0.00297277581254464</v>
      </c>
      <c r="N107" s="57">
        <f t="shared" si="107"/>
        <v>0.429521426788549</v>
      </c>
      <c r="O107" s="59">
        <v>0.0302</v>
      </c>
      <c r="P107" s="60">
        <f t="shared" si="108"/>
        <v>0.0282</v>
      </c>
      <c r="Q107" s="61">
        <v>1000</v>
      </c>
      <c r="R107" s="59">
        <v>0.69687</v>
      </c>
      <c r="S107" s="59">
        <v>9.801</v>
      </c>
      <c r="T107" s="62">
        <v>4e-6</v>
      </c>
      <c r="U107" s="63">
        <v>1e-6</v>
      </c>
      <c r="V107" s="63">
        <f t="shared" si="127"/>
        <v>3.6e-6</v>
      </c>
      <c r="W107" s="64">
        <v>0.001147</v>
      </c>
      <c r="X107" s="64">
        <v>1.85e-5</v>
      </c>
      <c r="Y107" s="65"/>
      <c r="Z107" s="66">
        <f t="shared" si="109"/>
        <v>0.00199363110667822</v>
      </c>
      <c r="AA107" s="65">
        <f t="shared" si="110"/>
        <v>23.6362284107536</v>
      </c>
      <c r="AB107" s="65">
        <f t="shared" si="111"/>
        <v>66.5084317002728</v>
      </c>
      <c r="AC107" s="65">
        <f t="shared" si="112"/>
        <v>5.15956443208434</v>
      </c>
      <c r="AD107" s="67">
        <f t="shared" si="136"/>
        <v>12.8903190522625</v>
      </c>
      <c r="AE107" s="67">
        <f t="shared" si="137"/>
        <v>0.290362909188744</v>
      </c>
      <c r="AF107" s="67">
        <f t="shared" si="138"/>
        <v>0.0216845400065118</v>
      </c>
      <c r="AG107" s="67">
        <f t="shared" si="139"/>
        <v>0.746987813351317</v>
      </c>
      <c r="AH107" s="67">
        <f t="shared" si="140"/>
        <v>0.107405205136811</v>
      </c>
      <c r="AI107" s="67">
        <f t="shared" si="141"/>
        <v>0.824225975552431</v>
      </c>
      <c r="AJ107" s="67"/>
      <c r="AK107" s="67">
        <f t="shared" si="142"/>
        <v>2.35738489289227</v>
      </c>
      <c r="AL107" s="67">
        <f t="shared" si="143"/>
        <v>0.0265508220860387</v>
      </c>
      <c r="AM107" s="67">
        <f t="shared" si="144"/>
        <v>0.610078553142461</v>
      </c>
      <c r="AN107" s="67">
        <f t="shared" si="133"/>
        <v>-2.01572860144728</v>
      </c>
      <c r="AO107" s="67">
        <f t="shared" si="145"/>
        <v>-0.027675185045729</v>
      </c>
      <c r="AP107" s="63">
        <f t="shared" si="113"/>
        <v>153.459115054437</v>
      </c>
      <c r="AQ107" s="68"/>
      <c r="AR107" s="69">
        <f t="shared" si="114"/>
        <v>238.216803618779</v>
      </c>
      <c r="AS107" s="69"/>
      <c r="AT107" s="69">
        <f t="shared" si="115"/>
        <v>0.0269563385090862</v>
      </c>
      <c r="AU107" s="69">
        <f t="shared" si="116"/>
        <v>7.53955747524316e-5</v>
      </c>
      <c r="AV107" s="65">
        <f t="shared" si="117"/>
        <v>0.0161980871229934</v>
      </c>
      <c r="AW107" s="68"/>
      <c r="AX107" s="68"/>
      <c r="AY107" s="68">
        <f t="shared" si="118"/>
        <v>20.0370337711428</v>
      </c>
      <c r="AZ107" s="68">
        <f t="shared" si="119"/>
        <v>28.3466524652384</v>
      </c>
      <c r="BA107" s="71">
        <f t="shared" si="120"/>
        <v>0.018698102538603</v>
      </c>
      <c r="BB107" s="71"/>
      <c r="BC107" s="65"/>
      <c r="BD107" s="65">
        <f t="shared" si="128"/>
        <v>0.0112628286395199</v>
      </c>
      <c r="BE107" s="65">
        <f t="shared" si="121"/>
        <v>1.43818996465561</v>
      </c>
      <c r="BF107" s="65">
        <f t="shared" si="122"/>
        <v>4.54691991879899</v>
      </c>
      <c r="BG107" s="69">
        <f t="shared" si="123"/>
        <v>0.00356243070303994</v>
      </c>
      <c r="BH107" s="69">
        <f t="shared" si="124"/>
        <v>8.3599151724356e-6</v>
      </c>
      <c r="BI107" s="72">
        <f t="shared" si="125"/>
        <v>18.7290382359611</v>
      </c>
      <c r="BJ107" s="72">
        <f t="shared" si="129"/>
        <v>0.983328765412254</v>
      </c>
      <c r="BK107" s="73">
        <f t="shared" si="126"/>
        <v>0.0703801159667417</v>
      </c>
      <c r="BL107" s="72">
        <f t="shared" si="90"/>
        <v>76.8275605644415</v>
      </c>
      <c r="BM107" s="84" t="s">
        <v>118</v>
      </c>
      <c r="BN107" s="81"/>
    </row>
    <row r="108" ht="25" customHeight="1" spans="1:67">
      <c r="A108" s="80">
        <v>163</v>
      </c>
      <c r="B108" s="55">
        <v>0.631226199311253</v>
      </c>
      <c r="C108" s="55">
        <v>-3.26937842686027</v>
      </c>
      <c r="D108" s="55"/>
      <c r="E108" s="55">
        <v>2.38107177674697</v>
      </c>
      <c r="F108" s="56">
        <v>0.1</v>
      </c>
      <c r="G108" s="57">
        <f>0.001/5.3843</f>
        <v>0.000185725163902457</v>
      </c>
      <c r="H108" s="57">
        <f>1/8000</f>
        <v>0.000125</v>
      </c>
      <c r="I108" s="58">
        <f t="shared" si="103"/>
        <v>0.0493772939960979</v>
      </c>
      <c r="J108" s="58"/>
      <c r="K108" s="58">
        <f t="shared" si="104"/>
        <v>10.9835975682634</v>
      </c>
      <c r="L108" s="57">
        <f t="shared" si="105"/>
        <v>0.00247368719814969</v>
      </c>
      <c r="M108" s="57">
        <f t="shared" si="106"/>
        <v>0.00605186781599811</v>
      </c>
      <c r="N108" s="57">
        <f t="shared" si="107"/>
        <v>0.192964974503202</v>
      </c>
      <c r="O108" s="59">
        <v>0.0302</v>
      </c>
      <c r="P108" s="60">
        <f t="shared" si="108"/>
        <v>0.0257</v>
      </c>
      <c r="Q108" s="61">
        <v>1000</v>
      </c>
      <c r="R108" s="59">
        <v>0.11613</v>
      </c>
      <c r="S108" s="59">
        <v>9.801</v>
      </c>
      <c r="T108" s="62">
        <v>4e-6</v>
      </c>
      <c r="U108" s="63">
        <v>1e-6</v>
      </c>
      <c r="V108" s="63">
        <f t="shared" si="127"/>
        <v>3.1e-6</v>
      </c>
      <c r="W108" s="64">
        <v>0.001147</v>
      </c>
      <c r="X108" s="64">
        <v>1.85e-5</v>
      </c>
      <c r="Y108" s="65"/>
      <c r="Z108" s="66">
        <f t="shared" si="109"/>
        <v>0.00238107177674697</v>
      </c>
      <c r="AA108" s="65">
        <f t="shared" si="110"/>
        <v>18.2694451935234</v>
      </c>
      <c r="AB108" s="65">
        <f t="shared" si="111"/>
        <v>62.8297848137785</v>
      </c>
      <c r="AC108" s="65">
        <f t="shared" si="112"/>
        <v>7.3598406624916</v>
      </c>
      <c r="AD108" s="67">
        <f t="shared" si="136"/>
        <v>8.53684036041457</v>
      </c>
      <c r="AE108" s="67">
        <f t="shared" si="137"/>
        <v>0.467681766952351</v>
      </c>
      <c r="AF108" s="67">
        <f t="shared" si="138"/>
        <v>0.0517527972499114</v>
      </c>
      <c r="AG108" s="67">
        <f t="shared" si="139"/>
        <v>0.408527626637766</v>
      </c>
      <c r="AH108" s="67">
        <f t="shared" si="140"/>
        <v>0.0854113066888093</v>
      </c>
      <c r="AI108" s="67">
        <f t="shared" si="141"/>
        <v>0.844102621577816</v>
      </c>
      <c r="AJ108" s="67"/>
      <c r="AK108" s="67">
        <f t="shared" si="142"/>
        <v>2.19473847675906</v>
      </c>
      <c r="AL108" s="67">
        <f t="shared" si="143"/>
        <v>0.0601182126802208</v>
      </c>
      <c r="AM108" s="67">
        <f t="shared" si="144"/>
        <v>0.351681237511703</v>
      </c>
      <c r="AN108" s="67">
        <f t="shared" si="133"/>
        <v>0.176954350201457</v>
      </c>
      <c r="AO108" s="67">
        <f t="shared" si="145"/>
        <v>0.255472158231133</v>
      </c>
      <c r="AP108" s="63">
        <f t="shared" si="113"/>
        <v>136.481340391622</v>
      </c>
      <c r="AQ108" s="68"/>
      <c r="AR108" s="69">
        <f t="shared" si="114"/>
        <v>50.1949427646835</v>
      </c>
      <c r="AS108" s="69"/>
      <c r="AT108" s="69">
        <f t="shared" si="115"/>
        <v>0.0239740546559605</v>
      </c>
      <c r="AU108" s="69">
        <f t="shared" si="116"/>
        <v>6.89893436658141e-5</v>
      </c>
      <c r="AV108" s="65">
        <f t="shared" si="117"/>
        <v>0.0211424474323718</v>
      </c>
      <c r="AW108" s="68"/>
      <c r="AX108" s="68"/>
      <c r="AY108" s="68">
        <f t="shared" si="118"/>
        <v>26.1532074738439</v>
      </c>
      <c r="AZ108" s="68">
        <f t="shared" si="119"/>
        <v>36.9992830066507</v>
      </c>
      <c r="BA108" s="71">
        <f t="shared" si="120"/>
        <v>0.0171093572291219</v>
      </c>
      <c r="BB108" s="71"/>
      <c r="BC108" s="65"/>
      <c r="BD108" s="65">
        <f t="shared" si="128"/>
        <v>0.0273919709873572</v>
      </c>
      <c r="BE108" s="65">
        <f t="shared" si="121"/>
        <v>0.771848343521178</v>
      </c>
      <c r="BF108" s="65">
        <f t="shared" si="122"/>
        <v>9.79352833053074</v>
      </c>
      <c r="BG108" s="69">
        <f t="shared" si="123"/>
        <v>0.00215881822350597</v>
      </c>
      <c r="BH108" s="69">
        <f t="shared" si="124"/>
        <v>1.12653867968478e-5</v>
      </c>
      <c r="BI108" s="72">
        <f t="shared" si="125"/>
        <v>24.4459548436799</v>
      </c>
      <c r="BJ108" s="72">
        <f t="shared" si="129"/>
        <v>1.83224278997794</v>
      </c>
      <c r="BK108" s="73">
        <f t="shared" si="126"/>
        <v>0.00446155713962169</v>
      </c>
      <c r="BL108" s="72">
        <f t="shared" si="90"/>
        <v>77.5494661387617</v>
      </c>
      <c r="BM108" s="1"/>
      <c r="BN108" s="81"/>
    </row>
    <row r="109" ht="25" customHeight="1" spans="1:67">
      <c r="A109" s="80">
        <v>166</v>
      </c>
      <c r="B109" s="55">
        <v>0.659251703852521</v>
      </c>
      <c r="C109" s="55">
        <v>3.9069856977335</v>
      </c>
      <c r="D109" s="55"/>
      <c r="E109" s="55">
        <v>2.35297457054888</v>
      </c>
      <c r="F109" s="56">
        <v>0.1</v>
      </c>
      <c r="G109" s="57">
        <f>0.001/5.3843</f>
        <v>0.000185725163902457</v>
      </c>
      <c r="H109" s="57">
        <f>1/8000</f>
        <v>0.000125</v>
      </c>
      <c r="I109" s="58">
        <f t="shared" si="103"/>
        <v>0.0521871519118832</v>
      </c>
      <c r="J109" s="58"/>
      <c r="K109" s="58">
        <f t="shared" si="104"/>
        <v>11.9808868031771</v>
      </c>
      <c r="L109" s="57">
        <f t="shared" si="105"/>
        <v>0.00245904884102262</v>
      </c>
      <c r="M109" s="57">
        <f t="shared" si="106"/>
        <v>0.00548288475794239</v>
      </c>
      <c r="N109" s="57">
        <f t="shared" si="107"/>
        <v>0.214264221372001</v>
      </c>
      <c r="O109" s="59">
        <v>0.0302</v>
      </c>
      <c r="P109" s="60">
        <f t="shared" si="108"/>
        <v>0.0257</v>
      </c>
      <c r="Q109" s="61">
        <v>1000</v>
      </c>
      <c r="R109" s="59">
        <v>0.11613</v>
      </c>
      <c r="S109" s="59">
        <v>9.801</v>
      </c>
      <c r="T109" s="62">
        <v>4e-6</v>
      </c>
      <c r="U109" s="63">
        <v>1e-6</v>
      </c>
      <c r="V109" s="63">
        <f t="shared" si="127"/>
        <v>3.1e-6</v>
      </c>
      <c r="W109" s="64">
        <v>0.001147</v>
      </c>
      <c r="X109" s="64">
        <v>1.85e-5</v>
      </c>
      <c r="Y109" s="65"/>
      <c r="Z109" s="66">
        <f t="shared" si="109"/>
        <v>0.00235297457054888</v>
      </c>
      <c r="AA109" s="65">
        <f t="shared" si="110"/>
        <v>20.1127833349874</v>
      </c>
      <c r="AB109" s="65">
        <f t="shared" si="111"/>
        <v>67.7240322972302</v>
      </c>
      <c r="AC109" s="65">
        <f t="shared" si="112"/>
        <v>7.18716979071478</v>
      </c>
      <c r="AD109" s="67">
        <f t="shared" si="136"/>
        <v>9.42290696745804</v>
      </c>
      <c r="AE109" s="67">
        <f t="shared" si="137"/>
        <v>0.462163012259832</v>
      </c>
      <c r="AF109" s="67">
        <f t="shared" si="138"/>
        <v>0.0465753648376918</v>
      </c>
      <c r="AG109" s="67">
        <f t="shared" si="139"/>
        <v>0.445929407412677</v>
      </c>
      <c r="AH109" s="67">
        <f t="shared" si="140"/>
        <v>0.0853499307672084</v>
      </c>
      <c r="AI109" s="67">
        <f t="shared" si="141"/>
        <v>0.838560454197049</v>
      </c>
      <c r="AJ109" s="67"/>
      <c r="AK109" s="67">
        <f t="shared" si="142"/>
        <v>4.89845411197631</v>
      </c>
      <c r="AL109" s="67">
        <f t="shared" si="143"/>
        <v>0.120126640092375</v>
      </c>
      <c r="AM109" s="67">
        <f t="shared" si="144"/>
        <v>0.172895244769436</v>
      </c>
      <c r="AN109" s="67">
        <f t="shared" si="133"/>
        <v>0.164229003007272</v>
      </c>
      <c r="AO109" s="67">
        <f t="shared" si="145"/>
        <v>0.273638585879805</v>
      </c>
      <c r="AP109" s="63">
        <f t="shared" si="113"/>
        <v>142.540908941086</v>
      </c>
      <c r="AQ109" s="63"/>
      <c r="AR109" s="69">
        <f t="shared" si="114"/>
        <v>46.0179718230684</v>
      </c>
      <c r="AS109" s="69"/>
      <c r="AT109" s="69">
        <f t="shared" si="115"/>
        <v>0.0250384670304252</v>
      </c>
      <c r="AU109" s="69">
        <f t="shared" si="116"/>
        <v>6.94000271112566e-5</v>
      </c>
      <c r="AV109" s="65">
        <f t="shared" si="117"/>
        <v>0.0207693248421011</v>
      </c>
      <c r="AW109" s="68"/>
      <c r="AX109" s="68"/>
      <c r="AY109" s="68">
        <f t="shared" si="118"/>
        <v>25.6916548296791</v>
      </c>
      <c r="AZ109" s="68">
        <f t="shared" si="119"/>
        <v>36.346318473677</v>
      </c>
      <c r="BA109" s="71">
        <f t="shared" si="120"/>
        <v>0.0172112067235916</v>
      </c>
      <c r="BB109" s="71"/>
      <c r="BC109" s="65"/>
      <c r="BD109" s="65">
        <f t="shared" si="128"/>
        <v>0.0245233776506502</v>
      </c>
      <c r="BE109" s="65">
        <f t="shared" si="121"/>
        <v>0.846919422681994</v>
      </c>
      <c r="BF109" s="65">
        <f t="shared" si="122"/>
        <v>8.66444867501635</v>
      </c>
      <c r="BG109" s="69">
        <f t="shared" si="123"/>
        <v>0.00239707402295414</v>
      </c>
      <c r="BH109" s="69">
        <f t="shared" si="124"/>
        <v>1.18580379615047e-5</v>
      </c>
      <c r="BI109" s="72">
        <f t="shared" si="125"/>
        <v>24.0145318486794</v>
      </c>
      <c r="BJ109" s="72">
        <f t="shared" si="129"/>
        <v>1.66983248287613</v>
      </c>
      <c r="BK109" s="73">
        <f t="shared" si="126"/>
        <v>0.00923838107903144</v>
      </c>
      <c r="BL109" s="72">
        <f t="shared" si="90"/>
        <v>82.0983718786597</v>
      </c>
      <c r="BM109" s="1"/>
      <c r="BN109" s="81"/>
    </row>
    <row r="110" ht="25" customHeight="1" spans="1:67">
      <c r="A110" s="80">
        <v>177</v>
      </c>
      <c r="B110" s="55">
        <v>0.346971504519187</v>
      </c>
      <c r="C110" s="55">
        <v>3.35256836043831</v>
      </c>
      <c r="D110" s="55"/>
      <c r="E110" s="55">
        <v>2.24442544558445</v>
      </c>
      <c r="F110" s="56">
        <v>1</v>
      </c>
      <c r="G110" s="57">
        <f>0.001/5.3843</f>
        <v>0.000185725163902457</v>
      </c>
      <c r="H110" s="57">
        <f>1/8000</f>
        <v>0.000125</v>
      </c>
      <c r="I110" s="58">
        <f t="shared" si="103"/>
        <v>0.0287990983557215</v>
      </c>
      <c r="J110" s="58"/>
      <c r="K110" s="58">
        <f t="shared" si="104"/>
        <v>3.31911787782582</v>
      </c>
      <c r="L110" s="57">
        <f t="shared" si="105"/>
        <v>0.00240165781481168</v>
      </c>
      <c r="M110" s="57">
        <f t="shared" si="106"/>
        <v>0.0113408554416289</v>
      </c>
      <c r="N110" s="57">
        <f t="shared" si="107"/>
        <v>0.106077480448644</v>
      </c>
      <c r="O110" s="59">
        <v>0.0302</v>
      </c>
      <c r="P110" s="60">
        <f t="shared" si="108"/>
        <v>0.0302</v>
      </c>
      <c r="Q110" s="61">
        <v>1000</v>
      </c>
      <c r="R110" s="59">
        <v>1.1616</v>
      </c>
      <c r="S110" s="59">
        <v>9.801</v>
      </c>
      <c r="T110" s="62">
        <v>4e-6</v>
      </c>
      <c r="U110" s="63">
        <v>1e-6</v>
      </c>
      <c r="V110" s="63">
        <f t="shared" si="127"/>
        <v>4e-6</v>
      </c>
      <c r="W110" s="64">
        <v>0.001147</v>
      </c>
      <c r="X110" s="64">
        <v>1.85e-5</v>
      </c>
      <c r="Y110" s="65"/>
      <c r="Z110" s="66">
        <f t="shared" si="109"/>
        <v>0.00224442544558445</v>
      </c>
      <c r="AA110" s="65">
        <f t="shared" si="110"/>
        <v>4.09731014007687</v>
      </c>
      <c r="AB110" s="65">
        <f t="shared" si="111"/>
        <v>17.8943470098128</v>
      </c>
      <c r="AC110" s="65">
        <f t="shared" si="112"/>
        <v>6.53933829633019</v>
      </c>
      <c r="AD110" s="67">
        <f t="shared" si="136"/>
        <v>2.73641555138001</v>
      </c>
      <c r="AE110" s="67">
        <f t="shared" si="137"/>
        <v>0.264780830676158</v>
      </c>
      <c r="AF110" s="67">
        <f t="shared" si="138"/>
        <v>0.0818129892384354</v>
      </c>
      <c r="AG110" s="67">
        <f t="shared" si="139"/>
        <v>0.236500489081835</v>
      </c>
      <c r="AH110" s="67">
        <f t="shared" si="140"/>
        <v>0.123570706604839</v>
      </c>
      <c r="AI110" s="67">
        <f t="shared" si="141"/>
        <v>0.972451734237503</v>
      </c>
      <c r="AJ110" s="67"/>
      <c r="AK110" s="67">
        <f t="shared" si="142"/>
        <v>3.90821387695451</v>
      </c>
      <c r="AL110" s="67">
        <f t="shared" si="143"/>
        <v>0.18908314497011</v>
      </c>
      <c r="AM110" s="67">
        <f t="shared" si="144"/>
        <v>0.102329649589843</v>
      </c>
      <c r="AN110" s="67">
        <f t="shared" si="133"/>
        <v>0.453484805199428</v>
      </c>
      <c r="AO110" s="67">
        <f t="shared" si="145"/>
        <v>0.161140617667702</v>
      </c>
      <c r="AP110" s="63">
        <f t="shared" si="113"/>
        <v>75.0208658419864</v>
      </c>
      <c r="AQ110" s="63"/>
      <c r="AR110" s="69">
        <f t="shared" si="114"/>
        <v>1661.27824218384</v>
      </c>
      <c r="AS110" s="69"/>
      <c r="AT110" s="69">
        <f t="shared" si="115"/>
        <v>0.0131780236981294</v>
      </c>
      <c r="AU110" s="69">
        <f t="shared" si="116"/>
        <v>7.10584393756592e-5</v>
      </c>
      <c r="AV110" s="65">
        <f t="shared" si="117"/>
        <v>0.0193488119681369</v>
      </c>
      <c r="AW110" s="68"/>
      <c r="AX110" s="68"/>
      <c r="AY110" s="68">
        <f t="shared" si="118"/>
        <v>23.9344804045853</v>
      </c>
      <c r="AZ110" s="68">
        <f t="shared" si="119"/>
        <v>33.8604209442396</v>
      </c>
      <c r="BA110" s="71">
        <f t="shared" si="120"/>
        <v>0.0176224929651635</v>
      </c>
      <c r="BB110" s="71"/>
      <c r="BC110" s="65"/>
      <c r="BD110" s="65">
        <f t="shared" si="128"/>
        <v>0.0483809614630032</v>
      </c>
      <c r="BE110" s="65">
        <f t="shared" si="121"/>
        <v>0.399926156550917</v>
      </c>
      <c r="BF110" s="65">
        <f t="shared" si="122"/>
        <v>27.1468652473512</v>
      </c>
      <c r="BG110" s="69">
        <f t="shared" si="123"/>
        <v>0.000712745718219704</v>
      </c>
      <c r="BH110" s="69">
        <f t="shared" si="124"/>
        <v>2.8507673978336e-6</v>
      </c>
      <c r="BI110" s="72">
        <f t="shared" si="125"/>
        <v>22.3720638381583</v>
      </c>
      <c r="BJ110" s="72">
        <f t="shared" si="129"/>
        <v>3.53618671649211</v>
      </c>
      <c r="BK110" s="73">
        <f t="shared" si="126"/>
        <v>0.107370411800219</v>
      </c>
      <c r="BL110" s="72">
        <f t="shared" si="90"/>
        <v>30.9730236024732</v>
      </c>
      <c r="BM110" s="1"/>
      <c r="BN110" s="81"/>
    </row>
    <row r="111" ht="25" customHeight="1" spans="1:67">
      <c r="A111" s="85">
        <v>12</v>
      </c>
      <c r="B111" s="55">
        <v>0.129183071561122</v>
      </c>
      <c r="C111" s="55">
        <v>-7.57144284928918</v>
      </c>
      <c r="D111" s="55"/>
      <c r="E111" s="55">
        <v>1.32624627183222</v>
      </c>
      <c r="F111" s="56">
        <v>1</v>
      </c>
      <c r="G111" s="57">
        <f t="shared" ref="G111:G132" si="146">0.001/11.95261</f>
        <v>8.36637353682585e-5</v>
      </c>
      <c r="H111" s="57">
        <f t="shared" ref="H111:H132" si="147">1/3000</f>
        <v>0.000333333333333333</v>
      </c>
      <c r="I111" s="58">
        <f t="shared" si="103"/>
        <v>0.00950871555243288</v>
      </c>
      <c r="J111" s="58"/>
      <c r="K111" s="58">
        <f t="shared" si="104"/>
        <v>0.234753402252584</v>
      </c>
      <c r="L111" s="57">
        <f t="shared" si="105"/>
        <v>0.00083164336389552</v>
      </c>
      <c r="M111" s="57">
        <f t="shared" si="106"/>
        <v>0.0236277666991322</v>
      </c>
      <c r="N111" s="57">
        <f t="shared" si="107"/>
        <v>0.0155586901623583</v>
      </c>
      <c r="O111" s="59">
        <v>0.0302</v>
      </c>
      <c r="P111" s="60">
        <f t="shared" si="108"/>
        <v>0.0302</v>
      </c>
      <c r="Q111" s="61">
        <v>1000</v>
      </c>
      <c r="R111" s="59">
        <v>1.1616</v>
      </c>
      <c r="S111" s="59">
        <v>9.801</v>
      </c>
      <c r="T111" s="62">
        <v>4e-6</v>
      </c>
      <c r="U111" s="63">
        <v>1e-6</v>
      </c>
      <c r="V111" s="63">
        <f t="shared" si="127"/>
        <v>4e-6</v>
      </c>
      <c r="W111" s="64">
        <v>0.001147</v>
      </c>
      <c r="X111" s="64">
        <v>1.85e-5</v>
      </c>
      <c r="Y111" s="65">
        <f t="shared" ref="Y111:Y129" si="148">AC111*(1+C111/9.801)-7.5*Z111+18*AT111</f>
        <v>0.597789780821188</v>
      </c>
      <c r="Z111" s="66">
        <f t="shared" si="109"/>
        <v>0.00132624627183222</v>
      </c>
      <c r="AA111" s="65">
        <f t="shared" si="110"/>
        <v>-1.18816177482335</v>
      </c>
      <c r="AB111" s="65">
        <f t="shared" si="111"/>
        <v>1.46574506865045</v>
      </c>
      <c r="AC111" s="65">
        <f t="shared" si="112"/>
        <v>2.28334633509303</v>
      </c>
      <c r="AD111" s="67">
        <f t="shared" si="136"/>
        <v>0.641928491584143</v>
      </c>
      <c r="AE111" s="67">
        <f t="shared" si="137"/>
        <v>0.156460795001123</v>
      </c>
      <c r="AF111" s="67">
        <f t="shared" si="138"/>
        <v>0.13701452950357</v>
      </c>
      <c r="AG111" s="67">
        <f t="shared" si="139"/>
        <v>0.0641454961910742</v>
      </c>
      <c r="AH111" s="67">
        <f t="shared" si="140"/>
        <v>0.0631546014458742</v>
      </c>
      <c r="AI111" s="67" t="e">
        <f t="shared" si="141"/>
        <v>#NUM!</v>
      </c>
      <c r="AJ111" s="67"/>
      <c r="AK111" s="67" t="e">
        <f t="shared" si="142"/>
        <v>#NUM!</v>
      </c>
      <c r="AL111" s="67" t="e">
        <f t="shared" si="143"/>
        <v>#NUM!</v>
      </c>
      <c r="AM111" s="67" t="e">
        <f t="shared" si="144"/>
        <v>#NUM!</v>
      </c>
      <c r="AN111" s="67">
        <f t="shared" si="133"/>
        <v>1.29650422668722</v>
      </c>
      <c r="AO111" s="67">
        <f t="shared" si="145"/>
        <v>0.0433264716459849</v>
      </c>
      <c r="AP111" s="63">
        <f t="shared" si="113"/>
        <v>27.9314749321345</v>
      </c>
      <c r="AQ111" s="63"/>
      <c r="AR111" s="69">
        <f t="shared" si="114"/>
        <v>11984.4686238862</v>
      </c>
      <c r="AS111" s="69"/>
      <c r="AT111" s="69">
        <f t="shared" si="115"/>
        <v>0.00490639016823202</v>
      </c>
      <c r="AU111" s="69">
        <f t="shared" si="116"/>
        <v>9.24391979975054e-5</v>
      </c>
      <c r="AV111" s="65">
        <f t="shared" si="117"/>
        <v>0.00878886498039307</v>
      </c>
      <c r="AW111" s="68"/>
      <c r="AX111" s="68"/>
      <c r="AY111" s="68">
        <f t="shared" si="118"/>
        <v>10.8718259807462</v>
      </c>
      <c r="AZ111" s="68">
        <f t="shared" si="119"/>
        <v>15.3805137156879</v>
      </c>
      <c r="BA111" s="71">
        <f t="shared" si="120"/>
        <v>0.0229249211033813</v>
      </c>
      <c r="BB111" s="71"/>
      <c r="BC111" s="65"/>
      <c r="BD111" s="65">
        <f t="shared" si="128"/>
        <v>0.121867775813324</v>
      </c>
      <c r="BE111" s="65">
        <f t="shared" si="121"/>
        <v>0.0721180387656849</v>
      </c>
      <c r="BF111" s="65">
        <f t="shared" si="122"/>
        <v>40.4066708322263</v>
      </c>
      <c r="BG111" s="69">
        <f t="shared" si="123"/>
        <v>0.000217510247673845</v>
      </c>
      <c r="BH111" s="69">
        <f t="shared" si="124"/>
        <v>8.15346769495046e-8</v>
      </c>
      <c r="BI111" s="72">
        <f t="shared" si="125"/>
        <v>10.1621251335795</v>
      </c>
      <c r="BJ111" s="72">
        <f t="shared" si="129"/>
        <v>19.6097063450095</v>
      </c>
      <c r="BK111" s="73">
        <f t="shared" si="126"/>
        <v>7.11809137411605</v>
      </c>
      <c r="BL111" s="72">
        <f t="shared" ref="BL111:BL127" si="149">AB111+2*AC111</f>
        <v>6.03243773883652</v>
      </c>
      <c r="BM111" s="74"/>
      <c r="BN111" s="86"/>
      <c r="BO111" s="86"/>
    </row>
    <row r="112" ht="25" customHeight="1" spans="1:67">
      <c r="A112" s="85">
        <v>13</v>
      </c>
      <c r="B112" s="55">
        <v>0.155972329643723</v>
      </c>
      <c r="C112" s="55">
        <v>-8.83349254780775</v>
      </c>
      <c r="D112" s="55"/>
      <c r="E112" s="55">
        <v>1.33352465454805</v>
      </c>
      <c r="F112" s="56">
        <v>1</v>
      </c>
      <c r="G112" s="57">
        <f t="shared" si="146"/>
        <v>8.36637353682585e-5</v>
      </c>
      <c r="H112" s="57">
        <f t="shared" si="147"/>
        <v>0.000333333333333333</v>
      </c>
      <c r="I112" s="58">
        <f t="shared" si="103"/>
        <v>0.0114096426482957</v>
      </c>
      <c r="J112" s="58"/>
      <c r="K112" s="58">
        <f t="shared" si="104"/>
        <v>0.34200290058014</v>
      </c>
      <c r="L112" s="57">
        <f t="shared" si="105"/>
        <v>0.000833922253136187</v>
      </c>
      <c r="M112" s="57">
        <f t="shared" si="106"/>
        <v>0.0162904901603801</v>
      </c>
      <c r="N112" s="57">
        <f t="shared" si="107"/>
        <v>0.0224877012402565</v>
      </c>
      <c r="O112" s="59">
        <v>0.0302</v>
      </c>
      <c r="P112" s="60">
        <f t="shared" si="108"/>
        <v>0.0302</v>
      </c>
      <c r="Q112" s="61">
        <v>1000</v>
      </c>
      <c r="R112" s="59">
        <v>1.1616</v>
      </c>
      <c r="S112" s="59">
        <v>9.801</v>
      </c>
      <c r="T112" s="62">
        <v>4e-6</v>
      </c>
      <c r="U112" s="63">
        <v>1e-6</v>
      </c>
      <c r="V112" s="63">
        <f t="shared" si="127"/>
        <v>4e-6</v>
      </c>
      <c r="W112" s="64">
        <v>0.001147</v>
      </c>
      <c r="X112" s="64">
        <v>1.85e-5</v>
      </c>
      <c r="Y112" s="65">
        <f t="shared" si="148"/>
        <v>0.324509568501262</v>
      </c>
      <c r="Z112" s="66">
        <f t="shared" si="109"/>
        <v>0.00133352465454805</v>
      </c>
      <c r="AA112" s="65">
        <f t="shared" si="110"/>
        <v>-0.798808990087146</v>
      </c>
      <c r="AB112" s="65">
        <f t="shared" si="111"/>
        <v>2.14842016517725</v>
      </c>
      <c r="AC112" s="65">
        <f t="shared" si="112"/>
        <v>2.30847691788367</v>
      </c>
      <c r="AD112" s="67">
        <f t="shared" si="136"/>
        <v>0.930665647351085</v>
      </c>
      <c r="AE112" s="67">
        <f t="shared" si="137"/>
        <v>0.157319445140412</v>
      </c>
      <c r="AF112" s="67">
        <f t="shared" si="138"/>
        <v>0.109962411854715</v>
      </c>
      <c r="AG112" s="67">
        <f t="shared" si="139"/>
        <v>0.0805849323833433</v>
      </c>
      <c r="AH112" s="67">
        <f t="shared" si="140"/>
        <v>0.0732826603193703</v>
      </c>
      <c r="AI112" s="67" t="e">
        <f t="shared" si="141"/>
        <v>#NUM!</v>
      </c>
      <c r="AJ112" s="67"/>
      <c r="AK112" s="67" t="e">
        <f t="shared" si="142"/>
        <v>#NUM!</v>
      </c>
      <c r="AL112" s="67" t="e">
        <f t="shared" si="143"/>
        <v>#NUM!</v>
      </c>
      <c r="AM112" s="67" t="e">
        <f t="shared" si="144"/>
        <v>#NUM!</v>
      </c>
      <c r="AN112" s="67">
        <f t="shared" si="133"/>
        <v>1.07643335330076</v>
      </c>
      <c r="AO112" s="67">
        <f t="shared" si="145"/>
        <v>0.0523273270273029</v>
      </c>
      <c r="AP112" s="63">
        <f t="shared" si="113"/>
        <v>33.7237469499942</v>
      </c>
      <c r="AQ112" s="63"/>
      <c r="AR112" s="69">
        <f t="shared" si="114"/>
        <v>8221.19364369178</v>
      </c>
      <c r="AS112" s="69"/>
      <c r="AT112" s="69">
        <f t="shared" si="115"/>
        <v>0.00592384973845531</v>
      </c>
      <c r="AU112" s="69">
        <f t="shared" si="116"/>
        <v>9.21865860868146e-5</v>
      </c>
      <c r="AV112" s="65">
        <f t="shared" si="117"/>
        <v>0.00886131352402156</v>
      </c>
      <c r="AW112" s="68"/>
      <c r="AX112" s="68"/>
      <c r="AY112" s="68">
        <f t="shared" si="118"/>
        <v>10.9614448292147</v>
      </c>
      <c r="AZ112" s="68">
        <f t="shared" si="119"/>
        <v>15.5072986670377</v>
      </c>
      <c r="BA112" s="71">
        <f t="shared" si="120"/>
        <v>0.02286227334953</v>
      </c>
      <c r="BB112" s="71"/>
      <c r="BC112" s="65"/>
      <c r="BD112" s="65">
        <f t="shared" si="128"/>
        <v>0.0845198517793067</v>
      </c>
      <c r="BE112" s="65">
        <f t="shared" si="121"/>
        <v>0.104842984665422</v>
      </c>
      <c r="BF112" s="65">
        <f t="shared" si="122"/>
        <v>28.1773265366131</v>
      </c>
      <c r="BG112" s="69">
        <f t="shared" si="123"/>
        <v>0.000314483828425218</v>
      </c>
      <c r="BH112" s="69">
        <f t="shared" si="124"/>
        <v>1.20825021157823e-7</v>
      </c>
      <c r="BI112" s="72">
        <f t="shared" si="125"/>
        <v>10.2458937621499</v>
      </c>
      <c r="BJ112" s="72">
        <f t="shared" si="129"/>
        <v>13.4888716387289</v>
      </c>
      <c r="BK112" s="73">
        <f t="shared" si="126"/>
        <v>4.83287502720681</v>
      </c>
      <c r="BL112" s="72">
        <f t="shared" si="149"/>
        <v>6.7653740009446</v>
      </c>
      <c r="BM112" s="74"/>
      <c r="BN112" s="86"/>
      <c r="BO112" s="86"/>
    </row>
    <row r="113" ht="25" customHeight="1" spans="1:67">
      <c r="A113" s="85">
        <v>14</v>
      </c>
      <c r="B113" s="55">
        <v>0.152545020932436</v>
      </c>
      <c r="C113" s="55">
        <v>-7.89006587958481</v>
      </c>
      <c r="D113" s="55"/>
      <c r="E113" s="55">
        <v>1.34060010780647</v>
      </c>
      <c r="F113" s="56">
        <v>1</v>
      </c>
      <c r="G113" s="57">
        <f t="shared" si="146"/>
        <v>8.36637353682585e-5</v>
      </c>
      <c r="H113" s="57">
        <f t="shared" si="147"/>
        <v>0.000333333333333333</v>
      </c>
      <c r="I113" s="58">
        <f t="shared" si="103"/>
        <v>0.0110922858534976</v>
      </c>
      <c r="J113" s="58"/>
      <c r="K113" s="58">
        <f t="shared" si="104"/>
        <v>0.326944933852093</v>
      </c>
      <c r="L113" s="57">
        <f t="shared" si="105"/>
        <v>0.000836131650615014</v>
      </c>
      <c r="M113" s="57">
        <f t="shared" si="106"/>
        <v>0.0171142043010143</v>
      </c>
      <c r="N113" s="57">
        <f t="shared" si="107"/>
        <v>0.0213332818900151</v>
      </c>
      <c r="O113" s="59">
        <v>0.0302</v>
      </c>
      <c r="P113" s="60">
        <f t="shared" si="108"/>
        <v>0.0302</v>
      </c>
      <c r="Q113" s="61">
        <v>1000</v>
      </c>
      <c r="R113" s="59">
        <v>1.1616</v>
      </c>
      <c r="S113" s="59">
        <v>9.801</v>
      </c>
      <c r="T113" s="62">
        <v>4e-6</v>
      </c>
      <c r="U113" s="63">
        <v>1e-6</v>
      </c>
      <c r="V113" s="63">
        <f t="shared" si="127"/>
        <v>4e-6</v>
      </c>
      <c r="W113" s="64">
        <v>0.001147</v>
      </c>
      <c r="X113" s="64">
        <v>1.85e-5</v>
      </c>
      <c r="Y113" s="65">
        <f t="shared" si="148"/>
        <v>0.54911218190921</v>
      </c>
      <c r="Z113" s="66">
        <f t="shared" si="109"/>
        <v>0.00134060010780647</v>
      </c>
      <c r="AA113" s="65">
        <f t="shared" si="110"/>
        <v>-0.852702170679035</v>
      </c>
      <c r="AB113" s="65">
        <f t="shared" si="111"/>
        <v>2.06594319667637</v>
      </c>
      <c r="AC113" s="65">
        <f t="shared" si="112"/>
        <v>2.33303867143657</v>
      </c>
      <c r="AD113" s="67">
        <f t="shared" si="136"/>
        <v>0.885516053364115</v>
      </c>
      <c r="AE113" s="67">
        <f t="shared" si="137"/>
        <v>0.158154155152661</v>
      </c>
      <c r="AF113" s="67">
        <f t="shared" si="138"/>
        <v>0.114148193930091</v>
      </c>
      <c r="AG113" s="67">
        <f t="shared" si="139"/>
        <v>0.0782485609135358</v>
      </c>
      <c r="AH113" s="67">
        <f t="shared" si="140"/>
        <v>0.0721904367589211</v>
      </c>
      <c r="AI113" s="67" t="e">
        <f t="shared" si="141"/>
        <v>#NUM!</v>
      </c>
      <c r="AJ113" s="67"/>
      <c r="AK113" s="67" t="e">
        <f t="shared" si="142"/>
        <v>#NUM!</v>
      </c>
      <c r="AL113" s="67" t="e">
        <f t="shared" si="143"/>
        <v>#NUM!</v>
      </c>
      <c r="AM113" s="67" t="e">
        <f t="shared" si="144"/>
        <v>#NUM!</v>
      </c>
      <c r="AN113" s="67">
        <f t="shared" si="133"/>
        <v>1.10765848574523</v>
      </c>
      <c r="AO113" s="67">
        <f t="shared" si="145"/>
        <v>0.0509869364294379</v>
      </c>
      <c r="AP113" s="63">
        <f t="shared" si="113"/>
        <v>32.9827072286348</v>
      </c>
      <c r="AQ113" s="63"/>
      <c r="AR113" s="69">
        <f t="shared" si="114"/>
        <v>8594.7633251459</v>
      </c>
      <c r="AS113" s="69"/>
      <c r="AT113" s="69">
        <f t="shared" si="115"/>
        <v>0.00579368009965245</v>
      </c>
      <c r="AU113" s="69">
        <f t="shared" si="116"/>
        <v>9.1942991898349e-5</v>
      </c>
      <c r="AV113" s="65">
        <f t="shared" si="117"/>
        <v>0.00893193190590882</v>
      </c>
      <c r="AW113" s="68"/>
      <c r="AX113" s="68"/>
      <c r="AY113" s="68">
        <f t="shared" si="118"/>
        <v>11.0487997676092</v>
      </c>
      <c r="AZ113" s="68">
        <f t="shared" si="119"/>
        <v>15.6308808353404</v>
      </c>
      <c r="BA113" s="71">
        <f t="shared" si="120"/>
        <v>0.0228018619907906</v>
      </c>
      <c r="BB113" s="71"/>
      <c r="BC113" s="65"/>
      <c r="BD113" s="65">
        <f t="shared" si="128"/>
        <v>0.0893005578791183</v>
      </c>
      <c r="BE113" s="65">
        <f t="shared" si="121"/>
        <v>0.100021009028852</v>
      </c>
      <c r="BF113" s="65">
        <f t="shared" si="122"/>
        <v>29.929084379981</v>
      </c>
      <c r="BG113" s="69">
        <f t="shared" si="123"/>
        <v>0.000298436523901253</v>
      </c>
      <c r="BH113" s="69">
        <f t="shared" si="124"/>
        <v>1.17422801394432e-7</v>
      </c>
      <c r="BI113" s="72">
        <f t="shared" si="125"/>
        <v>10.3275462662071</v>
      </c>
      <c r="BJ113" s="72">
        <f t="shared" si="129"/>
        <v>14.1391651224509</v>
      </c>
      <c r="BK113" s="73">
        <f t="shared" si="126"/>
        <v>5.00203620010066</v>
      </c>
      <c r="BL113" s="72">
        <f t="shared" si="149"/>
        <v>6.73202053954951</v>
      </c>
      <c r="BM113" s="74"/>
      <c r="BN113" s="86"/>
      <c r="BO113" s="86"/>
    </row>
    <row r="114" ht="25" customHeight="1" spans="1:67">
      <c r="A114" s="85">
        <v>15</v>
      </c>
      <c r="B114" s="55">
        <v>0.149782007149404</v>
      </c>
      <c r="C114" s="55">
        <v>-7.01835498544799</v>
      </c>
      <c r="D114" s="55"/>
      <c r="E114" s="55">
        <v>1.34672573284728</v>
      </c>
      <c r="F114" s="56">
        <v>1</v>
      </c>
      <c r="G114" s="57">
        <f t="shared" si="146"/>
        <v>8.36637353682585e-5</v>
      </c>
      <c r="H114" s="57">
        <f t="shared" si="147"/>
        <v>0.000333333333333333</v>
      </c>
      <c r="I114" s="58">
        <f t="shared" si="103"/>
        <v>0.0108353372738866</v>
      </c>
      <c r="J114" s="58"/>
      <c r="K114" s="58">
        <f t="shared" si="104"/>
        <v>0.315048933971806</v>
      </c>
      <c r="L114" s="57">
        <f t="shared" si="105"/>
        <v>0.000838039748138791</v>
      </c>
      <c r="M114" s="57">
        <f t="shared" si="106"/>
        <v>0.0178263955305546</v>
      </c>
      <c r="N114" s="57">
        <f t="shared" si="107"/>
        <v>0.0204216129163307</v>
      </c>
      <c r="O114" s="59">
        <v>0.0302</v>
      </c>
      <c r="P114" s="60">
        <f t="shared" si="108"/>
        <v>0.0302</v>
      </c>
      <c r="Q114" s="61">
        <v>1000</v>
      </c>
      <c r="R114" s="59">
        <v>1.1616</v>
      </c>
      <c r="S114" s="59">
        <v>9.801</v>
      </c>
      <c r="T114" s="62">
        <v>4e-6</v>
      </c>
      <c r="U114" s="63">
        <v>1e-6</v>
      </c>
      <c r="V114" s="63">
        <f t="shared" si="127"/>
        <v>4e-6</v>
      </c>
      <c r="W114" s="64">
        <v>0.001147</v>
      </c>
      <c r="X114" s="64">
        <v>1.85e-5</v>
      </c>
      <c r="Y114" s="65">
        <f t="shared" si="148"/>
        <v>0.760747261456383</v>
      </c>
      <c r="Z114" s="66">
        <f t="shared" si="109"/>
        <v>0.00134672573284728</v>
      </c>
      <c r="AA114" s="65">
        <f t="shared" si="110"/>
        <v>-0.895277794816304</v>
      </c>
      <c r="AB114" s="65">
        <f t="shared" si="111"/>
        <v>2.00088212001439</v>
      </c>
      <c r="AC114" s="65">
        <f t="shared" si="112"/>
        <v>2.35440816230826</v>
      </c>
      <c r="AD114" s="67">
        <f t="shared" si="136"/>
        <v>0.849845048979415</v>
      </c>
      <c r="AE114" s="67">
        <f t="shared" si="137"/>
        <v>0.158876811407476</v>
      </c>
      <c r="AF114" s="67">
        <f t="shared" si="138"/>
        <v>0.117700036406103</v>
      </c>
      <c r="AG114" s="67">
        <f t="shared" si="139"/>
        <v>0.0764079713488332</v>
      </c>
      <c r="AH114" s="67">
        <f t="shared" si="140"/>
        <v>0.0712755500616338</v>
      </c>
      <c r="AI114" s="67" t="e">
        <f t="shared" si="141"/>
        <v>#NUM!</v>
      </c>
      <c r="AJ114" s="67"/>
      <c r="AK114" s="67" t="e">
        <f t="shared" si="142"/>
        <v>#NUM!</v>
      </c>
      <c r="AL114" s="67" t="e">
        <f t="shared" si="143"/>
        <v>#NUM!</v>
      </c>
      <c r="AM114" s="67" t="e">
        <f t="shared" si="144"/>
        <v>#NUM!</v>
      </c>
      <c r="AN114" s="67">
        <f t="shared" si="133"/>
        <v>1.13312825885684</v>
      </c>
      <c r="AO114" s="67">
        <f t="shared" si="145"/>
        <v>0.0499546224279954</v>
      </c>
      <c r="AP114" s="63">
        <f t="shared" si="113"/>
        <v>32.3852988431144</v>
      </c>
      <c r="AQ114" s="63"/>
      <c r="AR114" s="69">
        <f t="shared" si="114"/>
        <v>8914.78150896826</v>
      </c>
      <c r="AS114" s="69"/>
      <c r="AT114" s="69">
        <f t="shared" si="115"/>
        <v>0.00568874047021081</v>
      </c>
      <c r="AU114" s="69">
        <f t="shared" si="116"/>
        <v>9.17336507596267e-5</v>
      </c>
      <c r="AV114" s="65">
        <f t="shared" si="117"/>
        <v>0.00899322100947417</v>
      </c>
      <c r="AW114" s="68"/>
      <c r="AX114" s="68"/>
      <c r="AY114" s="68">
        <f t="shared" si="118"/>
        <v>11.1246143887195</v>
      </c>
      <c r="AZ114" s="68">
        <f t="shared" si="119"/>
        <v>15.7381367665798</v>
      </c>
      <c r="BA114" s="71">
        <f t="shared" si="120"/>
        <v>0.0227499453883874</v>
      </c>
      <c r="BB114" s="71"/>
      <c r="BC114" s="65"/>
      <c r="BD114" s="65">
        <f t="shared" si="128"/>
        <v>0.0934739877571046</v>
      </c>
      <c r="BE114" s="65">
        <f t="shared" si="121"/>
        <v>0.0962109483639809</v>
      </c>
      <c r="BF114" s="65">
        <f t="shared" si="122"/>
        <v>31.4709561660861</v>
      </c>
      <c r="BG114" s="69">
        <f t="shared" si="123"/>
        <v>0.000285762560311577</v>
      </c>
      <c r="BH114" s="69">
        <f t="shared" si="124"/>
        <v>1.14766564518766e-7</v>
      </c>
      <c r="BI114" s="72">
        <f t="shared" si="125"/>
        <v>10.3984117922045</v>
      </c>
      <c r="BJ114" s="72">
        <f t="shared" si="129"/>
        <v>14.6990918021399</v>
      </c>
      <c r="BK114" s="73">
        <f t="shared" si="126"/>
        <v>5.14332332346968</v>
      </c>
      <c r="BL114" s="72">
        <f t="shared" si="149"/>
        <v>6.70969844463091</v>
      </c>
      <c r="BM114" s="74"/>
      <c r="BN114" s="86"/>
      <c r="BO114" s="86"/>
    </row>
    <row r="115" ht="25" customHeight="1" spans="1:67">
      <c r="A115" s="85">
        <v>16</v>
      </c>
      <c r="B115" s="55">
        <v>0.167091710704399</v>
      </c>
      <c r="C115" s="55">
        <v>-9.21100308592932</v>
      </c>
      <c r="D115" s="55"/>
      <c r="E115" s="55">
        <v>1.37078087352064</v>
      </c>
      <c r="F115" s="56">
        <v>1</v>
      </c>
      <c r="G115" s="57">
        <f t="shared" si="146"/>
        <v>8.36637353682585e-5</v>
      </c>
      <c r="H115" s="57">
        <f t="shared" si="147"/>
        <v>0.000333333333333333</v>
      </c>
      <c r="I115" s="58">
        <f t="shared" si="103"/>
        <v>0.0118480300357497</v>
      </c>
      <c r="J115" s="58"/>
      <c r="K115" s="58">
        <f t="shared" si="104"/>
        <v>0.391311177253603</v>
      </c>
      <c r="L115" s="57">
        <f t="shared" si="105"/>
        <v>0.000845491131215134</v>
      </c>
      <c r="M115" s="57">
        <f t="shared" si="106"/>
        <v>0.0145608048181162</v>
      </c>
      <c r="N115" s="57">
        <f t="shared" si="107"/>
        <v>0.0247219066147509</v>
      </c>
      <c r="O115" s="59">
        <v>0.0302</v>
      </c>
      <c r="P115" s="60">
        <f t="shared" si="108"/>
        <v>0.0302</v>
      </c>
      <c r="Q115" s="61">
        <v>1000</v>
      </c>
      <c r="R115" s="59">
        <v>1.1616</v>
      </c>
      <c r="S115" s="59">
        <v>9.801</v>
      </c>
      <c r="T115" s="62">
        <v>4e-6</v>
      </c>
      <c r="U115" s="63">
        <v>1e-6</v>
      </c>
      <c r="V115" s="63">
        <f t="shared" si="127"/>
        <v>4e-6</v>
      </c>
      <c r="W115" s="64">
        <v>0.001147</v>
      </c>
      <c r="X115" s="64">
        <v>1.85e-5</v>
      </c>
      <c r="Y115" s="65">
        <f t="shared" si="148"/>
        <v>0.250788254191562</v>
      </c>
      <c r="Z115" s="66">
        <f t="shared" si="109"/>
        <v>0.00137078087352064</v>
      </c>
      <c r="AA115" s="65">
        <f t="shared" si="110"/>
        <v>-0.615716626599258</v>
      </c>
      <c r="AB115" s="65">
        <f t="shared" si="111"/>
        <v>2.53455021287435</v>
      </c>
      <c r="AC115" s="65">
        <f t="shared" si="112"/>
        <v>2.43926795121342</v>
      </c>
      <c r="AD115" s="67">
        <f t="shared" si="136"/>
        <v>1.03906182656708</v>
      </c>
      <c r="AE115" s="67">
        <f t="shared" si="137"/>
        <v>0.161714660239592</v>
      </c>
      <c r="AF115" s="67">
        <f t="shared" si="138"/>
        <v>0.105073530801749</v>
      </c>
      <c r="AG115" s="67">
        <f t="shared" si="139"/>
        <v>0.0878931959575123</v>
      </c>
      <c r="AH115" s="67">
        <f t="shared" si="140"/>
        <v>0.0771106757528901</v>
      </c>
      <c r="AI115" s="67">
        <f t="shared" si="141"/>
        <v>1.43326215849858</v>
      </c>
      <c r="AJ115" s="67"/>
      <c r="AK115" s="67">
        <f t="shared" si="142"/>
        <v>1.04409870999474</v>
      </c>
      <c r="AL115" s="67">
        <f t="shared" si="143"/>
        <v>0.081249288457281</v>
      </c>
      <c r="AM115" s="67">
        <f t="shared" si="144"/>
        <v>0.113665591515444</v>
      </c>
      <c r="AN115" s="67">
        <f t="shared" si="133"/>
        <v>1.00590639329637</v>
      </c>
      <c r="AO115" s="67">
        <f t="shared" si="145"/>
        <v>0.056772970947938</v>
      </c>
      <c r="AP115" s="63">
        <f t="shared" si="113"/>
        <v>36.1279374495998</v>
      </c>
      <c r="AQ115" s="63"/>
      <c r="AR115" s="69">
        <f t="shared" si="114"/>
        <v>7163.41620207471</v>
      </c>
      <c r="AS115" s="69"/>
      <c r="AT115" s="69">
        <f t="shared" si="115"/>
        <v>0.00634616530390548</v>
      </c>
      <c r="AU115" s="69">
        <f t="shared" si="116"/>
        <v>9.09251945292e-5</v>
      </c>
      <c r="AV115" s="65">
        <f t="shared" si="117"/>
        <v>0.00923524843270582</v>
      </c>
      <c r="AW115" s="68"/>
      <c r="AX115" s="68"/>
      <c r="AY115" s="68">
        <f t="shared" si="118"/>
        <v>11.4240023112571</v>
      </c>
      <c r="AZ115" s="68">
        <f t="shared" si="119"/>
        <v>16.1616847572352</v>
      </c>
      <c r="BA115" s="71">
        <f t="shared" si="120"/>
        <v>0.0225494482432416</v>
      </c>
      <c r="BB115" s="71"/>
      <c r="BC115" s="65"/>
      <c r="BD115" s="65">
        <f t="shared" si="128"/>
        <v>0.0778176313020156</v>
      </c>
      <c r="BE115" s="65">
        <f t="shared" si="121"/>
        <v>0.118678097472065</v>
      </c>
      <c r="BF115" s="65">
        <f t="shared" si="122"/>
        <v>26.667730152871</v>
      </c>
      <c r="BG115" s="69">
        <f t="shared" si="123"/>
        <v>0.000346308005209493</v>
      </c>
      <c r="BH115" s="69">
        <f t="shared" si="124"/>
        <v>1.50616493553e-7</v>
      </c>
      <c r="BI115" s="72">
        <f t="shared" si="125"/>
        <v>10.6782560003161</v>
      </c>
      <c r="BJ115" s="72">
        <f t="shared" si="129"/>
        <v>11.9163821505142</v>
      </c>
      <c r="BK115" s="73">
        <f t="shared" si="126"/>
        <v>3.99339655855338</v>
      </c>
      <c r="BL115" s="72">
        <f t="shared" si="149"/>
        <v>7.41308611530119</v>
      </c>
      <c r="BM115" s="74"/>
      <c r="BN115" s="86"/>
      <c r="BO115" s="86"/>
    </row>
    <row r="116" ht="25" customHeight="1" spans="1:67">
      <c r="A116" s="85">
        <v>17</v>
      </c>
      <c r="B116" s="55">
        <v>0.216103289001669</v>
      </c>
      <c r="C116" s="55" t="s">
        <v>19</v>
      </c>
      <c r="D116" s="55"/>
      <c r="E116" s="55">
        <v>1.09341072557482</v>
      </c>
      <c r="F116" s="56">
        <v>1</v>
      </c>
      <c r="G116" s="57">
        <f t="shared" si="146"/>
        <v>8.36637353682585e-5</v>
      </c>
      <c r="H116" s="57">
        <f t="shared" si="147"/>
        <v>0.000333333333333333</v>
      </c>
      <c r="I116" s="58">
        <f t="shared" si="103"/>
        <v>0.0198317313168156</v>
      </c>
      <c r="J116" s="58"/>
      <c r="K116" s="58">
        <f t="shared" si="104"/>
        <v>0.672442889444709</v>
      </c>
      <c r="L116" s="57">
        <f t="shared" si="105"/>
        <v>0.00075512126951459</v>
      </c>
      <c r="M116" s="57">
        <f t="shared" si="106"/>
        <v>0.00707351509627267</v>
      </c>
      <c r="N116" s="57">
        <f t="shared" si="107"/>
        <v>0.0589234522579395</v>
      </c>
      <c r="O116" s="59">
        <v>0.0302</v>
      </c>
      <c r="P116" s="60">
        <f t="shared" si="108"/>
        <v>0.0302</v>
      </c>
      <c r="Q116" s="61">
        <v>1000</v>
      </c>
      <c r="R116" s="59">
        <v>1.1616</v>
      </c>
      <c r="S116" s="59">
        <v>9.801</v>
      </c>
      <c r="T116" s="62">
        <v>4e-6</v>
      </c>
      <c r="U116" s="63">
        <v>1e-6</v>
      </c>
      <c r="V116" s="63">
        <f t="shared" si="127"/>
        <v>4e-6</v>
      </c>
      <c r="W116" s="64">
        <v>0.001147</v>
      </c>
      <c r="X116" s="64">
        <v>1.85e-5</v>
      </c>
      <c r="Y116" s="65" t="e">
        <f t="shared" si="148"/>
        <v>#VALUE!</v>
      </c>
      <c r="Z116" s="66">
        <f t="shared" si="109"/>
        <v>0.00109341072557482</v>
      </c>
      <c r="AA116" s="65">
        <f t="shared" si="110"/>
        <v>0.34152046469617</v>
      </c>
      <c r="AB116" s="65">
        <f t="shared" si="111"/>
        <v>3.38165373458118</v>
      </c>
      <c r="AC116" s="65">
        <f t="shared" si="112"/>
        <v>1.55199421087085</v>
      </c>
      <c r="AD116" s="67">
        <f t="shared" si="136"/>
        <v>2.17890872974563</v>
      </c>
      <c r="AE116" s="67">
        <f t="shared" si="137"/>
        <v>0.128992567232516</v>
      </c>
      <c r="AF116" s="67">
        <f t="shared" si="138"/>
        <v>0.0481511616279528</v>
      </c>
      <c r="AG116" s="67">
        <f t="shared" si="139"/>
        <v>0.136635878769173</v>
      </c>
      <c r="AH116" s="67">
        <f t="shared" si="140"/>
        <v>0.0829694008433553</v>
      </c>
      <c r="AI116" s="67">
        <f t="shared" si="141"/>
        <v>1.02380204879747</v>
      </c>
      <c r="AJ116" s="67"/>
      <c r="AK116" s="67" t="e">
        <f t="shared" si="142"/>
        <v>#VALUE!</v>
      </c>
      <c r="AL116" s="67" t="e">
        <f t="shared" si="143"/>
        <v>#VALUE!</v>
      </c>
      <c r="AM116" s="67" t="e">
        <f t="shared" si="144"/>
        <v>#VALUE!</v>
      </c>
      <c r="AN116" s="67">
        <f t="shared" si="133"/>
        <v>0.552418468290284</v>
      </c>
      <c r="AO116" s="67">
        <f t="shared" si="145"/>
        <v>0.0923291096244012</v>
      </c>
      <c r="AP116" s="63">
        <f t="shared" si="113"/>
        <v>46.7250354598203</v>
      </c>
      <c r="AQ116" s="63"/>
      <c r="AR116" s="69">
        <f t="shared" si="114"/>
        <v>4282.59733330896</v>
      </c>
      <c r="AS116" s="69"/>
      <c r="AT116" s="69">
        <f t="shared" si="115"/>
        <v>0.00820763153923557</v>
      </c>
      <c r="AU116" s="69">
        <f t="shared" si="116"/>
        <v>0.000101806754334794</v>
      </c>
      <c r="AV116" s="65">
        <f t="shared" si="117"/>
        <v>0.00657917628279183</v>
      </c>
      <c r="AW116" s="68"/>
      <c r="AX116" s="68"/>
      <c r="AY116" s="68">
        <f t="shared" si="118"/>
        <v>8.13844106181349</v>
      </c>
      <c r="AZ116" s="68">
        <f t="shared" si="119"/>
        <v>11.5135584948857</v>
      </c>
      <c r="BA116" s="71">
        <f t="shared" si="120"/>
        <v>0.0252480750750289</v>
      </c>
      <c r="BB116" s="71"/>
      <c r="BC116" s="65"/>
      <c r="BD116" s="65">
        <f t="shared" si="128"/>
        <v>0.0296002685820563</v>
      </c>
      <c r="BE116" s="65">
        <f t="shared" si="121"/>
        <v>0.222267452221029</v>
      </c>
      <c r="BF116" s="65">
        <f t="shared" si="122"/>
        <v>8.09131278687894</v>
      </c>
      <c r="BG116" s="69">
        <f t="shared" si="123"/>
        <v>0.000813116048790101</v>
      </c>
      <c r="BH116" s="69">
        <f t="shared" si="124"/>
        <v>1.27859015516281e-7</v>
      </c>
      <c r="BI116" s="72">
        <f t="shared" si="125"/>
        <v>7.60717257697805</v>
      </c>
      <c r="BJ116" s="72">
        <f t="shared" si="129"/>
        <v>6.36266600548767</v>
      </c>
      <c r="BK116" s="73">
        <f t="shared" si="126"/>
        <v>3.51780889232044</v>
      </c>
      <c r="BL116" s="72">
        <f t="shared" si="149"/>
        <v>6.48564215632288</v>
      </c>
      <c r="BM116" s="74"/>
      <c r="BN116" s="86"/>
      <c r="BO116" s="86"/>
    </row>
    <row r="117" ht="25" customHeight="1" spans="1:67">
      <c r="A117" s="85">
        <v>18</v>
      </c>
      <c r="B117" s="55">
        <v>0.295617121278977</v>
      </c>
      <c r="C117" s="55">
        <v>-20.7263391576132</v>
      </c>
      <c r="D117" s="55"/>
      <c r="E117" s="55">
        <v>1.1318119595143</v>
      </c>
      <c r="F117" s="56">
        <v>1</v>
      </c>
      <c r="G117" s="57">
        <f t="shared" si="146"/>
        <v>8.36637353682585e-5</v>
      </c>
      <c r="H117" s="57">
        <f t="shared" si="147"/>
        <v>0.000333333333333333</v>
      </c>
      <c r="I117" s="58">
        <f t="shared" si="103"/>
        <v>0.0260723723610648</v>
      </c>
      <c r="J117" s="58"/>
      <c r="K117" s="58">
        <f t="shared" si="104"/>
        <v>1.25276669792385</v>
      </c>
      <c r="L117" s="57">
        <f t="shared" si="105"/>
        <v>0.000768266997756684</v>
      </c>
      <c r="M117" s="57">
        <f t="shared" si="106"/>
        <v>0.00390086619984193</v>
      </c>
      <c r="N117" s="57">
        <f t="shared" si="107"/>
        <v>0.104438131631585</v>
      </c>
      <c r="O117" s="59">
        <v>0.0302</v>
      </c>
      <c r="P117" s="60">
        <f t="shared" si="108"/>
        <v>0.0302</v>
      </c>
      <c r="Q117" s="61">
        <v>1000</v>
      </c>
      <c r="R117" s="59">
        <v>1.1616</v>
      </c>
      <c r="S117" s="59">
        <v>9.801</v>
      </c>
      <c r="T117" s="62">
        <v>4e-6</v>
      </c>
      <c r="U117" s="63">
        <v>1e-6</v>
      </c>
      <c r="V117" s="63">
        <f t="shared" si="127"/>
        <v>4e-6</v>
      </c>
      <c r="W117" s="64">
        <v>0.001147</v>
      </c>
      <c r="X117" s="64">
        <v>1.85e-5</v>
      </c>
      <c r="Y117" s="65">
        <f t="shared" si="148"/>
        <v>-1.66007974786412</v>
      </c>
      <c r="Z117" s="66">
        <f t="shared" si="109"/>
        <v>0.0011318119595143</v>
      </c>
      <c r="AA117" s="65">
        <f t="shared" si="110"/>
        <v>2.41536607509018</v>
      </c>
      <c r="AB117" s="65">
        <f t="shared" si="111"/>
        <v>6.55022922572627</v>
      </c>
      <c r="AC117" s="65">
        <f t="shared" si="112"/>
        <v>1.66292244410169</v>
      </c>
      <c r="AD117" s="67">
        <f t="shared" si="136"/>
        <v>3.93898660094439</v>
      </c>
      <c r="AE117" s="67">
        <f t="shared" si="137"/>
        <v>0.133522862788329</v>
      </c>
      <c r="AF117" s="67">
        <f t="shared" si="138"/>
        <v>0.0300795822992396</v>
      </c>
      <c r="AG117" s="67">
        <f t="shared" si="139"/>
        <v>0.230348901454978</v>
      </c>
      <c r="AH117" s="67">
        <f t="shared" si="140"/>
        <v>0.0920943477444137</v>
      </c>
      <c r="AI117" s="67">
        <f t="shared" si="141"/>
        <v>0.913739030994062</v>
      </c>
      <c r="AJ117" s="67"/>
      <c r="AK117" s="67">
        <f t="shared" si="142"/>
        <v>0.87233110870243</v>
      </c>
      <c r="AL117" s="67">
        <f t="shared" si="143"/>
        <v>0.0147850397492263</v>
      </c>
      <c r="AM117" s="67">
        <f t="shared" si="144"/>
        <v>0.468635787010111</v>
      </c>
      <c r="AN117" s="67">
        <f t="shared" si="133"/>
        <v>0.349004444008154</v>
      </c>
      <c r="AO117" s="67">
        <f t="shared" si="145"/>
        <v>0.148686436922784</v>
      </c>
      <c r="AP117" s="63">
        <f t="shared" si="113"/>
        <v>63.9172154116707</v>
      </c>
      <c r="AQ117" s="63"/>
      <c r="AR117" s="69">
        <f t="shared" si="114"/>
        <v>2288.60492730649</v>
      </c>
      <c r="AS117" s="69"/>
      <c r="AT117" s="69">
        <f t="shared" si="115"/>
        <v>0.0112275774207611</v>
      </c>
      <c r="AU117" s="69">
        <f t="shared" si="116"/>
        <v>0.000100064750669919</v>
      </c>
      <c r="AV117" s="65">
        <f t="shared" si="117"/>
        <v>0.00692879873885443</v>
      </c>
      <c r="AW117" s="68"/>
      <c r="AX117" s="68"/>
      <c r="AY117" s="68">
        <f t="shared" si="118"/>
        <v>8.57092403996293</v>
      </c>
      <c r="AZ117" s="68">
        <f t="shared" si="119"/>
        <v>12.1253977929953</v>
      </c>
      <c r="BA117" s="71">
        <f t="shared" si="120"/>
        <v>0.0248160581661398</v>
      </c>
      <c r="BB117" s="71"/>
      <c r="BC117" s="65"/>
      <c r="BD117" s="65">
        <f t="shared" si="128"/>
        <v>0.0169488851214061</v>
      </c>
      <c r="BE117" s="65">
        <f t="shared" si="121"/>
        <v>0.408805575660166</v>
      </c>
      <c r="BF117" s="65">
        <f t="shared" si="122"/>
        <v>4.79573772021034</v>
      </c>
      <c r="BG117" s="69">
        <f t="shared" si="123"/>
        <v>0.00144478266808772</v>
      </c>
      <c r="BH117" s="69">
        <f t="shared" si="124"/>
        <v>2.65363151755402e-7</v>
      </c>
      <c r="BI117" s="72">
        <f t="shared" si="125"/>
        <v>8.01142354180044</v>
      </c>
      <c r="BJ117" s="72">
        <f t="shared" si="129"/>
        <v>3.45937933965145</v>
      </c>
      <c r="BK117" s="73">
        <f t="shared" si="126"/>
        <v>1.78225138533258</v>
      </c>
      <c r="BL117" s="72">
        <f t="shared" si="149"/>
        <v>9.87607411392965</v>
      </c>
      <c r="BM117" s="74"/>
      <c r="BN117" s="86"/>
      <c r="BO117" s="86"/>
    </row>
    <row r="118" ht="25" customHeight="1" spans="1:67">
      <c r="A118" s="85">
        <v>19</v>
      </c>
      <c r="B118" s="55">
        <v>0.287888028098087</v>
      </c>
      <c r="C118" s="55">
        <v>-19.2900540969776</v>
      </c>
      <c r="D118" s="55"/>
      <c r="E118" s="55">
        <v>1.12813617601754</v>
      </c>
      <c r="F118" s="56">
        <v>1</v>
      </c>
      <c r="G118" s="57">
        <f t="shared" si="146"/>
        <v>8.36637353682585e-5</v>
      </c>
      <c r="H118" s="57">
        <f t="shared" si="147"/>
        <v>0.000333333333333333</v>
      </c>
      <c r="I118" s="58">
        <f t="shared" si="103"/>
        <v>0.0254857686766615</v>
      </c>
      <c r="J118" s="58"/>
      <c r="K118" s="58">
        <f t="shared" si="104"/>
        <v>1.18860413510849</v>
      </c>
      <c r="L118" s="57">
        <f t="shared" si="105"/>
        <v>0.000767018433576176</v>
      </c>
      <c r="M118" s="57">
        <f t="shared" si="106"/>
        <v>0.00410094435367066</v>
      </c>
      <c r="N118" s="57">
        <f t="shared" si="107"/>
        <v>0.0995558082158091</v>
      </c>
      <c r="O118" s="59">
        <v>0.0302</v>
      </c>
      <c r="P118" s="60">
        <f t="shared" si="108"/>
        <v>0.0302</v>
      </c>
      <c r="Q118" s="61">
        <v>1000</v>
      </c>
      <c r="R118" s="59">
        <v>1.1616</v>
      </c>
      <c r="S118" s="59">
        <v>9.801</v>
      </c>
      <c r="T118" s="62">
        <v>4e-6</v>
      </c>
      <c r="U118" s="63">
        <v>1e-6</v>
      </c>
      <c r="V118" s="63">
        <f t="shared" si="127"/>
        <v>4e-6</v>
      </c>
      <c r="W118" s="64">
        <v>0.001147</v>
      </c>
      <c r="X118" s="64">
        <v>1.85e-5</v>
      </c>
      <c r="Y118" s="65">
        <f t="shared" si="148"/>
        <v>-1.4112029933397</v>
      </c>
      <c r="Z118" s="66">
        <f t="shared" si="109"/>
        <v>0.00112813617601754</v>
      </c>
      <c r="AA118" s="65">
        <f t="shared" si="110"/>
        <v>2.18550034262003</v>
      </c>
      <c r="AB118" s="65">
        <f t="shared" si="111"/>
        <v>6.19201199107086</v>
      </c>
      <c r="AC118" s="65">
        <f t="shared" si="112"/>
        <v>1.6521386438806</v>
      </c>
      <c r="AD118" s="67">
        <f t="shared" si="136"/>
        <v>3.74787673783046</v>
      </c>
      <c r="AE118" s="67">
        <f t="shared" si="137"/>
        <v>0.133089220846881</v>
      </c>
      <c r="AF118" s="67">
        <f t="shared" si="138"/>
        <v>0.031330763357991</v>
      </c>
      <c r="AG118" s="67">
        <f t="shared" si="139"/>
        <v>0.220073545969547</v>
      </c>
      <c r="AH118" s="67">
        <f t="shared" si="140"/>
        <v>0.0914196014450725</v>
      </c>
      <c r="AI118" s="67">
        <f t="shared" si="141"/>
        <v>0.920442937584884</v>
      </c>
      <c r="AJ118" s="67"/>
      <c r="AK118" s="67">
        <f t="shared" si="142"/>
        <v>0.90934336766365</v>
      </c>
      <c r="AL118" s="67">
        <f t="shared" si="143"/>
        <v>0.0161456484231511</v>
      </c>
      <c r="AM118" s="67">
        <f t="shared" si="144"/>
        <v>0.427054523263313</v>
      </c>
      <c r="AN118" s="67">
        <f t="shared" si="133"/>
        <v>0.360763013057539</v>
      </c>
      <c r="AO118" s="67">
        <f t="shared" si="145"/>
        <v>0.143606444407249</v>
      </c>
      <c r="AP118" s="63">
        <f t="shared" si="113"/>
        <v>62.2460601293161</v>
      </c>
      <c r="AQ118" s="63"/>
      <c r="AR118" s="69">
        <f t="shared" si="114"/>
        <v>2413.14148428687</v>
      </c>
      <c r="AS118" s="69"/>
      <c r="AT118" s="69">
        <f t="shared" si="115"/>
        <v>0.01093402543803</v>
      </c>
      <c r="AU118" s="69">
        <f t="shared" si="116"/>
        <v>0.000100227637581039</v>
      </c>
      <c r="AV118" s="65">
        <f t="shared" si="117"/>
        <v>0.00689507219012584</v>
      </c>
      <c r="AW118" s="68"/>
      <c r="AX118" s="68"/>
      <c r="AY118" s="68">
        <f t="shared" si="118"/>
        <v>8.52920429918567</v>
      </c>
      <c r="AZ118" s="68">
        <f t="shared" si="119"/>
        <v>12.0663763327202</v>
      </c>
      <c r="BA118" s="71">
        <f t="shared" si="120"/>
        <v>0.0248564541200978</v>
      </c>
      <c r="BB118" s="71"/>
      <c r="BC118" s="65"/>
      <c r="BD118" s="65">
        <f t="shared" si="128"/>
        <v>0.0177552825448473</v>
      </c>
      <c r="BE118" s="65">
        <f t="shared" si="121"/>
        <v>0.388339198360256</v>
      </c>
      <c r="BF118" s="65">
        <f t="shared" si="122"/>
        <v>5.00759413856375</v>
      </c>
      <c r="BG118" s="69">
        <f t="shared" si="123"/>
        <v>0.00137692312901849</v>
      </c>
      <c r="BH118" s="69">
        <f t="shared" si="124"/>
        <v>2.49224309622715e-7</v>
      </c>
      <c r="BI118" s="72">
        <f t="shared" si="125"/>
        <v>7.97242721983301</v>
      </c>
      <c r="BJ118" s="72">
        <f t="shared" si="129"/>
        <v>3.64169666195055</v>
      </c>
      <c r="BK118" s="73">
        <f t="shared" si="126"/>
        <v>1.88884044945399</v>
      </c>
      <c r="BL118" s="72">
        <f t="shared" si="149"/>
        <v>9.49628927883206</v>
      </c>
      <c r="BM118" s="74"/>
      <c r="BN118" s="86"/>
      <c r="BO118" s="86"/>
    </row>
    <row r="119" ht="25" customHeight="1" spans="1:67">
      <c r="A119" s="85">
        <v>20</v>
      </c>
      <c r="B119" s="55">
        <v>0.184511896519853</v>
      </c>
      <c r="C119" s="55">
        <v>-17.4543543381341</v>
      </c>
      <c r="D119" s="55"/>
      <c r="E119" s="55">
        <v>1.14032099576215</v>
      </c>
      <c r="F119" s="56">
        <v>1</v>
      </c>
      <c r="G119" s="57">
        <f t="shared" si="146"/>
        <v>8.36637353682585e-5</v>
      </c>
      <c r="H119" s="57">
        <f t="shared" si="147"/>
        <v>0.000333333333333333</v>
      </c>
      <c r="I119" s="58">
        <f t="shared" si="103"/>
        <v>0.0161339181772052</v>
      </c>
      <c r="J119" s="58"/>
      <c r="K119" s="58">
        <f t="shared" si="104"/>
        <v>0.48758383456312</v>
      </c>
      <c r="L119" s="57">
        <f t="shared" si="105"/>
        <v>0.000771149530871597</v>
      </c>
      <c r="M119" s="57">
        <f t="shared" si="106"/>
        <v>0.010081866640469</v>
      </c>
      <c r="N119" s="57">
        <f t="shared" si="107"/>
        <v>0.0402104976665886</v>
      </c>
      <c r="O119" s="59">
        <v>0.0302</v>
      </c>
      <c r="P119" s="60">
        <f t="shared" si="108"/>
        <v>0.0302</v>
      </c>
      <c r="Q119" s="61">
        <v>1000</v>
      </c>
      <c r="R119" s="59">
        <v>1.1616</v>
      </c>
      <c r="S119" s="59">
        <v>9.801</v>
      </c>
      <c r="T119" s="62">
        <v>4e-6</v>
      </c>
      <c r="U119" s="63">
        <v>1e-6</v>
      </c>
      <c r="V119" s="63">
        <f t="shared" si="127"/>
        <v>4e-6</v>
      </c>
      <c r="W119" s="64">
        <v>0.001147</v>
      </c>
      <c r="X119" s="64">
        <v>1.85e-5</v>
      </c>
      <c r="Y119" s="65">
        <f t="shared" si="148"/>
        <v>-1.2005448837019</v>
      </c>
      <c r="Z119" s="66">
        <f t="shared" si="109"/>
        <v>0.00114032099576215</v>
      </c>
      <c r="AA119" s="65">
        <f t="shared" si="110"/>
        <v>-0.303535170369371</v>
      </c>
      <c r="AB119" s="65">
        <f t="shared" si="111"/>
        <v>2.57098130705514</v>
      </c>
      <c r="AC119" s="65">
        <f t="shared" si="112"/>
        <v>1.68802035378252</v>
      </c>
      <c r="AD119" s="67">
        <f t="shared" si="136"/>
        <v>1.52307482625674</v>
      </c>
      <c r="AE119" s="67">
        <f t="shared" si="137"/>
        <v>0.134526696393224</v>
      </c>
      <c r="AF119" s="67">
        <f t="shared" si="138"/>
        <v>0.0664961545896631</v>
      </c>
      <c r="AG119" s="67">
        <f t="shared" si="139"/>
        <v>0.105375749924144</v>
      </c>
      <c r="AH119" s="67">
        <f t="shared" si="140"/>
        <v>0.078427436898236</v>
      </c>
      <c r="AI119" s="67">
        <f t="shared" si="141"/>
        <v>1.14352700131651</v>
      </c>
      <c r="AJ119" s="67"/>
      <c r="AK119" s="67">
        <f t="shared" si="142"/>
        <v>0.814753339496724</v>
      </c>
      <c r="AL119" s="67">
        <f t="shared" si="143"/>
        <v>0.0359818418794368</v>
      </c>
      <c r="AM119" s="67">
        <f t="shared" si="144"/>
        <v>0.194739396066382</v>
      </c>
      <c r="AN119" s="67">
        <f t="shared" si="133"/>
        <v>0.757749205398498</v>
      </c>
      <c r="AO119" s="67">
        <f t="shared" si="145"/>
        <v>0.0687390052019069</v>
      </c>
      <c r="AP119" s="63">
        <f t="shared" si="113"/>
        <v>39.8944641124006</v>
      </c>
      <c r="AQ119" s="63"/>
      <c r="AR119" s="69">
        <f t="shared" si="114"/>
        <v>5874.63989193412</v>
      </c>
      <c r="AS119" s="69"/>
      <c r="AT119" s="69">
        <f t="shared" si="115"/>
        <v>0.00700778626848581</v>
      </c>
      <c r="AU119" s="69">
        <f t="shared" si="116"/>
        <v>9.96907117242998e-5</v>
      </c>
      <c r="AV119" s="65">
        <f t="shared" si="117"/>
        <v>0.00700708215695756</v>
      </c>
      <c r="AW119" s="68"/>
      <c r="AX119" s="68"/>
      <c r="AY119" s="68">
        <f t="shared" si="118"/>
        <v>8.6677606281565</v>
      </c>
      <c r="AZ119" s="68">
        <f t="shared" si="119"/>
        <v>12.2623937746757</v>
      </c>
      <c r="BA119" s="71">
        <f t="shared" si="120"/>
        <v>0.0247232965076264</v>
      </c>
      <c r="BB119" s="71"/>
      <c r="BC119" s="65"/>
      <c r="BD119" s="65">
        <f t="shared" si="128"/>
        <v>0.0441628651705348</v>
      </c>
      <c r="BE119" s="65">
        <f t="shared" si="121"/>
        <v>0.15866457327666</v>
      </c>
      <c r="BF119" s="65">
        <f t="shared" si="122"/>
        <v>12.5899605967434</v>
      </c>
      <c r="BG119" s="69">
        <f t="shared" si="123"/>
        <v>0.000556561087154636</v>
      </c>
      <c r="BH119" s="69">
        <f t="shared" si="124"/>
        <v>1.0572768457934e-7</v>
      </c>
      <c r="BI119" s="72">
        <f t="shared" si="125"/>
        <v>8.10193874398218</v>
      </c>
      <c r="BJ119" s="72">
        <f t="shared" si="129"/>
        <v>8.91322828510157</v>
      </c>
      <c r="BK119" s="73">
        <f t="shared" si="126"/>
        <v>4.5212150164364</v>
      </c>
      <c r="BL119" s="72">
        <f t="shared" si="149"/>
        <v>5.94702201462017</v>
      </c>
      <c r="BM119" s="74"/>
      <c r="BN119" s="86"/>
      <c r="BO119" s="86"/>
    </row>
    <row r="120" ht="25" customHeight="1" spans="1:67">
      <c r="A120" s="85">
        <v>21</v>
      </c>
      <c r="B120" s="55">
        <v>0.291446360752799</v>
      </c>
      <c r="C120" s="55">
        <v>-22.089827242945</v>
      </c>
      <c r="D120" s="55"/>
      <c r="E120" s="55">
        <v>1.14634367154445</v>
      </c>
      <c r="F120" s="56">
        <v>1</v>
      </c>
      <c r="G120" s="57">
        <f t="shared" si="146"/>
        <v>8.36637353682585e-5</v>
      </c>
      <c r="H120" s="57">
        <f t="shared" si="147"/>
        <v>0.000333333333333333</v>
      </c>
      <c r="I120" s="58">
        <f t="shared" si="103"/>
        <v>0.0253307747477049</v>
      </c>
      <c r="J120" s="58"/>
      <c r="K120" s="58">
        <f t="shared" si="104"/>
        <v>1.21571146152625</v>
      </c>
      <c r="L120" s="57">
        <f t="shared" si="105"/>
        <v>0.000773183285999621</v>
      </c>
      <c r="M120" s="57">
        <f t="shared" si="106"/>
        <v>0.00406033524006054</v>
      </c>
      <c r="N120" s="57">
        <f t="shared" si="107"/>
        <v>0.0994982753670892</v>
      </c>
      <c r="O120" s="59">
        <v>0.0302</v>
      </c>
      <c r="P120" s="60">
        <f t="shared" si="108"/>
        <v>0.0302</v>
      </c>
      <c r="Q120" s="61">
        <v>1000</v>
      </c>
      <c r="R120" s="59">
        <v>1.1616</v>
      </c>
      <c r="S120" s="59">
        <v>9.801</v>
      </c>
      <c r="T120" s="62">
        <v>4e-6</v>
      </c>
      <c r="U120" s="63">
        <v>1e-6</v>
      </c>
      <c r="V120" s="63">
        <f t="shared" si="127"/>
        <v>4e-6</v>
      </c>
      <c r="W120" s="64">
        <v>0.001147</v>
      </c>
      <c r="X120" s="64">
        <v>1.85e-5</v>
      </c>
      <c r="Y120" s="65">
        <f t="shared" si="148"/>
        <v>-1.94826570333666</v>
      </c>
      <c r="Z120" s="66">
        <f t="shared" si="109"/>
        <v>0.00114634367154445</v>
      </c>
      <c r="AA120" s="65">
        <f t="shared" si="110"/>
        <v>2.29056988766823</v>
      </c>
      <c r="AB120" s="65">
        <f t="shared" si="111"/>
        <v>6.44844743369992</v>
      </c>
      <c r="AC120" s="65">
        <f t="shared" si="112"/>
        <v>1.70589820848416</v>
      </c>
      <c r="AD120" s="67">
        <f t="shared" si="136"/>
        <v>3.78008922316059</v>
      </c>
      <c r="AE120" s="67">
        <f t="shared" si="137"/>
        <v>0.135237207450594</v>
      </c>
      <c r="AF120" s="67">
        <f t="shared" si="138"/>
        <v>0.0315968196921674</v>
      </c>
      <c r="AG120" s="67">
        <f t="shared" si="139"/>
        <v>0.223524644741603</v>
      </c>
      <c r="AH120" s="67">
        <f t="shared" si="140"/>
        <v>0.0922469073207132</v>
      </c>
      <c r="AI120" s="67">
        <f t="shared" si="141"/>
        <v>0.919263696819951</v>
      </c>
      <c r="AJ120" s="67"/>
      <c r="AK120" s="67">
        <f t="shared" si="142"/>
        <v>0.830471539266104</v>
      </c>
      <c r="AL120" s="67">
        <f t="shared" si="143"/>
        <v>0.0148555556770217</v>
      </c>
      <c r="AM120" s="67">
        <f t="shared" si="144"/>
        <v>0.475422666792638</v>
      </c>
      <c r="AN120" s="67">
        <f t="shared" si="133"/>
        <v>0.358715603321082</v>
      </c>
      <c r="AO120" s="67">
        <f t="shared" si="145"/>
        <v>0.145586908142333</v>
      </c>
      <c r="AP120" s="63">
        <f t="shared" si="113"/>
        <v>63.0154293519565</v>
      </c>
      <c r="AQ120" s="63"/>
      <c r="AR120" s="69">
        <f t="shared" si="114"/>
        <v>2354.57605014456</v>
      </c>
      <c r="AS120" s="69"/>
      <c r="AT120" s="69">
        <f t="shared" si="115"/>
        <v>0.0110691713835583</v>
      </c>
      <c r="AU120" s="69">
        <f t="shared" si="116"/>
        <v>9.94284886526726e-5</v>
      </c>
      <c r="AV120" s="65">
        <f t="shared" si="117"/>
        <v>0.00706266789665619</v>
      </c>
      <c r="AW120" s="68"/>
      <c r="AX120" s="68"/>
      <c r="AY120" s="68">
        <f t="shared" si="118"/>
        <v>8.73652018816371</v>
      </c>
      <c r="AZ120" s="68">
        <f t="shared" si="119"/>
        <v>12.3596688191483</v>
      </c>
      <c r="BA120" s="71">
        <f t="shared" si="120"/>
        <v>0.0246582651858628</v>
      </c>
      <c r="BB120" s="71"/>
      <c r="BC120" s="65"/>
      <c r="BD120" s="65">
        <f t="shared" si="128"/>
        <v>0.0178880972732067</v>
      </c>
      <c r="BE120" s="65">
        <f t="shared" si="121"/>
        <v>0.394824993893278</v>
      </c>
      <c r="BF120" s="65">
        <f t="shared" si="122"/>
        <v>5.126476776278</v>
      </c>
      <c r="BG120" s="69">
        <f t="shared" si="123"/>
        <v>0.00137768455898164</v>
      </c>
      <c r="BH120" s="69">
        <f t="shared" si="124"/>
        <v>2.67991117935809e-7</v>
      </c>
      <c r="BI120" s="72">
        <f t="shared" si="125"/>
        <v>8.16620975550872</v>
      </c>
      <c r="BJ120" s="72">
        <f t="shared" si="129"/>
        <v>3.58187446146168</v>
      </c>
      <c r="BK120" s="73">
        <f t="shared" si="126"/>
        <v>1.79705327556384</v>
      </c>
      <c r="BL120" s="72">
        <f t="shared" si="149"/>
        <v>9.86024385066824</v>
      </c>
      <c r="BM120" s="74"/>
      <c r="BN120" s="86"/>
      <c r="BO120" s="86"/>
    </row>
    <row r="121" ht="25" customHeight="1" spans="1:67">
      <c r="A121" s="85">
        <v>22</v>
      </c>
      <c r="B121" s="55">
        <v>0.39138558386936</v>
      </c>
      <c r="C121" s="55">
        <v>-31.321014111829</v>
      </c>
      <c r="D121" s="55"/>
      <c r="E121" s="55">
        <v>1.101005519293</v>
      </c>
      <c r="F121" s="56">
        <v>1</v>
      </c>
      <c r="G121" s="57">
        <f t="shared" si="146"/>
        <v>8.36637353682585e-5</v>
      </c>
      <c r="H121" s="57">
        <f t="shared" si="147"/>
        <v>0.000333333333333333</v>
      </c>
      <c r="I121" s="58">
        <f t="shared" si="103"/>
        <v>0.0356320551892554</v>
      </c>
      <c r="J121" s="58"/>
      <c r="K121" s="58">
        <f t="shared" si="104"/>
        <v>2.20370265770166</v>
      </c>
      <c r="L121" s="57">
        <f t="shared" si="105"/>
        <v>0.000757739254602717</v>
      </c>
      <c r="M121" s="57">
        <f t="shared" si="106"/>
        <v>0.00217012656270265</v>
      </c>
      <c r="N121" s="57">
        <f t="shared" si="107"/>
        <v>0.191181946231915</v>
      </c>
      <c r="O121" s="59">
        <v>0.0302</v>
      </c>
      <c r="P121" s="60">
        <f t="shared" si="108"/>
        <v>0.0302</v>
      </c>
      <c r="Q121" s="61">
        <v>1000</v>
      </c>
      <c r="R121" s="59">
        <v>1.1616</v>
      </c>
      <c r="S121" s="59">
        <v>9.801</v>
      </c>
      <c r="T121" s="62">
        <v>4e-6</v>
      </c>
      <c r="U121" s="63">
        <v>1e-6</v>
      </c>
      <c r="V121" s="63">
        <f t="shared" si="127"/>
        <v>4e-6</v>
      </c>
      <c r="W121" s="64">
        <v>0.001147</v>
      </c>
      <c r="X121" s="64">
        <v>1.85e-5</v>
      </c>
      <c r="Y121" s="65">
        <f t="shared" si="148"/>
        <v>-3.1959009160989</v>
      </c>
      <c r="Z121" s="66">
        <f t="shared" si="109"/>
        <v>0.001101005519293</v>
      </c>
      <c r="AA121" s="65">
        <f t="shared" si="110"/>
        <v>5.76873981961059</v>
      </c>
      <c r="AB121" s="65">
        <f t="shared" si="111"/>
        <v>11.1692033723287</v>
      </c>
      <c r="AC121" s="65">
        <f t="shared" si="112"/>
        <v>1.57362928709765</v>
      </c>
      <c r="AD121" s="67">
        <f t="shared" si="136"/>
        <v>7.0977348120718</v>
      </c>
      <c r="AE121" s="67">
        <f t="shared" si="137"/>
        <v>0.129888545218093</v>
      </c>
      <c r="AF121" s="67">
        <f t="shared" si="138"/>
        <v>0.0170956934442773</v>
      </c>
      <c r="AG121" s="67">
        <f t="shared" si="139"/>
        <v>0.388860697714038</v>
      </c>
      <c r="AH121" s="67">
        <f t="shared" si="140"/>
        <v>0.0956259039739843</v>
      </c>
      <c r="AI121" s="67">
        <f t="shared" si="141"/>
        <v>0.856078335674863</v>
      </c>
      <c r="AJ121" s="67"/>
      <c r="AK121" s="67">
        <f t="shared" si="142"/>
        <v>0.688193699536972</v>
      </c>
      <c r="AL121" s="67">
        <f t="shared" si="143"/>
        <v>0.00629697226142369</v>
      </c>
      <c r="AM121" s="67">
        <f t="shared" si="144"/>
        <v>1.05572059152504</v>
      </c>
      <c r="AN121" s="67">
        <f t="shared" si="133"/>
        <v>0.193375884828728</v>
      </c>
      <c r="AO121" s="67">
        <f t="shared" si="145"/>
        <v>0.264671760465019</v>
      </c>
      <c r="AP121" s="63">
        <f t="shared" si="113"/>
        <v>84.6239100258076</v>
      </c>
      <c r="AQ121" s="63"/>
      <c r="AR121" s="69">
        <f t="shared" si="114"/>
        <v>1305.6306769649</v>
      </c>
      <c r="AS121" s="69"/>
      <c r="AT121" s="69">
        <f t="shared" si="115"/>
        <v>0.0148648763145085</v>
      </c>
      <c r="AU121" s="69">
        <f t="shared" si="116"/>
        <v>0.000101455012540898</v>
      </c>
      <c r="AV121" s="65">
        <f t="shared" si="117"/>
        <v>0.00664784328064697</v>
      </c>
      <c r="AW121" s="68"/>
      <c r="AX121" s="68"/>
      <c r="AY121" s="68">
        <f t="shared" si="118"/>
        <v>8.2233821381603</v>
      </c>
      <c r="AZ121" s="68">
        <f t="shared" si="119"/>
        <v>11.6337257411322</v>
      </c>
      <c r="BA121" s="71">
        <f t="shared" si="120"/>
        <v>0.0251608431101427</v>
      </c>
      <c r="BB121" s="71"/>
      <c r="BC121" s="65"/>
      <c r="BD121" s="65">
        <f t="shared" si="128"/>
        <v>0.00914999987018247</v>
      </c>
      <c r="BE121" s="65">
        <f t="shared" si="121"/>
        <v>0.726540259558976</v>
      </c>
      <c r="BF121" s="65">
        <f t="shared" si="122"/>
        <v>2.51855008965028</v>
      </c>
      <c r="BG121" s="69">
        <f t="shared" si="123"/>
        <v>0.00263955174366616</v>
      </c>
      <c r="BH121" s="69">
        <f t="shared" si="124"/>
        <v>4.28190228100053e-7</v>
      </c>
      <c r="BI121" s="72">
        <f t="shared" si="125"/>
        <v>7.68656879324806</v>
      </c>
      <c r="BJ121" s="72">
        <f t="shared" si="129"/>
        <v>1.94650405640501</v>
      </c>
      <c r="BK121" s="73">
        <f t="shared" si="126"/>
        <v>1.06119846068605</v>
      </c>
      <c r="BL121" s="72">
        <f t="shared" si="149"/>
        <v>14.316461946524</v>
      </c>
      <c r="BM121" s="74"/>
      <c r="BN121" s="86"/>
      <c r="BO121" s="86"/>
    </row>
    <row r="122" ht="25" customHeight="1" spans="1:67">
      <c r="A122" s="85">
        <v>26</v>
      </c>
      <c r="B122" s="55">
        <v>0.429410948981545</v>
      </c>
      <c r="C122" s="55">
        <v>-29.5445184707007</v>
      </c>
      <c r="D122" s="55"/>
      <c r="E122" s="55">
        <v>1.17622920609573</v>
      </c>
      <c r="F122" s="56">
        <v>1</v>
      </c>
      <c r="G122" s="57">
        <f t="shared" si="146"/>
        <v>8.36637353682585e-5</v>
      </c>
      <c r="H122" s="57">
        <f t="shared" si="147"/>
        <v>0.000333333333333333</v>
      </c>
      <c r="I122" s="58">
        <f t="shared" si="103"/>
        <v>0.0362370465068166</v>
      </c>
      <c r="J122" s="58"/>
      <c r="K122" s="58">
        <f t="shared" si="104"/>
        <v>2.63070375560115</v>
      </c>
      <c r="L122" s="57">
        <f t="shared" si="105"/>
        <v>0.000783197004592521</v>
      </c>
      <c r="M122" s="57">
        <f t="shared" si="106"/>
        <v>0.00191493407205866</v>
      </c>
      <c r="N122" s="57">
        <f t="shared" si="107"/>
        <v>0.207445190458803</v>
      </c>
      <c r="O122" s="59">
        <v>0.0302</v>
      </c>
      <c r="P122" s="60">
        <f t="shared" si="108"/>
        <v>0.0302</v>
      </c>
      <c r="Q122" s="61">
        <v>1000</v>
      </c>
      <c r="R122" s="59">
        <v>1.1616</v>
      </c>
      <c r="S122" s="59">
        <v>9.801</v>
      </c>
      <c r="T122" s="62">
        <v>4e-6</v>
      </c>
      <c r="U122" s="63">
        <v>1e-6</v>
      </c>
      <c r="V122" s="63">
        <f t="shared" si="127"/>
        <v>4e-6</v>
      </c>
      <c r="W122" s="64">
        <v>0.001147</v>
      </c>
      <c r="X122" s="64">
        <v>1.85e-5</v>
      </c>
      <c r="Y122" s="65">
        <f t="shared" si="148"/>
        <v>-3.33319949547159</v>
      </c>
      <c r="Z122" s="66">
        <f t="shared" si="109"/>
        <v>0.00117622920609573</v>
      </c>
      <c r="AA122" s="65">
        <f t="shared" si="110"/>
        <v>7.35951901657651</v>
      </c>
      <c r="AB122" s="65">
        <f t="shared" si="111"/>
        <v>14.3635317606801</v>
      </c>
      <c r="AC122" s="65">
        <f t="shared" si="112"/>
        <v>1.79600423030684</v>
      </c>
      <c r="AD122" s="67">
        <f t="shared" si="136"/>
        <v>7.99749327885835</v>
      </c>
      <c r="AE122" s="67">
        <f t="shared" si="137"/>
        <v>0.138762883333148</v>
      </c>
      <c r="AF122" s="67">
        <f t="shared" si="138"/>
        <v>0.0163298609106745</v>
      </c>
      <c r="AG122" s="67">
        <f t="shared" si="139"/>
        <v>0.449523065910305</v>
      </c>
      <c r="AH122" s="67">
        <f t="shared" si="140"/>
        <v>0.0995758909864093</v>
      </c>
      <c r="AI122" s="67">
        <f t="shared" si="141"/>
        <v>0.848081823791081</v>
      </c>
      <c r="AJ122" s="67"/>
      <c r="AK122" s="67">
        <f t="shared" si="142"/>
        <v>0.72575573418395</v>
      </c>
      <c r="AL122" s="67">
        <f t="shared" si="143"/>
        <v>0.00629622025048499</v>
      </c>
      <c r="AM122" s="67">
        <f t="shared" si="144"/>
        <v>1.16588188634123</v>
      </c>
      <c r="AN122" s="67">
        <f t="shared" si="133"/>
        <v>0.178547467742598</v>
      </c>
      <c r="AO122" s="67">
        <f t="shared" si="145"/>
        <v>0.296283493101839</v>
      </c>
      <c r="AP122" s="63">
        <f t="shared" si="113"/>
        <v>92.8456105906043</v>
      </c>
      <c r="AQ122" s="63"/>
      <c r="AR122" s="69">
        <f t="shared" si="114"/>
        <v>1084.6353837134</v>
      </c>
      <c r="AS122" s="69"/>
      <c r="AT122" s="69">
        <f t="shared" si="115"/>
        <v>0.0163090847179415</v>
      </c>
      <c r="AU122" s="69">
        <f t="shared" si="116"/>
        <v>9.81572262504329e-5</v>
      </c>
      <c r="AV122" s="65">
        <f t="shared" si="117"/>
        <v>0.00734064914245526</v>
      </c>
      <c r="AW122" s="68"/>
      <c r="AX122" s="68"/>
      <c r="AY122" s="68">
        <f t="shared" si="118"/>
        <v>9.08038298921715</v>
      </c>
      <c r="AZ122" s="68">
        <f t="shared" si="119"/>
        <v>12.8461359992967</v>
      </c>
      <c r="BA122" s="71">
        <f t="shared" si="120"/>
        <v>0.0243429921101074</v>
      </c>
      <c r="BB122" s="71"/>
      <c r="BC122" s="65"/>
      <c r="BD122" s="65">
        <f t="shared" si="128"/>
        <v>0.00867539855894428</v>
      </c>
      <c r="BE122" s="65">
        <f t="shared" si="121"/>
        <v>0.846145464393344</v>
      </c>
      <c r="BF122" s="65">
        <f t="shared" si="122"/>
        <v>2.55106428988777</v>
      </c>
      <c r="BG122" s="69">
        <f t="shared" si="123"/>
        <v>0.00287748496639346</v>
      </c>
      <c r="BH122" s="69">
        <f t="shared" si="124"/>
        <v>6.28464452105989e-7</v>
      </c>
      <c r="BI122" s="72">
        <f t="shared" si="125"/>
        <v>8.48762557096389</v>
      </c>
      <c r="BJ122" s="72">
        <f t="shared" si="129"/>
        <v>1.67135985700406</v>
      </c>
      <c r="BK122" s="73">
        <f t="shared" si="126"/>
        <v>0.794233043060861</v>
      </c>
      <c r="BL122" s="72">
        <f t="shared" si="149"/>
        <v>17.9555402212938</v>
      </c>
      <c r="BM122" s="74"/>
      <c r="BN122" s="86"/>
      <c r="BO122" s="86"/>
    </row>
    <row r="123" ht="25" customHeight="1" spans="1:67">
      <c r="A123" s="85">
        <v>32</v>
      </c>
      <c r="B123" s="55">
        <v>0.395006096345403</v>
      </c>
      <c r="C123" s="55">
        <v>-16.7691410433922</v>
      </c>
      <c r="D123" s="55"/>
      <c r="E123" s="55">
        <v>1.13947744614092</v>
      </c>
      <c r="F123" s="56">
        <v>1</v>
      </c>
      <c r="G123" s="57">
        <f t="shared" si="146"/>
        <v>8.36637353682585e-5</v>
      </c>
      <c r="H123" s="57">
        <f t="shared" si="147"/>
        <v>0.000333333333333333</v>
      </c>
      <c r="I123" s="58">
        <f t="shared" si="103"/>
        <v>0.034569112995489</v>
      </c>
      <c r="J123" s="58"/>
      <c r="K123" s="58">
        <f t="shared" si="104"/>
        <v>2.23485115484578</v>
      </c>
      <c r="L123" s="57">
        <f t="shared" si="105"/>
        <v>0.000770864250128899</v>
      </c>
      <c r="M123" s="57">
        <f t="shared" si="106"/>
        <v>0.00219830845158878</v>
      </c>
      <c r="N123" s="57">
        <f t="shared" si="107"/>
        <v>0.184502831239819</v>
      </c>
      <c r="O123" s="59">
        <v>0.0302</v>
      </c>
      <c r="P123" s="60">
        <f t="shared" si="108"/>
        <v>0.0302</v>
      </c>
      <c r="Q123" s="61">
        <v>1000</v>
      </c>
      <c r="R123" s="59">
        <v>1.1616</v>
      </c>
      <c r="S123" s="59">
        <v>9.801</v>
      </c>
      <c r="T123" s="62">
        <v>4e-6</v>
      </c>
      <c r="U123" s="63">
        <v>1e-6</v>
      </c>
      <c r="V123" s="63">
        <f t="shared" si="127"/>
        <v>4e-6</v>
      </c>
      <c r="W123" s="64">
        <v>0.001147</v>
      </c>
      <c r="X123" s="64">
        <v>1.85e-5</v>
      </c>
      <c r="Y123" s="65">
        <f t="shared" si="148"/>
        <v>-0.936847012546758</v>
      </c>
      <c r="Z123" s="66">
        <f t="shared" si="109"/>
        <v>0.00113947744614092</v>
      </c>
      <c r="AA123" s="65">
        <f t="shared" si="110"/>
        <v>5.91385403415055</v>
      </c>
      <c r="AB123" s="65">
        <f t="shared" si="111"/>
        <v>11.7743348628131</v>
      </c>
      <c r="AC123" s="65">
        <f t="shared" si="112"/>
        <v>1.68552385979283</v>
      </c>
      <c r="AD123" s="67">
        <f t="shared" si="136"/>
        <v>6.98556403957422</v>
      </c>
      <c r="AE123" s="67">
        <f t="shared" si="137"/>
        <v>0.134427180604065</v>
      </c>
      <c r="AF123" s="67">
        <f t="shared" si="138"/>
        <v>0.0179581899097227</v>
      </c>
      <c r="AG123" s="67">
        <f t="shared" si="139"/>
        <v>0.389755784009392</v>
      </c>
      <c r="AH123" s="67">
        <f t="shared" si="140"/>
        <v>0.0971795721408293</v>
      </c>
      <c r="AI123" s="67">
        <f t="shared" si="141"/>
        <v>0.857221090874528</v>
      </c>
      <c r="AJ123" s="67"/>
      <c r="AK123" s="67">
        <f t="shared" si="142"/>
        <v>1.06376197391221</v>
      </c>
      <c r="AL123" s="67">
        <f t="shared" si="143"/>
        <v>0.0102352882442081</v>
      </c>
      <c r="AM123" s="67">
        <f t="shared" si="144"/>
        <v>0.683840867072235</v>
      </c>
      <c r="AN123" s="67">
        <f t="shared" si="133"/>
        <v>0.196710796241627</v>
      </c>
      <c r="AO123" s="67">
        <f t="shared" si="145"/>
        <v>0.264691406953721</v>
      </c>
      <c r="AP123" s="63">
        <f t="shared" si="113"/>
        <v>85.4067235341412</v>
      </c>
      <c r="AQ123" s="63"/>
      <c r="AR123" s="69">
        <f t="shared" si="114"/>
        <v>1281.80629148269</v>
      </c>
      <c r="AS123" s="69"/>
      <c r="AT123" s="69">
        <f t="shared" si="115"/>
        <v>0.0150023838578867</v>
      </c>
      <c r="AU123" s="69">
        <f t="shared" si="116"/>
        <v>9.97276051724991e-5</v>
      </c>
      <c r="AV123" s="65">
        <f t="shared" si="117"/>
        <v>0.00699930838765352</v>
      </c>
      <c r="AW123" s="68"/>
      <c r="AX123" s="68"/>
      <c r="AY123" s="68">
        <f t="shared" si="118"/>
        <v>8.6581444755274</v>
      </c>
      <c r="AZ123" s="68">
        <f t="shared" si="119"/>
        <v>12.2487896783937</v>
      </c>
      <c r="BA123" s="71">
        <f t="shared" si="120"/>
        <v>0.0247324460827798</v>
      </c>
      <c r="BB123" s="71"/>
      <c r="BC123" s="65"/>
      <c r="BD123" s="65">
        <f t="shared" si="128"/>
        <v>0.00962178428560067</v>
      </c>
      <c r="BE123" s="65">
        <f t="shared" si="121"/>
        <v>0.7274439105986</v>
      </c>
      <c r="BF123" s="65">
        <f t="shared" si="122"/>
        <v>2.74095154626877</v>
      </c>
      <c r="BG123" s="69">
        <f t="shared" si="123"/>
        <v>0.00255360529710261</v>
      </c>
      <c r="BH123" s="69">
        <f t="shared" si="124"/>
        <v>4.83485452294105e-7</v>
      </c>
      <c r="BI123" s="72">
        <f t="shared" si="125"/>
        <v>8.09295032322438</v>
      </c>
      <c r="BJ123" s="72">
        <f t="shared" si="129"/>
        <v>1.94408605497758</v>
      </c>
      <c r="BK123" s="73">
        <f t="shared" si="126"/>
        <v>0.98765258640147</v>
      </c>
      <c r="BL123" s="72">
        <f t="shared" si="149"/>
        <v>15.1453825823987</v>
      </c>
      <c r="BM123" s="74"/>
      <c r="BN123" s="86"/>
      <c r="BO123" s="86"/>
    </row>
    <row r="124" ht="25" customHeight="1" spans="1:67">
      <c r="A124" s="85">
        <v>33</v>
      </c>
      <c r="B124" s="55">
        <v>0.398843632763255</v>
      </c>
      <c r="C124" s="55">
        <v>-27.6032969792246</v>
      </c>
      <c r="D124" s="55"/>
      <c r="E124" s="55">
        <v>1.13295312383379</v>
      </c>
      <c r="F124" s="56">
        <v>1</v>
      </c>
      <c r="G124" s="57">
        <f t="shared" si="146"/>
        <v>8.36637353682585e-5</v>
      </c>
      <c r="H124" s="57">
        <f t="shared" si="147"/>
        <v>0.000333333333333333</v>
      </c>
      <c r="I124" s="58">
        <f t="shared" si="103"/>
        <v>0.0351358836315856</v>
      </c>
      <c r="J124" s="58"/>
      <c r="K124" s="58">
        <f t="shared" si="104"/>
        <v>2.28013728632003</v>
      </c>
      <c r="L124" s="57">
        <f t="shared" si="105"/>
        <v>0.000768654207839953</v>
      </c>
      <c r="M124" s="57">
        <f t="shared" si="106"/>
        <v>0.0021449359511861</v>
      </c>
      <c r="N124" s="57">
        <f t="shared" si="107"/>
        <v>0.18980940709848</v>
      </c>
      <c r="O124" s="59">
        <v>0.0302</v>
      </c>
      <c r="P124" s="60">
        <f t="shared" si="108"/>
        <v>0.0302</v>
      </c>
      <c r="Q124" s="61">
        <v>1000</v>
      </c>
      <c r="R124" s="59">
        <v>1.1616</v>
      </c>
      <c r="S124" s="59">
        <v>9.801</v>
      </c>
      <c r="T124" s="62">
        <v>4e-6</v>
      </c>
      <c r="U124" s="63">
        <v>1e-6</v>
      </c>
      <c r="V124" s="63">
        <f t="shared" si="127"/>
        <v>4e-6</v>
      </c>
      <c r="W124" s="64">
        <v>0.001147</v>
      </c>
      <c r="X124" s="64">
        <v>1.85e-5</v>
      </c>
      <c r="Y124" s="65">
        <f t="shared" si="148"/>
        <v>-2.76241641343504</v>
      </c>
      <c r="Z124" s="66">
        <f t="shared" si="109"/>
        <v>0.00113295312383379</v>
      </c>
      <c r="AA124" s="65">
        <f t="shared" si="110"/>
        <v>6.06912555534099</v>
      </c>
      <c r="AB124" s="65">
        <f t="shared" si="111"/>
        <v>11.9354918465566</v>
      </c>
      <c r="AC124" s="65">
        <f t="shared" si="112"/>
        <v>1.66627746154534</v>
      </c>
      <c r="AD124" s="67">
        <f t="shared" si="136"/>
        <v>7.1629678261911</v>
      </c>
      <c r="AE124" s="67">
        <f t="shared" si="137"/>
        <v>0.133657488973862</v>
      </c>
      <c r="AF124" s="67">
        <f t="shared" si="138"/>
        <v>0.0174420005414921</v>
      </c>
      <c r="AG124" s="67">
        <f t="shared" si="139"/>
        <v>0.397848884492387</v>
      </c>
      <c r="AH124" s="67">
        <f t="shared" si="140"/>
        <v>0.0970615308174451</v>
      </c>
      <c r="AI124" s="67">
        <f t="shared" si="141"/>
        <v>0.855430390163608</v>
      </c>
      <c r="AJ124" s="67"/>
      <c r="AK124" s="67">
        <f t="shared" si="142"/>
        <v>0.757143931677682</v>
      </c>
      <c r="AL124" s="67">
        <f t="shared" si="143"/>
        <v>0.00706396839657788</v>
      </c>
      <c r="AM124" s="67">
        <f t="shared" si="144"/>
        <v>0.982348740703592</v>
      </c>
      <c r="AN124" s="67">
        <f t="shared" si="133"/>
        <v>0.191589876666427</v>
      </c>
      <c r="AO124" s="67">
        <f t="shared" si="145"/>
        <v>0.270987079657821</v>
      </c>
      <c r="AP124" s="63">
        <f t="shared" si="113"/>
        <v>86.2364611380011</v>
      </c>
      <c r="AQ124" s="63"/>
      <c r="AR124" s="69">
        <f t="shared" si="114"/>
        <v>1257.25875674842</v>
      </c>
      <c r="AS124" s="69"/>
      <c r="AT124" s="69">
        <f t="shared" si="115"/>
        <v>0.0151481339993197</v>
      </c>
      <c r="AU124" s="69">
        <f t="shared" si="116"/>
        <v>0.000100014342983284</v>
      </c>
      <c r="AV124" s="65">
        <f t="shared" si="117"/>
        <v>0.00693928045874826</v>
      </c>
      <c r="AW124" s="68"/>
      <c r="AX124" s="68"/>
      <c r="AY124" s="68">
        <f t="shared" si="118"/>
        <v>8.5838899274716</v>
      </c>
      <c r="AZ124" s="68">
        <f t="shared" si="119"/>
        <v>12.1437408028095</v>
      </c>
      <c r="BA124" s="71">
        <f t="shared" si="120"/>
        <v>0.0248035570598544</v>
      </c>
      <c r="BB124" s="71"/>
      <c r="BC124" s="65"/>
      <c r="BD124" s="65">
        <f t="shared" si="128"/>
        <v>0.00932975633962425</v>
      </c>
      <c r="BE124" s="65">
        <f t="shared" si="121"/>
        <v>0.743779387814938</v>
      </c>
      <c r="BF124" s="65">
        <f t="shared" si="122"/>
        <v>2.64254414739635</v>
      </c>
      <c r="BG124" s="69">
        <f t="shared" si="123"/>
        <v>0.0026259846843374</v>
      </c>
      <c r="BH124" s="69">
        <f t="shared" si="124"/>
        <v>4.84506674036147e-7</v>
      </c>
      <c r="BI124" s="72">
        <f t="shared" si="125"/>
        <v>8.02354303042767</v>
      </c>
      <c r="BJ124" s="72">
        <f t="shared" si="129"/>
        <v>1.90138848365743</v>
      </c>
      <c r="BK124" s="73">
        <f t="shared" si="126"/>
        <v>0.977542042414899</v>
      </c>
      <c r="BL124" s="72">
        <f t="shared" si="149"/>
        <v>15.2680467696473</v>
      </c>
      <c r="BM124" s="74"/>
      <c r="BN124" s="86"/>
      <c r="BO124" s="86"/>
    </row>
    <row r="125" ht="25" customHeight="1" spans="1:67">
      <c r="A125" s="85">
        <v>37</v>
      </c>
      <c r="B125" s="55">
        <v>0.318662680570048</v>
      </c>
      <c r="C125" s="55">
        <v>-21.0076644753185</v>
      </c>
      <c r="D125" s="55"/>
      <c r="E125" s="55">
        <v>1.12616383153143</v>
      </c>
      <c r="F125" s="56">
        <v>1</v>
      </c>
      <c r="G125" s="57">
        <f t="shared" si="146"/>
        <v>8.36637353682585e-5</v>
      </c>
      <c r="H125" s="57">
        <f t="shared" si="147"/>
        <v>0.000333333333333333</v>
      </c>
      <c r="I125" s="58">
        <f t="shared" si="103"/>
        <v>0.028266931877335</v>
      </c>
      <c r="J125" s="58"/>
      <c r="K125" s="58">
        <f t="shared" si="104"/>
        <v>1.45662883066006</v>
      </c>
      <c r="L125" s="57">
        <f t="shared" si="105"/>
        <v>0.000766347642932775</v>
      </c>
      <c r="M125" s="57">
        <f t="shared" si="106"/>
        <v>0.00334176079321551</v>
      </c>
      <c r="N125" s="57">
        <f t="shared" si="107"/>
        <v>0.122313901128499</v>
      </c>
      <c r="O125" s="59">
        <v>0.0302</v>
      </c>
      <c r="P125" s="60">
        <f t="shared" si="108"/>
        <v>0.0302</v>
      </c>
      <c r="Q125" s="61">
        <v>1000</v>
      </c>
      <c r="R125" s="59">
        <v>1.1616</v>
      </c>
      <c r="S125" s="59">
        <v>9.801</v>
      </c>
      <c r="T125" s="62">
        <v>4e-6</v>
      </c>
      <c r="U125" s="63">
        <v>1e-6</v>
      </c>
      <c r="V125" s="63">
        <f t="shared" si="127"/>
        <v>4e-6</v>
      </c>
      <c r="W125" s="64">
        <v>0.001147</v>
      </c>
      <c r="X125" s="64">
        <v>1.85e-5</v>
      </c>
      <c r="Y125" s="65">
        <f t="shared" si="148"/>
        <v>-1.67308443888342</v>
      </c>
      <c r="Z125" s="66">
        <f t="shared" si="109"/>
        <v>0.00112616383153143</v>
      </c>
      <c r="AA125" s="65">
        <f t="shared" si="110"/>
        <v>3.13689622773132</v>
      </c>
      <c r="AB125" s="65">
        <f t="shared" si="111"/>
        <v>7.57333273586413</v>
      </c>
      <c r="AC125" s="65">
        <f t="shared" si="112"/>
        <v>1.64636675554716</v>
      </c>
      <c r="AD125" s="67">
        <f t="shared" si="136"/>
        <v>4.60002773400705</v>
      </c>
      <c r="AE125" s="67">
        <f t="shared" si="137"/>
        <v>0.132856538129601</v>
      </c>
      <c r="AF125" s="67">
        <f t="shared" si="138"/>
        <v>0.0260501599322121</v>
      </c>
      <c r="AG125" s="67">
        <f t="shared" si="139"/>
        <v>0.263990620845272</v>
      </c>
      <c r="AH125" s="67">
        <f t="shared" si="140"/>
        <v>0.0933756993456615</v>
      </c>
      <c r="AI125" s="67">
        <f t="shared" si="141"/>
        <v>0.894968021503156</v>
      </c>
      <c r="AJ125" s="67"/>
      <c r="AK125" s="67">
        <f t="shared" si="142"/>
        <v>0.881000401381034</v>
      </c>
      <c r="AL125" s="67">
        <f t="shared" si="143"/>
        <v>0.0127223867100812</v>
      </c>
      <c r="AM125" s="67">
        <f t="shared" si="144"/>
        <v>0.540543063997098</v>
      </c>
      <c r="AN125" s="67">
        <f t="shared" si="133"/>
        <v>0.312356860529439</v>
      </c>
      <c r="AO125" s="67">
        <f t="shared" si="145"/>
        <v>0.165716178788675</v>
      </c>
      <c r="AP125" s="63">
        <f t="shared" si="113"/>
        <v>68.9000390421725</v>
      </c>
      <c r="AQ125" s="63"/>
      <c r="AR125" s="69">
        <f t="shared" si="114"/>
        <v>1969.55260769022</v>
      </c>
      <c r="AS125" s="69"/>
      <c r="AT125" s="69">
        <f t="shared" si="115"/>
        <v>0.012102850815028</v>
      </c>
      <c r="AU125" s="69">
        <f t="shared" si="116"/>
        <v>0.000100315367689065</v>
      </c>
      <c r="AV125" s="65">
        <f t="shared" si="117"/>
        <v>0.00687699789362328</v>
      </c>
      <c r="AW125" s="68"/>
      <c r="AX125" s="68"/>
      <c r="AY125" s="68">
        <f t="shared" si="118"/>
        <v>8.506846394412</v>
      </c>
      <c r="AZ125" s="68">
        <f t="shared" si="119"/>
        <v>12.0347463138407</v>
      </c>
      <c r="BA125" s="71">
        <f t="shared" si="120"/>
        <v>0.0248782111868881</v>
      </c>
      <c r="BB125" s="71"/>
      <c r="BC125" s="65"/>
      <c r="BD125" s="65">
        <f t="shared" si="128"/>
        <v>0.0144408409918292</v>
      </c>
      <c r="BE125" s="65">
        <f t="shared" si="121"/>
        <v>0.476218656345178</v>
      </c>
      <c r="BF125" s="65">
        <f t="shared" si="122"/>
        <v>4.06568820547364</v>
      </c>
      <c r="BG125" s="69">
        <f t="shared" si="123"/>
        <v>0.00169147203279503</v>
      </c>
      <c r="BH125" s="69">
        <f t="shared" si="124"/>
        <v>3.03756618438244e-7</v>
      </c>
      <c r="BI125" s="72">
        <f t="shared" si="125"/>
        <v>7.95152881450192</v>
      </c>
      <c r="BJ125" s="72">
        <f t="shared" si="129"/>
        <v>2.96967274072528</v>
      </c>
      <c r="BK125" s="73">
        <f t="shared" si="126"/>
        <v>1.54585397172172</v>
      </c>
      <c r="BL125" s="72">
        <f t="shared" si="149"/>
        <v>10.8660662469585</v>
      </c>
      <c r="BM125" s="74" t="s">
        <v>111</v>
      </c>
      <c r="BN125" s="86"/>
      <c r="BO125" s="86"/>
    </row>
    <row r="126" ht="25" customHeight="1" spans="1:67">
      <c r="A126" s="85">
        <v>38</v>
      </c>
      <c r="B126" s="55">
        <v>0.323598867697246</v>
      </c>
      <c r="C126" s="55">
        <v>-19.8305564934459</v>
      </c>
      <c r="D126" s="55"/>
      <c r="E126" s="55">
        <v>1.06171963077562</v>
      </c>
      <c r="F126" s="56">
        <v>1</v>
      </c>
      <c r="G126" s="57">
        <f t="shared" si="146"/>
        <v>8.36637353682585e-5</v>
      </c>
      <c r="H126" s="57">
        <f t="shared" si="147"/>
        <v>0.000333333333333333</v>
      </c>
      <c r="I126" s="58">
        <f t="shared" si="103"/>
        <v>0.0307217810609511</v>
      </c>
      <c r="J126" s="58"/>
      <c r="K126" s="58">
        <f t="shared" si="104"/>
        <v>1.51364219289006</v>
      </c>
      <c r="L126" s="57">
        <f t="shared" si="105"/>
        <v>0.000744097699858442</v>
      </c>
      <c r="M126" s="57">
        <f t="shared" si="106"/>
        <v>0.00307137509297173</v>
      </c>
      <c r="N126" s="57">
        <f t="shared" si="107"/>
        <v>0.138383573526187</v>
      </c>
      <c r="O126" s="59">
        <v>0.0302</v>
      </c>
      <c r="P126" s="60">
        <f t="shared" si="108"/>
        <v>0.0302</v>
      </c>
      <c r="Q126" s="61">
        <v>1000</v>
      </c>
      <c r="R126" s="59">
        <v>1.1616</v>
      </c>
      <c r="S126" s="59">
        <v>9.801</v>
      </c>
      <c r="T126" s="62">
        <v>4e-6</v>
      </c>
      <c r="U126" s="63">
        <v>1e-6</v>
      </c>
      <c r="V126" s="63">
        <f t="shared" si="127"/>
        <v>4e-6</v>
      </c>
      <c r="W126" s="64">
        <v>0.001147</v>
      </c>
      <c r="X126" s="64">
        <v>1.85e-5</v>
      </c>
      <c r="Y126" s="65">
        <f t="shared" si="148"/>
        <v>-1.28419438110158</v>
      </c>
      <c r="Z126" s="66">
        <f t="shared" si="109"/>
        <v>0.00106171963077562</v>
      </c>
      <c r="AA126" s="65">
        <f t="shared" si="110"/>
        <v>3.29848252675534</v>
      </c>
      <c r="AB126" s="65">
        <f t="shared" si="111"/>
        <v>7.3628658312843</v>
      </c>
      <c r="AC126" s="65">
        <f t="shared" si="112"/>
        <v>1.4633328844295</v>
      </c>
      <c r="AD126" s="67">
        <f t="shared" si="136"/>
        <v>5.03157272663549</v>
      </c>
      <c r="AE126" s="67">
        <f t="shared" si="137"/>
        <v>0.125253884612214</v>
      </c>
      <c r="AF126" s="67">
        <f t="shared" si="138"/>
        <v>0.0226434489433891</v>
      </c>
      <c r="AG126" s="67">
        <f t="shared" si="139"/>
        <v>0.278015316161697</v>
      </c>
      <c r="AH126" s="67">
        <f t="shared" si="140"/>
        <v>0.091433473578961</v>
      </c>
      <c r="AI126" s="67">
        <f t="shared" si="141"/>
        <v>0.885436775768099</v>
      </c>
      <c r="AJ126" s="67"/>
      <c r="AK126" s="67">
        <f t="shared" si="142"/>
        <v>0.925158086208931</v>
      </c>
      <c r="AL126" s="67">
        <f t="shared" si="143"/>
        <v>0.0115152508443972</v>
      </c>
      <c r="AM126" s="67">
        <f t="shared" si="144"/>
        <v>0.546685929994355</v>
      </c>
      <c r="AN126" s="67">
        <f t="shared" si="133"/>
        <v>0.289236632109837</v>
      </c>
      <c r="AO126" s="67">
        <f t="shared" si="145"/>
        <v>0.173766798506286</v>
      </c>
      <c r="AP126" s="63">
        <f t="shared" si="113"/>
        <v>69.9673227453505</v>
      </c>
      <c r="AQ126" s="63"/>
      <c r="AR126" s="69">
        <f t="shared" si="114"/>
        <v>1909.92366126673</v>
      </c>
      <c r="AS126" s="69"/>
      <c r="AT126" s="69">
        <f t="shared" si="115"/>
        <v>0.0122903278559186</v>
      </c>
      <c r="AU126" s="69">
        <f t="shared" si="116"/>
        <v>0.000103314988869169</v>
      </c>
      <c r="AV126" s="65">
        <f t="shared" si="117"/>
        <v>0.00629522561698756</v>
      </c>
      <c r="AW126" s="68"/>
      <c r="AX126" s="68"/>
      <c r="AY126" s="68">
        <f t="shared" si="118"/>
        <v>7.78719408821361</v>
      </c>
      <c r="AZ126" s="68">
        <f t="shared" si="119"/>
        <v>11.0166448297282</v>
      </c>
      <c r="BA126" s="71">
        <f t="shared" si="120"/>
        <v>0.025622117239554</v>
      </c>
      <c r="BB126" s="71"/>
      <c r="BC126" s="65"/>
      <c r="BD126" s="65">
        <f t="shared" si="128"/>
        <v>0.0124467926250138</v>
      </c>
      <c r="BE126" s="65">
        <f t="shared" si="121"/>
        <v>0.505770908750927</v>
      </c>
      <c r="BF126" s="65">
        <f t="shared" si="122"/>
        <v>3.30375101754258</v>
      </c>
      <c r="BG126" s="69">
        <f t="shared" si="123"/>
        <v>0.00190547822265072</v>
      </c>
      <c r="BH126" s="69">
        <f t="shared" si="124"/>
        <v>2.62483580970042e-7</v>
      </c>
      <c r="BI126" s="72">
        <f t="shared" si="125"/>
        <v>7.27885461964186</v>
      </c>
      <c r="BJ126" s="72">
        <f t="shared" si="129"/>
        <v>2.79615442071529</v>
      </c>
      <c r="BK126" s="73">
        <f t="shared" si="126"/>
        <v>1.63976018411775</v>
      </c>
      <c r="BL126" s="72">
        <f t="shared" si="149"/>
        <v>10.2895316001433</v>
      </c>
      <c r="BM126" s="74" t="s">
        <v>112</v>
      </c>
      <c r="BN126" s="86"/>
      <c r="BO126" s="86"/>
    </row>
    <row r="127" ht="25" customHeight="1" spans="1:67">
      <c r="A127" s="85">
        <v>40</v>
      </c>
      <c r="B127" s="55">
        <v>0.33654226678617</v>
      </c>
      <c r="C127" s="55">
        <v>-21.0228869351141</v>
      </c>
      <c r="D127" s="55"/>
      <c r="E127" s="55">
        <v>1.14326017302198</v>
      </c>
      <c r="F127" s="56">
        <v>1</v>
      </c>
      <c r="G127" s="57">
        <f t="shared" si="146"/>
        <v>8.36637353682585e-5</v>
      </c>
      <c r="H127" s="57">
        <f t="shared" si="147"/>
        <v>0.000333333333333333</v>
      </c>
      <c r="I127" s="58">
        <f t="shared" si="103"/>
        <v>0.0293407929589018</v>
      </c>
      <c r="J127" s="58"/>
      <c r="K127" s="58">
        <f t="shared" si="104"/>
        <v>1.62158320744734</v>
      </c>
      <c r="L127" s="57">
        <f t="shared" si="105"/>
        <v>0.000772142710225348</v>
      </c>
      <c r="M127" s="57">
        <f t="shared" si="106"/>
        <v>0.00303760592330512</v>
      </c>
      <c r="N127" s="57">
        <f t="shared" si="107"/>
        <v>0.133233767789266</v>
      </c>
      <c r="O127" s="59">
        <v>0.0302</v>
      </c>
      <c r="P127" s="60">
        <f t="shared" si="108"/>
        <v>0.0302</v>
      </c>
      <c r="Q127" s="61">
        <v>1000</v>
      </c>
      <c r="R127" s="59">
        <v>1.1616</v>
      </c>
      <c r="S127" s="59">
        <v>9.801</v>
      </c>
      <c r="T127" s="62">
        <v>4e-6</v>
      </c>
      <c r="U127" s="63">
        <v>1e-6</v>
      </c>
      <c r="V127" s="63">
        <f t="shared" si="127"/>
        <v>4e-6</v>
      </c>
      <c r="W127" s="64">
        <v>0.001147</v>
      </c>
      <c r="X127" s="64">
        <v>1.85e-5</v>
      </c>
      <c r="Y127" s="65">
        <f t="shared" si="148"/>
        <v>-1.72121486101656</v>
      </c>
      <c r="Z127" s="66">
        <f t="shared" si="109"/>
        <v>0.00114326017302198</v>
      </c>
      <c r="AA127" s="65">
        <f t="shared" si="110"/>
        <v>3.73398049610467</v>
      </c>
      <c r="AB127" s="65">
        <f t="shared" si="111"/>
        <v>8.57526122054116</v>
      </c>
      <c r="AC127" s="65">
        <f t="shared" si="112"/>
        <v>1.69673331276319</v>
      </c>
      <c r="AD127" s="67">
        <f t="shared" si="136"/>
        <v>5.05398294242014</v>
      </c>
      <c r="AE127" s="67">
        <f t="shared" si="137"/>
        <v>0.134873438940584</v>
      </c>
      <c r="AF127" s="67">
        <f t="shared" si="138"/>
        <v>0.0242840931163921</v>
      </c>
      <c r="AG127" s="67">
        <f t="shared" si="139"/>
        <v>0.289662484120908</v>
      </c>
      <c r="AH127" s="67">
        <f t="shared" si="140"/>
        <v>0.0949176407833207</v>
      </c>
      <c r="AI127" s="67">
        <f t="shared" si="141"/>
        <v>0.884987213137127</v>
      </c>
      <c r="AJ127" s="67"/>
      <c r="AK127" s="67">
        <f t="shared" si="142"/>
        <v>0.889791438638507</v>
      </c>
      <c r="AL127" s="67">
        <f t="shared" si="143"/>
        <v>0.0118727380598952</v>
      </c>
      <c r="AM127" s="67">
        <f t="shared" si="144"/>
        <v>0.592465756528253</v>
      </c>
      <c r="AN127" s="67">
        <f t="shared" si="133"/>
        <v>0.288032383421594</v>
      </c>
      <c r="AO127" s="67">
        <f t="shared" si="145"/>
        <v>0.181069953929978</v>
      </c>
      <c r="AP127" s="63">
        <f t="shared" si="113"/>
        <v>72.7658955213341</v>
      </c>
      <c r="AQ127" s="63"/>
      <c r="AR127" s="69">
        <f t="shared" si="114"/>
        <v>1765.8376180659</v>
      </c>
      <c r="AS127" s="69"/>
      <c r="AT127" s="69">
        <f t="shared" si="115"/>
        <v>0.0127819198676734</v>
      </c>
      <c r="AU127" s="69">
        <f t="shared" si="116"/>
        <v>9.95624831529048e-5</v>
      </c>
      <c r="AV127" s="65">
        <f t="shared" si="117"/>
        <v>0.00703419073671757</v>
      </c>
      <c r="AW127" s="68"/>
      <c r="AX127" s="68"/>
      <c r="AY127" s="68">
        <f t="shared" si="118"/>
        <v>8.70129394131964</v>
      </c>
      <c r="AZ127" s="68">
        <f t="shared" si="119"/>
        <v>12.3098337892558</v>
      </c>
      <c r="BA127" s="71">
        <f t="shared" si="120"/>
        <v>0.0246914958219204</v>
      </c>
      <c r="BB127" s="71"/>
      <c r="BC127" s="65"/>
      <c r="BD127" s="65">
        <f t="shared" si="128"/>
        <v>0.0133432819696062</v>
      </c>
      <c r="BE127" s="65">
        <f t="shared" si="121"/>
        <v>0.527170957845326</v>
      </c>
      <c r="BF127" s="65">
        <f t="shared" si="122"/>
        <v>3.81371071331327</v>
      </c>
      <c r="BG127" s="69">
        <f t="shared" si="123"/>
        <v>0.00184444790533324</v>
      </c>
      <c r="BH127" s="69">
        <f t="shared" si="124"/>
        <v>3.54464762650041e-7</v>
      </c>
      <c r="BI127" s="72">
        <f t="shared" si="125"/>
        <v>8.1332830393297</v>
      </c>
      <c r="BJ127" s="72">
        <f t="shared" si="129"/>
        <v>2.68264695034287</v>
      </c>
      <c r="BK127" s="73">
        <f t="shared" si="126"/>
        <v>1.35349035743324</v>
      </c>
      <c r="BL127" s="72">
        <f t="shared" si="149"/>
        <v>11.9687278460675</v>
      </c>
      <c r="BM127" s="74"/>
      <c r="BN127" s="86"/>
      <c r="BO127" s="86"/>
    </row>
    <row r="128" ht="25" customHeight="1" spans="1:67">
      <c r="A128" s="85">
        <v>42</v>
      </c>
      <c r="B128" s="55">
        <v>0.369274360911998</v>
      </c>
      <c r="C128" s="55">
        <v>-22.4770707152993</v>
      </c>
      <c r="D128" s="55"/>
      <c r="E128" s="55">
        <v>1.12194285224198</v>
      </c>
      <c r="F128" s="56">
        <v>1</v>
      </c>
      <c r="G128" s="57">
        <f t="shared" si="146"/>
        <v>8.36637353682585e-5</v>
      </c>
      <c r="H128" s="57">
        <f t="shared" si="147"/>
        <v>0.000333333333333333</v>
      </c>
      <c r="I128" s="58">
        <f t="shared" si="103"/>
        <v>0.0328981330404979</v>
      </c>
      <c r="J128" s="58"/>
      <c r="K128" s="58">
        <f t="shared" si="104"/>
        <v>1.95700636600347</v>
      </c>
      <c r="L128" s="57">
        <f t="shared" si="105"/>
        <v>0.000764910119294739</v>
      </c>
      <c r="M128" s="57">
        <f t="shared" si="106"/>
        <v>0.00248000148140364</v>
      </c>
      <c r="N128" s="57">
        <f t="shared" si="107"/>
        <v>0.165224454057451</v>
      </c>
      <c r="O128" s="59">
        <v>0.0302</v>
      </c>
      <c r="P128" s="60">
        <f t="shared" si="108"/>
        <v>0.0302</v>
      </c>
      <c r="Q128" s="61">
        <v>1000</v>
      </c>
      <c r="R128" s="59">
        <v>1.1616</v>
      </c>
      <c r="S128" s="59">
        <v>9.801</v>
      </c>
      <c r="T128" s="62">
        <v>4e-6</v>
      </c>
      <c r="U128" s="63">
        <v>1e-6</v>
      </c>
      <c r="V128" s="63">
        <f t="shared" ref="V128:V143" si="150">0.000003+0.000001*F128</f>
        <v>4e-6</v>
      </c>
      <c r="W128" s="64">
        <v>0.001147</v>
      </c>
      <c r="X128" s="64">
        <v>1.85e-5</v>
      </c>
      <c r="Y128" s="65">
        <f t="shared" si="148"/>
        <v>-1.86935065881762</v>
      </c>
      <c r="Z128" s="66">
        <f t="shared" si="109"/>
        <v>0.00112194285224198</v>
      </c>
      <c r="AA128" s="65">
        <f t="shared" si="110"/>
        <v>4.91149610738861</v>
      </c>
      <c r="AB128" s="65">
        <f t="shared" si="111"/>
        <v>10.1319280992112</v>
      </c>
      <c r="AC128" s="65">
        <f t="shared" si="112"/>
        <v>1.63404837615802</v>
      </c>
      <c r="AD128" s="67">
        <f t="shared" si="136"/>
        <v>6.20050681916372</v>
      </c>
      <c r="AE128" s="67">
        <f t="shared" si="137"/>
        <v>0.13235857799253</v>
      </c>
      <c r="AF128" s="67">
        <f t="shared" si="138"/>
        <v>0.019753517392741</v>
      </c>
      <c r="AG128" s="67">
        <f t="shared" si="139"/>
        <v>0.34618495799728</v>
      </c>
      <c r="AH128" s="67">
        <f t="shared" si="140"/>
        <v>0.0956202933282553</v>
      </c>
      <c r="AI128" s="67">
        <f t="shared" si="141"/>
        <v>0.866390461436862</v>
      </c>
      <c r="AJ128" s="67"/>
      <c r="AK128" s="67">
        <f t="shared" si="142"/>
        <v>0.866837594327642</v>
      </c>
      <c r="AL128" s="67">
        <f t="shared" si="143"/>
        <v>0.00925193654985343</v>
      </c>
      <c r="AM128" s="67">
        <f t="shared" si="144"/>
        <v>0.739128565361045</v>
      </c>
      <c r="AN128" s="67">
        <f t="shared" si="133"/>
        <v>0.228213408780502</v>
      </c>
      <c r="AO128" s="67">
        <f t="shared" si="145"/>
        <v>0.226391116868346</v>
      </c>
      <c r="AP128" s="63">
        <f t="shared" si="113"/>
        <v>79.8431050620536</v>
      </c>
      <c r="AQ128" s="63"/>
      <c r="AR128" s="69">
        <f t="shared" si="114"/>
        <v>1466.66755654608</v>
      </c>
      <c r="AS128" s="69"/>
      <c r="AT128" s="69">
        <f t="shared" si="115"/>
        <v>0.0140250891379491</v>
      </c>
      <c r="AU128" s="69">
        <f t="shared" si="116"/>
        <v>0.000100503894038336</v>
      </c>
      <c r="AV128" s="65">
        <f t="shared" si="117"/>
        <v>0.00683837058890459</v>
      </c>
      <c r="AW128" s="68"/>
      <c r="AX128" s="68"/>
      <c r="AY128" s="68">
        <f t="shared" si="118"/>
        <v>8.45906441847498</v>
      </c>
      <c r="AZ128" s="68">
        <f t="shared" si="119"/>
        <v>11.967148530583</v>
      </c>
      <c r="BA128" s="71">
        <f t="shared" si="120"/>
        <v>0.0249249657215073</v>
      </c>
      <c r="BB128" s="71"/>
      <c r="BC128" s="65"/>
      <c r="BD128" s="65">
        <f t="shared" ref="BD128:BD143" si="151">X128*(Z128)^2/(Q128*(B128*V128)^2)</f>
        <v>0.0106732063888272</v>
      </c>
      <c r="BE128" s="65">
        <f t="shared" si="121"/>
        <v>0.64070442749641</v>
      </c>
      <c r="BF128" s="65">
        <f t="shared" si="122"/>
        <v>2.99368190461204</v>
      </c>
      <c r="BG128" s="69">
        <f t="shared" si="123"/>
        <v>0.00228426760317102</v>
      </c>
      <c r="BH128" s="69">
        <f t="shared" si="124"/>
        <v>4.03337992381623e-7</v>
      </c>
      <c r="BI128" s="72">
        <f t="shared" si="125"/>
        <v>7.90686599342093</v>
      </c>
      <c r="BJ128" s="72">
        <f t="shared" ref="BJ128:BJ143" si="152">((Z128*2)^2)*(AU128)/(SQRT(2)*AB128*((V128)^2))</f>
        <v>2.20727920969614</v>
      </c>
      <c r="BK128" s="73">
        <f t="shared" si="126"/>
        <v>1.1579141830465</v>
      </c>
      <c r="BL128" s="72">
        <f t="shared" ref="BL128:BL143" si="153">AB128+2*AC128</f>
        <v>13.4000248515272</v>
      </c>
      <c r="BM128" s="74"/>
      <c r="BN128" s="86"/>
      <c r="BO128" s="86"/>
    </row>
    <row r="129" ht="25" customHeight="1" spans="1:67">
      <c r="A129" s="85">
        <v>43</v>
      </c>
      <c r="B129" s="55">
        <v>0.373369233219633</v>
      </c>
      <c r="C129" s="55">
        <v>-25.6284967317138</v>
      </c>
      <c r="D129" s="55"/>
      <c r="E129" s="55">
        <v>1.07188403177389</v>
      </c>
      <c r="F129" s="56">
        <v>1</v>
      </c>
      <c r="G129" s="57">
        <f t="shared" si="146"/>
        <v>8.36637353682585e-5</v>
      </c>
      <c r="H129" s="57">
        <f t="shared" si="147"/>
        <v>0.000333333333333333</v>
      </c>
      <c r="I129" s="58">
        <f t="shared" si="103"/>
        <v>0.0350589162362506</v>
      </c>
      <c r="J129" s="58"/>
      <c r="K129" s="58">
        <f t="shared" si="104"/>
        <v>2.01251525375117</v>
      </c>
      <c r="L129" s="57">
        <f t="shared" si="105"/>
        <v>0.000747651035144906</v>
      </c>
      <c r="M129" s="57">
        <f t="shared" si="106"/>
        <v>0.00232717024379169</v>
      </c>
      <c r="N129" s="57">
        <f t="shared" si="107"/>
        <v>0.181481342894285</v>
      </c>
      <c r="O129" s="59">
        <v>0.0302</v>
      </c>
      <c r="P129" s="60">
        <f t="shared" si="108"/>
        <v>0.0302</v>
      </c>
      <c r="Q129" s="61">
        <v>1000</v>
      </c>
      <c r="R129" s="59">
        <v>1.1616</v>
      </c>
      <c r="S129" s="59">
        <v>9.801</v>
      </c>
      <c r="T129" s="62">
        <v>4e-6</v>
      </c>
      <c r="U129" s="63">
        <v>1e-6</v>
      </c>
      <c r="V129" s="63">
        <f t="shared" si="150"/>
        <v>4e-6</v>
      </c>
      <c r="W129" s="64">
        <v>0.001147</v>
      </c>
      <c r="X129" s="64">
        <v>1.85e-5</v>
      </c>
      <c r="Y129" s="65">
        <f t="shared" si="148"/>
        <v>-2.16136702907349</v>
      </c>
      <c r="Z129" s="66">
        <f t="shared" si="109"/>
        <v>0.00107188403177389</v>
      </c>
      <c r="AA129" s="65">
        <f t="shared" si="110"/>
        <v>5.06649257466956</v>
      </c>
      <c r="AB129" s="65">
        <f t="shared" si="111"/>
        <v>9.89573164790353</v>
      </c>
      <c r="AC129" s="65">
        <f t="shared" si="112"/>
        <v>1.49148551464658</v>
      </c>
      <c r="AD129" s="67">
        <f t="shared" si="136"/>
        <v>6.63481579319823</v>
      </c>
      <c r="AE129" s="67">
        <f t="shared" si="137"/>
        <v>0.126453005993119</v>
      </c>
      <c r="AF129" s="67">
        <f t="shared" si="138"/>
        <v>0.0177233736172515</v>
      </c>
      <c r="AG129" s="67">
        <f t="shared" si="139"/>
        <v>0.360306284758362</v>
      </c>
      <c r="AH129" s="67">
        <f t="shared" si="140"/>
        <v>0.09392153308977</v>
      </c>
      <c r="AI129" s="67">
        <f t="shared" si="141"/>
        <v>0.861046482553666</v>
      </c>
      <c r="AJ129" s="67"/>
      <c r="AK129" s="67">
        <f t="shared" si="142"/>
        <v>0.794380133309134</v>
      </c>
      <c r="AL129" s="67">
        <f t="shared" si="143"/>
        <v>0.00757004858078609</v>
      </c>
      <c r="AM129" s="67">
        <f t="shared" si="144"/>
        <v>0.843566964368563</v>
      </c>
      <c r="AN129" s="67">
        <f t="shared" si="133"/>
        <v>0.209171250791182</v>
      </c>
      <c r="AO129" s="67">
        <f t="shared" si="145"/>
        <v>0.24142769006462</v>
      </c>
      <c r="AP129" s="63">
        <f t="shared" si="113"/>
        <v>80.728482858299</v>
      </c>
      <c r="AQ129" s="63"/>
      <c r="AR129" s="69">
        <f t="shared" si="114"/>
        <v>1434.67304882926</v>
      </c>
      <c r="AS129" s="69"/>
      <c r="AT129" s="69">
        <f t="shared" si="115"/>
        <v>0.0141806129305602</v>
      </c>
      <c r="AU129" s="69">
        <f t="shared" si="116"/>
        <v>0.000102823967285151</v>
      </c>
      <c r="AV129" s="65">
        <f t="shared" si="117"/>
        <v>0.00638584290141627</v>
      </c>
      <c r="AW129" s="68"/>
      <c r="AX129" s="68"/>
      <c r="AY129" s="68">
        <f t="shared" si="118"/>
        <v>7.89928766905193</v>
      </c>
      <c r="AZ129" s="68">
        <f t="shared" si="119"/>
        <v>11.1752250774785</v>
      </c>
      <c r="BA129" s="71">
        <f t="shared" si="120"/>
        <v>0.0255003438867176</v>
      </c>
      <c r="BB129" s="71"/>
      <c r="BC129" s="65"/>
      <c r="BD129" s="65">
        <f t="shared" si="151"/>
        <v>0.00952950390293836</v>
      </c>
      <c r="BE129" s="65">
        <f t="shared" si="121"/>
        <v>0.670112837610281</v>
      </c>
      <c r="BF129" s="65">
        <f t="shared" si="122"/>
        <v>2.55363076607165</v>
      </c>
      <c r="BG129" s="69">
        <f t="shared" si="123"/>
        <v>0.00250069155896013</v>
      </c>
      <c r="BH129" s="69">
        <f t="shared" si="124"/>
        <v>3.59566375887138e-7</v>
      </c>
      <c r="BI129" s="72">
        <f t="shared" si="125"/>
        <v>7.38363085476256</v>
      </c>
      <c r="BJ129" s="72">
        <f t="shared" si="152"/>
        <v>2.11041108750637</v>
      </c>
      <c r="BK129" s="73">
        <f t="shared" si="126"/>
        <v>1.21436487955418</v>
      </c>
      <c r="BL129" s="72">
        <f t="shared" si="153"/>
        <v>12.8787026771967</v>
      </c>
      <c r="BM129" s="74"/>
      <c r="BN129" s="86"/>
      <c r="BO129" s="86"/>
    </row>
    <row r="130" ht="25" customHeight="1" spans="1:67">
      <c r="A130" s="85">
        <v>74</v>
      </c>
      <c r="B130" s="55">
        <v>0.292575394561062</v>
      </c>
      <c r="C130" s="55">
        <v>-5.70375347275431</v>
      </c>
      <c r="D130" s="55"/>
      <c r="E130" s="55">
        <v>1.55695324585881</v>
      </c>
      <c r="F130" s="56">
        <v>1</v>
      </c>
      <c r="G130" s="57">
        <f t="shared" si="146"/>
        <v>8.36637353682585e-5</v>
      </c>
      <c r="H130" s="57">
        <f t="shared" si="147"/>
        <v>0.000333333333333333</v>
      </c>
      <c r="I130" s="58">
        <f t="shared" si="103"/>
        <v>0.0179799011092587</v>
      </c>
      <c r="J130" s="58"/>
      <c r="K130" s="58">
        <f t="shared" si="104"/>
        <v>1.18395759614703</v>
      </c>
      <c r="L130" s="57">
        <f t="shared" si="105"/>
        <v>0.000901078907842349</v>
      </c>
      <c r="M130" s="57">
        <f t="shared" si="106"/>
        <v>0.00534598541877889</v>
      </c>
      <c r="N130" s="57">
        <f t="shared" si="107"/>
        <v>0.0621649705745254</v>
      </c>
      <c r="O130" s="59">
        <v>0.0302</v>
      </c>
      <c r="P130" s="60">
        <f t="shared" si="108"/>
        <v>0.0302</v>
      </c>
      <c r="Q130" s="61">
        <v>1000</v>
      </c>
      <c r="R130" s="59">
        <v>1.1616</v>
      </c>
      <c r="S130" s="59">
        <v>9.801</v>
      </c>
      <c r="T130" s="62">
        <v>4e-6</v>
      </c>
      <c r="U130" s="63">
        <v>1e-6</v>
      </c>
      <c r="V130" s="63">
        <f t="shared" si="150"/>
        <v>4e-6</v>
      </c>
      <c r="W130" s="64">
        <v>0.001147</v>
      </c>
      <c r="X130" s="64">
        <v>1.85e-5</v>
      </c>
      <c r="Y130" s="65"/>
      <c r="Z130" s="66">
        <f t="shared" si="109"/>
        <v>0.00155695324585881</v>
      </c>
      <c r="AA130" s="65">
        <f t="shared" si="110"/>
        <v>2.32417744661372</v>
      </c>
      <c r="AB130" s="65">
        <f t="shared" si="111"/>
        <v>8.82620931709272</v>
      </c>
      <c r="AC130" s="65">
        <f t="shared" si="112"/>
        <v>3.14683940653703</v>
      </c>
      <c r="AD130" s="67">
        <f t="shared" si="136"/>
        <v>2.80478542971012</v>
      </c>
      <c r="AE130" s="67">
        <f t="shared" si="137"/>
        <v>0.18367790945049</v>
      </c>
      <c r="AF130" s="67">
        <f t="shared" si="138"/>
        <v>0.055579375229393</v>
      </c>
      <c r="AG130" s="67">
        <f t="shared" si="139"/>
        <v>0.201138971375983</v>
      </c>
      <c r="AH130" s="67">
        <f t="shared" si="140"/>
        <v>0.103309278547955</v>
      </c>
      <c r="AI130" s="67">
        <f t="shared" si="141"/>
        <v>0.967675630241739</v>
      </c>
      <c r="AJ130" s="67"/>
      <c r="AK130" s="67">
        <f t="shared" si="142"/>
        <v>1.63220691924623</v>
      </c>
      <c r="AL130" s="67">
        <f t="shared" si="143"/>
        <v>0.0534444367013052</v>
      </c>
      <c r="AM130" s="67">
        <f t="shared" si="144"/>
        <v>0.209173845836173</v>
      </c>
      <c r="AN130" s="67">
        <f t="shared" si="133"/>
        <v>0.44452519416005</v>
      </c>
      <c r="AO130" s="67">
        <f t="shared" si="145"/>
        <v>0.136916748594699</v>
      </c>
      <c r="AP130" s="63">
        <f t="shared" si="113"/>
        <v>63.2595447699594</v>
      </c>
      <c r="AQ130" s="63"/>
      <c r="AR130" s="69">
        <f t="shared" si="114"/>
        <v>2336.43873097447</v>
      </c>
      <c r="AS130" s="69"/>
      <c r="AT130" s="69">
        <f t="shared" si="115"/>
        <v>0.011112052237137</v>
      </c>
      <c r="AU130" s="69">
        <f t="shared" si="116"/>
        <v>8.53159971999917e-5</v>
      </c>
      <c r="AV130" s="65">
        <f t="shared" si="117"/>
        <v>0.0111791783633599</v>
      </c>
      <c r="AW130" s="68"/>
      <c r="AX130" s="68"/>
      <c r="AY130" s="68">
        <f t="shared" si="118"/>
        <v>13.8286436354762</v>
      </c>
      <c r="AZ130" s="68">
        <f t="shared" si="119"/>
        <v>19.5635621358798</v>
      </c>
      <c r="BA130" s="71">
        <f t="shared" si="120"/>
        <v>0.021158367305598</v>
      </c>
      <c r="BB130" s="71"/>
      <c r="BC130" s="65"/>
      <c r="BD130" s="65">
        <f t="shared" si="151"/>
        <v>0.0327436650777013</v>
      </c>
      <c r="BE130" s="65">
        <f t="shared" si="121"/>
        <v>0.341414998499145</v>
      </c>
      <c r="BF130" s="65">
        <f t="shared" si="122"/>
        <v>12.7450889060102</v>
      </c>
      <c r="BG130" s="69">
        <f t="shared" si="123"/>
        <v>0.000877136161685631</v>
      </c>
      <c r="BH130" s="69">
        <f t="shared" si="124"/>
        <v>6.76645076489761e-7</v>
      </c>
      <c r="BI130" s="72">
        <f t="shared" si="125"/>
        <v>12.9259249826349</v>
      </c>
      <c r="BJ130" s="72">
        <f t="shared" si="152"/>
        <v>4.14221275746512</v>
      </c>
      <c r="BK130" s="73">
        <f t="shared" si="126"/>
        <v>0.986416804104724</v>
      </c>
      <c r="BL130" s="72">
        <f t="shared" si="153"/>
        <v>15.1198881301668</v>
      </c>
      <c r="BM130" s="74"/>
      <c r="BN130" s="86"/>
      <c r="BO130" s="86"/>
    </row>
    <row r="131" ht="25" customHeight="1" spans="1:67">
      <c r="A131" s="85">
        <v>75</v>
      </c>
      <c r="B131" s="55">
        <v>0.262009821995388</v>
      </c>
      <c r="C131" s="55">
        <v>-9.43979277525855</v>
      </c>
      <c r="D131" s="55"/>
      <c r="E131" s="55">
        <v>1.64278088898173</v>
      </c>
      <c r="F131" s="56">
        <v>1</v>
      </c>
      <c r="G131" s="57">
        <f t="shared" si="146"/>
        <v>8.36637353682585e-5</v>
      </c>
      <c r="H131" s="57">
        <f t="shared" si="147"/>
        <v>0.000333333333333333</v>
      </c>
      <c r="I131" s="58">
        <f t="shared" si="103"/>
        <v>0.0151661604044695</v>
      </c>
      <c r="J131" s="58"/>
      <c r="K131" s="58">
        <f t="shared" si="104"/>
        <v>0.94458670805014</v>
      </c>
      <c r="L131" s="57">
        <f t="shared" si="105"/>
        <v>0.000925581912894993</v>
      </c>
      <c r="M131" s="57">
        <f t="shared" si="106"/>
        <v>0.00700895770469227</v>
      </c>
      <c r="N131" s="57">
        <f t="shared" si="107"/>
        <v>0.045870006040688</v>
      </c>
      <c r="O131" s="59">
        <v>0.0302</v>
      </c>
      <c r="P131" s="60">
        <f t="shared" si="108"/>
        <v>0.0302</v>
      </c>
      <c r="Q131" s="61">
        <v>1000</v>
      </c>
      <c r="R131" s="59">
        <v>1.1616</v>
      </c>
      <c r="S131" s="59">
        <v>9.801</v>
      </c>
      <c r="T131" s="62">
        <v>4e-6</v>
      </c>
      <c r="U131" s="63">
        <v>1e-6</v>
      </c>
      <c r="V131" s="63">
        <f t="shared" si="150"/>
        <v>4e-6</v>
      </c>
      <c r="W131" s="64">
        <v>0.001147</v>
      </c>
      <c r="X131" s="64">
        <v>1.85e-5</v>
      </c>
      <c r="Y131" s="65"/>
      <c r="Z131" s="66">
        <f t="shared" si="109"/>
        <v>0.00164278088898173</v>
      </c>
      <c r="AA131" s="65">
        <f t="shared" si="110"/>
        <v>1.46020116320361</v>
      </c>
      <c r="AB131" s="65">
        <f t="shared" si="111"/>
        <v>7.4685765857068</v>
      </c>
      <c r="AC131" s="65">
        <f t="shared" si="112"/>
        <v>3.50334349817808</v>
      </c>
      <c r="AD131" s="67">
        <f t="shared" si="136"/>
        <v>2.13184250690543</v>
      </c>
      <c r="AE131" s="67">
        <f t="shared" si="137"/>
        <v>0.19380322445517</v>
      </c>
      <c r="AF131" s="67">
        <f t="shared" si="138"/>
        <v>0.0736378502690299</v>
      </c>
      <c r="AG131" s="67">
        <f t="shared" si="139"/>
        <v>0.164537498318365</v>
      </c>
      <c r="AH131" s="67">
        <f t="shared" si="140"/>
        <v>0.101281519664231</v>
      </c>
      <c r="AI131" s="67">
        <f t="shared" si="141"/>
        <v>1.02952130496714</v>
      </c>
      <c r="AJ131" s="67"/>
      <c r="AK131" s="67">
        <f t="shared" si="142"/>
        <v>1.24872217294251</v>
      </c>
      <c r="AL131" s="67">
        <f t="shared" si="143"/>
        <v>0.0567599113867515</v>
      </c>
      <c r="AM131" s="67">
        <f t="shared" si="144"/>
        <v>0.213463822771869</v>
      </c>
      <c r="AN131" s="67">
        <f t="shared" si="133"/>
        <v>0.563393090653791</v>
      </c>
      <c r="AO131" s="67">
        <f t="shared" si="145"/>
        <v>0.110966905802622</v>
      </c>
      <c r="AP131" s="63">
        <f t="shared" si="113"/>
        <v>56.6507723233271</v>
      </c>
      <c r="AQ131" s="63"/>
      <c r="AR131" s="69">
        <f t="shared" si="114"/>
        <v>2913.3646849016</v>
      </c>
      <c r="AS131" s="69"/>
      <c r="AT131" s="69">
        <f t="shared" si="115"/>
        <v>0.00995116774267252</v>
      </c>
      <c r="AU131" s="69">
        <f t="shared" si="116"/>
        <v>8.30574198862625e-5</v>
      </c>
      <c r="AV131" s="65">
        <f t="shared" si="117"/>
        <v>0.0121161876648085</v>
      </c>
      <c r="AW131" s="68"/>
      <c r="AX131" s="68"/>
      <c r="AY131" s="68">
        <f t="shared" si="118"/>
        <v>14.9877241413681</v>
      </c>
      <c r="AZ131" s="68">
        <f t="shared" si="119"/>
        <v>21.2033284134149</v>
      </c>
      <c r="BA131" s="71">
        <f t="shared" si="120"/>
        <v>0.0205982401317931</v>
      </c>
      <c r="BB131" s="71"/>
      <c r="BC131" s="65"/>
      <c r="BD131" s="65">
        <f t="shared" si="151"/>
        <v>0.0454543953944548</v>
      </c>
      <c r="BE131" s="65">
        <f t="shared" si="121"/>
        <v>0.266557008616302</v>
      </c>
      <c r="BF131" s="65">
        <f t="shared" si="122"/>
        <v>18.6679030185574</v>
      </c>
      <c r="BG131" s="69">
        <f t="shared" si="123"/>
        <v>0.000649038494187808</v>
      </c>
      <c r="BH131" s="69">
        <f t="shared" si="124"/>
        <v>6.3743027050021e-7</v>
      </c>
      <c r="BI131" s="72">
        <f t="shared" si="125"/>
        <v>14.0093419874348</v>
      </c>
      <c r="BJ131" s="72">
        <f t="shared" si="152"/>
        <v>5.3054825671787</v>
      </c>
      <c r="BK131" s="73">
        <f t="shared" si="126"/>
        <v>1.07025922703146</v>
      </c>
      <c r="BL131" s="72">
        <f t="shared" si="153"/>
        <v>14.475263582063</v>
      </c>
      <c r="BM131" s="74"/>
      <c r="BN131" s="86"/>
      <c r="BO131" s="86"/>
    </row>
    <row r="132" ht="25" customHeight="1" spans="1:67">
      <c r="A132" s="85">
        <v>76</v>
      </c>
      <c r="B132" s="55">
        <v>0.256032383688495</v>
      </c>
      <c r="C132" s="55">
        <v>-7.26758885584294</v>
      </c>
      <c r="D132" s="55"/>
      <c r="E132" s="55">
        <v>1.58578062913444</v>
      </c>
      <c r="F132" s="56">
        <v>1</v>
      </c>
      <c r="G132" s="57">
        <f t="shared" si="146"/>
        <v>8.36637353682585e-5</v>
      </c>
      <c r="H132" s="57">
        <f t="shared" si="147"/>
        <v>0.000333333333333333</v>
      </c>
      <c r="I132" s="58">
        <f t="shared" si="103"/>
        <v>0.0154150724119697</v>
      </c>
      <c r="J132" s="58"/>
      <c r="K132" s="58">
        <f t="shared" si="104"/>
        <v>0.905042079230814</v>
      </c>
      <c r="L132" s="57">
        <f t="shared" si="105"/>
        <v>0.000909382500328657</v>
      </c>
      <c r="M132" s="57">
        <f t="shared" si="106"/>
        <v>0.00710156109971021</v>
      </c>
      <c r="N132" s="57">
        <f t="shared" si="107"/>
        <v>0.0462684315249391</v>
      </c>
      <c r="O132" s="59">
        <v>0.0302</v>
      </c>
      <c r="P132" s="60">
        <f t="shared" si="108"/>
        <v>0.0302</v>
      </c>
      <c r="Q132" s="61">
        <v>1000</v>
      </c>
      <c r="R132" s="59">
        <v>1.1616</v>
      </c>
      <c r="S132" s="59">
        <v>9.801</v>
      </c>
      <c r="T132" s="62">
        <v>4e-6</v>
      </c>
      <c r="U132" s="63">
        <v>1e-6</v>
      </c>
      <c r="V132" s="63">
        <f t="shared" si="150"/>
        <v>4e-6</v>
      </c>
      <c r="W132" s="64">
        <v>0.001147</v>
      </c>
      <c r="X132" s="64">
        <v>1.85e-5</v>
      </c>
      <c r="Y132" s="65"/>
      <c r="Z132" s="66">
        <f t="shared" si="109"/>
        <v>0.00158578062913444</v>
      </c>
      <c r="AA132" s="65">
        <f t="shared" si="110"/>
        <v>1.30237418436354</v>
      </c>
      <c r="AB132" s="65">
        <f t="shared" si="111"/>
        <v>6.88423933298256</v>
      </c>
      <c r="AC132" s="65">
        <f t="shared" si="112"/>
        <v>3.26444724461408</v>
      </c>
      <c r="AD132" s="67">
        <f t="shared" si="136"/>
        <v>2.10885299014731</v>
      </c>
      <c r="AE132" s="67">
        <f t="shared" si="137"/>
        <v>0.187078752416763</v>
      </c>
      <c r="AF132" s="67">
        <f t="shared" si="138"/>
        <v>0.0717091967708766</v>
      </c>
      <c r="AG132" s="67">
        <f t="shared" si="139"/>
        <v>0.160245681095832</v>
      </c>
      <c r="AH132" s="67">
        <f t="shared" si="140"/>
        <v>0.0993032404396112</v>
      </c>
      <c r="AI132" s="67">
        <f t="shared" si="141"/>
        <v>1.03242086682226</v>
      </c>
      <c r="AJ132" s="67"/>
      <c r="AK132" s="67">
        <f t="shared" si="142"/>
        <v>1.40445677422384</v>
      </c>
      <c r="AL132" s="67">
        <f t="shared" si="143"/>
        <v>0.0622954806173365</v>
      </c>
      <c r="AM132" s="67">
        <f t="shared" si="144"/>
        <v>0.184461038963174</v>
      </c>
      <c r="AN132" s="67">
        <f t="shared" si="133"/>
        <v>0.568932030819953</v>
      </c>
      <c r="AO132" s="67">
        <f t="shared" si="145"/>
        <v>0.107963347310472</v>
      </c>
      <c r="AP132" s="63">
        <f t="shared" si="113"/>
        <v>55.3583532299449</v>
      </c>
      <c r="AQ132" s="63"/>
      <c r="AR132" s="69">
        <f t="shared" si="114"/>
        <v>3050.98587167775</v>
      </c>
      <c r="AS132" s="69"/>
      <c r="AT132" s="69">
        <f t="shared" si="115"/>
        <v>0.00972414384406304</v>
      </c>
      <c r="AU132" s="69">
        <f t="shared" si="116"/>
        <v>8.45369748710425e-5</v>
      </c>
      <c r="AV132" s="65">
        <f t="shared" si="117"/>
        <v>0.0114910890773841</v>
      </c>
      <c r="AW132" s="68"/>
      <c r="AX132" s="68"/>
      <c r="AY132" s="68">
        <f t="shared" si="118"/>
        <v>14.2144771887242</v>
      </c>
      <c r="AZ132" s="68">
        <f t="shared" si="119"/>
        <v>20.1094058854222</v>
      </c>
      <c r="BA132" s="71">
        <f t="shared" si="120"/>
        <v>0.0209651697680185</v>
      </c>
      <c r="BB132" s="71"/>
      <c r="BC132" s="65"/>
      <c r="BD132" s="65">
        <f t="shared" si="151"/>
        <v>0.0443555698976663</v>
      </c>
      <c r="BE132" s="65">
        <f t="shared" si="121"/>
        <v>0.259067555752197</v>
      </c>
      <c r="BF132" s="65">
        <f t="shared" si="122"/>
        <v>17.5845508844845</v>
      </c>
      <c r="BG132" s="69">
        <f t="shared" si="123"/>
        <v>0.000653476403967937</v>
      </c>
      <c r="BH132" s="69">
        <f t="shared" si="124"/>
        <v>5.47491950350285e-7</v>
      </c>
      <c r="BI132" s="72">
        <f t="shared" si="125"/>
        <v>13.2865717457254</v>
      </c>
      <c r="BJ132" s="72">
        <f t="shared" si="152"/>
        <v>5.45886017362134</v>
      </c>
      <c r="BK132" s="73">
        <f t="shared" si="126"/>
        <v>1.23050711938305</v>
      </c>
      <c r="BL132" s="72">
        <f t="shared" si="153"/>
        <v>13.4131338222107</v>
      </c>
      <c r="BM132" s="74"/>
      <c r="BN132" s="86"/>
      <c r="BO132" s="86"/>
    </row>
    <row r="133" ht="25" customHeight="1" spans="1:67">
      <c r="A133" s="85">
        <v>169</v>
      </c>
      <c r="B133" s="55">
        <v>0.273122522425324</v>
      </c>
      <c r="C133" s="55">
        <v>10.1863754622152</v>
      </c>
      <c r="D133" s="55"/>
      <c r="E133" s="55">
        <v>2.0854487318719</v>
      </c>
      <c r="F133" s="56">
        <v>1</v>
      </c>
      <c r="G133" s="57">
        <f t="shared" ref="G133:G143" si="154">0.001/5.3843</f>
        <v>0.000185725163902457</v>
      </c>
      <c r="H133" s="57">
        <f t="shared" ref="H133:H143" si="155">1/8000</f>
        <v>0.000125</v>
      </c>
      <c r="I133" s="58">
        <f t="shared" si="103"/>
        <v>0.0244032979764448</v>
      </c>
      <c r="J133" s="58"/>
      <c r="K133" s="58">
        <f t="shared" si="104"/>
        <v>2.05698155207554</v>
      </c>
      <c r="L133" s="57">
        <f t="shared" si="105"/>
        <v>0.00231503892018953</v>
      </c>
      <c r="M133" s="57">
        <f t="shared" si="106"/>
        <v>0.0170083829660617</v>
      </c>
      <c r="N133" s="57">
        <f t="shared" si="107"/>
        <v>0.0733919424708386</v>
      </c>
      <c r="O133" s="59">
        <v>0.0302</v>
      </c>
      <c r="P133" s="60">
        <f t="shared" si="108"/>
        <v>0.0302</v>
      </c>
      <c r="Q133" s="61">
        <v>1000</v>
      </c>
      <c r="R133" s="59">
        <v>1.1616</v>
      </c>
      <c r="S133" s="59">
        <v>9.801</v>
      </c>
      <c r="T133" s="62">
        <v>4e-6</v>
      </c>
      <c r="U133" s="63">
        <v>1e-6</v>
      </c>
      <c r="V133" s="63">
        <f t="shared" si="150"/>
        <v>4e-6</v>
      </c>
      <c r="W133" s="64">
        <v>0.001147</v>
      </c>
      <c r="X133" s="64">
        <v>1.85e-5</v>
      </c>
      <c r="Y133" s="65"/>
      <c r="Z133" s="66">
        <f t="shared" si="109"/>
        <v>0.0020854487318719</v>
      </c>
      <c r="AA133" s="65">
        <f t="shared" si="110"/>
        <v>1.76329828012088</v>
      </c>
      <c r="AB133" s="65">
        <f t="shared" si="111"/>
        <v>10.3023808355658</v>
      </c>
      <c r="AC133" s="65">
        <f t="shared" si="112"/>
        <v>5.64576078760546</v>
      </c>
      <c r="AD133" s="67">
        <f t="shared" si="136"/>
        <v>1.82479938898285</v>
      </c>
      <c r="AE133" s="67">
        <f t="shared" si="137"/>
        <v>0.246025925540953</v>
      </c>
      <c r="AF133" s="67">
        <f t="shared" si="138"/>
        <v>0.105826733569727</v>
      </c>
      <c r="AG133" s="67">
        <f t="shared" si="139"/>
        <v>0.163757203659288</v>
      </c>
      <c r="AH133" s="67">
        <f t="shared" si="140"/>
        <v>0.110579486925627</v>
      </c>
      <c r="AI133" s="67">
        <f t="shared" si="141"/>
        <v>1.07538710951897</v>
      </c>
      <c r="AJ133" s="67"/>
      <c r="AK133" s="67">
        <f t="shared" si="142"/>
        <v>-60.0880026623809</v>
      </c>
      <c r="AL133" s="67">
        <f t="shared" si="143"/>
        <v>-4.05063881492193</v>
      </c>
      <c r="AM133" s="67">
        <f t="shared" si="144"/>
        <v>-0.0042783103489589</v>
      </c>
      <c r="AN133" s="67">
        <f t="shared" si="133"/>
        <v>0.648067986413235</v>
      </c>
      <c r="AO133" s="67">
        <f t="shared" si="145"/>
        <v>0.108691194684207</v>
      </c>
      <c r="AP133" s="63">
        <f t="shared" si="113"/>
        <v>59.0535183622322</v>
      </c>
      <c r="AQ133" s="63"/>
      <c r="AR133" s="69">
        <f t="shared" si="114"/>
        <v>2681.11206031922</v>
      </c>
      <c r="AS133" s="69"/>
      <c r="AT133" s="69">
        <f t="shared" si="115"/>
        <v>0.0103732295768823</v>
      </c>
      <c r="AU133" s="69">
        <f t="shared" si="116"/>
        <v>7.37171434771828e-5</v>
      </c>
      <c r="AV133" s="65">
        <f t="shared" si="117"/>
        <v>0.0173298899617751</v>
      </c>
      <c r="AW133" s="68"/>
      <c r="AX133" s="68"/>
      <c r="AY133" s="68">
        <f t="shared" si="118"/>
        <v>21.4370738827158</v>
      </c>
      <c r="AZ133" s="68">
        <f t="shared" si="119"/>
        <v>30.3273074331064</v>
      </c>
      <c r="BA133" s="71">
        <f t="shared" si="120"/>
        <v>0.0182818515823413</v>
      </c>
      <c r="BB133" s="71"/>
      <c r="BC133" s="65"/>
      <c r="BD133" s="65">
        <f t="shared" si="151"/>
        <v>0.0674117733232278</v>
      </c>
      <c r="BE133" s="65">
        <f t="shared" si="121"/>
        <v>0.257075123638734</v>
      </c>
      <c r="BF133" s="65">
        <f t="shared" si="122"/>
        <v>35.1459492975403</v>
      </c>
      <c r="BG133" s="69">
        <f t="shared" si="123"/>
        <v>0.00049308356462541</v>
      </c>
      <c r="BH133" s="69">
        <f t="shared" si="124"/>
        <v>1.41700765453505e-6</v>
      </c>
      <c r="BI133" s="72">
        <f t="shared" si="125"/>
        <v>20.0376852683025</v>
      </c>
      <c r="BJ133" s="72">
        <f t="shared" si="152"/>
        <v>5.50116846140461</v>
      </c>
      <c r="BK133" s="73">
        <f t="shared" si="126"/>
        <v>0.359963243834542</v>
      </c>
      <c r="BL133" s="72">
        <f t="shared" si="153"/>
        <v>21.5939024107767</v>
      </c>
      <c r="BM133" s="74"/>
      <c r="BN133" s="86"/>
      <c r="BO133" s="86"/>
    </row>
    <row r="134" ht="25" customHeight="1" spans="1:67">
      <c r="A134" s="85">
        <v>170</v>
      </c>
      <c r="B134" s="55">
        <v>0.333973755212428</v>
      </c>
      <c r="C134" s="55">
        <v>-87.5013155840955</v>
      </c>
      <c r="D134" s="55"/>
      <c r="E134" s="55">
        <v>2.10038405506903</v>
      </c>
      <c r="F134" s="56">
        <v>0.3</v>
      </c>
      <c r="G134" s="57">
        <f t="shared" si="154"/>
        <v>0.000185725163902457</v>
      </c>
      <c r="H134" s="57">
        <f t="shared" si="155"/>
        <v>0.000125</v>
      </c>
      <c r="I134" s="58">
        <f t="shared" si="103"/>
        <v>0.029627437459648</v>
      </c>
      <c r="J134" s="58"/>
      <c r="K134" s="58">
        <f t="shared" si="104"/>
        <v>3.07561511185787</v>
      </c>
      <c r="L134" s="57">
        <f t="shared" si="105"/>
        <v>0.00232331391859062</v>
      </c>
      <c r="M134" s="57">
        <f t="shared" si="106"/>
        <v>0.0168321512819418</v>
      </c>
      <c r="N134" s="57">
        <f t="shared" si="107"/>
        <v>0.073894683709786</v>
      </c>
      <c r="O134" s="59">
        <v>0.0302</v>
      </c>
      <c r="P134" s="60">
        <f t="shared" si="108"/>
        <v>0.0267</v>
      </c>
      <c r="Q134" s="61">
        <v>1000</v>
      </c>
      <c r="R134" s="59">
        <v>0.3484</v>
      </c>
      <c r="S134" s="59">
        <v>9.801</v>
      </c>
      <c r="T134" s="62">
        <v>4e-6</v>
      </c>
      <c r="U134" s="63">
        <v>1e-6</v>
      </c>
      <c r="V134" s="63">
        <f t="shared" si="150"/>
        <v>3.3e-6</v>
      </c>
      <c r="W134" s="64">
        <v>0.001147</v>
      </c>
      <c r="X134" s="64">
        <v>1.85e-5</v>
      </c>
      <c r="Y134" s="65"/>
      <c r="Z134" s="66">
        <f t="shared" si="109"/>
        <v>0.00210038405506903</v>
      </c>
      <c r="AA134" s="65">
        <f t="shared" si="110"/>
        <v>3.64620128290983</v>
      </c>
      <c r="AB134" s="65">
        <f t="shared" si="111"/>
        <v>15.5148094154257</v>
      </c>
      <c r="AC134" s="65">
        <f t="shared" si="112"/>
        <v>5.72691665765607</v>
      </c>
      <c r="AD134" s="67">
        <f t="shared" si="136"/>
        <v>2.70910340465398</v>
      </c>
      <c r="AE134" s="67">
        <f t="shared" si="137"/>
        <v>0.364059335587906</v>
      </c>
      <c r="AF134" s="67">
        <f t="shared" si="138"/>
        <v>0.113445810147448</v>
      </c>
      <c r="AG134" s="67">
        <f t="shared" si="139"/>
        <v>0.154403143072451</v>
      </c>
      <c r="AH134" s="67">
        <f t="shared" si="140"/>
        <v>0.0812352070794442</v>
      </c>
      <c r="AI134" s="67">
        <f t="shared" si="141"/>
        <v>0.974432279604973</v>
      </c>
      <c r="AJ134" s="67"/>
      <c r="AK134" s="67">
        <f t="shared" si="142"/>
        <v>0.258515001487384</v>
      </c>
      <c r="AL134" s="67">
        <f t="shared" si="143"/>
        <v>0.0173701010303489</v>
      </c>
      <c r="AM134" s="67">
        <f t="shared" si="144"/>
        <v>1.00842186378549</v>
      </c>
      <c r="AN134" s="67">
        <f t="shared" si="133"/>
        <v>0.457223876281061</v>
      </c>
      <c r="AO134" s="67">
        <f t="shared" si="145"/>
        <v>0.105230958015216</v>
      </c>
      <c r="AP134" s="63">
        <f t="shared" si="113"/>
        <v>72.210541667552</v>
      </c>
      <c r="AQ134" s="63"/>
      <c r="AR134" s="69">
        <f t="shared" si="114"/>
        <v>537.930997673817</v>
      </c>
      <c r="AS134" s="69"/>
      <c r="AT134" s="69">
        <f t="shared" si="115"/>
        <v>0.0126843674579025</v>
      </c>
      <c r="AU134" s="69">
        <f t="shared" si="116"/>
        <v>7.34545835021721e-5</v>
      </c>
      <c r="AV134" s="65">
        <f t="shared" si="117"/>
        <v>0.0175163896551666</v>
      </c>
      <c r="AW134" s="68"/>
      <c r="AX134" s="68"/>
      <c r="AY134" s="68">
        <f t="shared" si="118"/>
        <v>21.6677740034411</v>
      </c>
      <c r="AZ134" s="68">
        <f t="shared" si="119"/>
        <v>30.6536818965416</v>
      </c>
      <c r="BA134" s="71">
        <f t="shared" si="120"/>
        <v>0.0182167367085387</v>
      </c>
      <c r="BB134" s="71"/>
      <c r="BC134" s="65"/>
      <c r="BD134" s="65">
        <f t="shared" si="151"/>
        <v>0.0671918493333416</v>
      </c>
      <c r="BE134" s="65">
        <f t="shared" si="121"/>
        <v>0.260692179616416</v>
      </c>
      <c r="BF134" s="65">
        <f t="shared" si="122"/>
        <v>24.0139284826113</v>
      </c>
      <c r="BG134" s="69">
        <f t="shared" si="123"/>
        <v>0.000729426243933822</v>
      </c>
      <c r="BH134" s="69">
        <f t="shared" si="124"/>
        <v>2.16460885839151e-6</v>
      </c>
      <c r="BI134" s="72">
        <f t="shared" si="125"/>
        <v>20.2533255387864</v>
      </c>
      <c r="BJ134" s="72">
        <f t="shared" si="152"/>
        <v>5.42484076221227</v>
      </c>
      <c r="BK134" s="73">
        <f t="shared" si="126"/>
        <v>0.228566564353801</v>
      </c>
      <c r="BL134" s="72">
        <f t="shared" si="153"/>
        <v>26.9686427307378</v>
      </c>
      <c r="BM134" s="74" t="s">
        <v>147</v>
      </c>
      <c r="BN134" s="86"/>
      <c r="BO134" s="86"/>
    </row>
    <row r="135" ht="25" customHeight="1" spans="1:67">
      <c r="A135" s="85">
        <v>171</v>
      </c>
      <c r="B135" s="55">
        <v>0.19843083897035</v>
      </c>
      <c r="C135" s="55">
        <v>80.7053067559417</v>
      </c>
      <c r="D135" s="55"/>
      <c r="E135" s="55">
        <v>1.95190937335312</v>
      </c>
      <c r="F135" s="56">
        <v>0.3</v>
      </c>
      <c r="G135" s="57">
        <f t="shared" si="154"/>
        <v>0.000185725163902457</v>
      </c>
      <c r="H135" s="57">
        <f t="shared" si="155"/>
        <v>0.000125</v>
      </c>
      <c r="I135" s="58">
        <f t="shared" si="103"/>
        <v>0.0189468422849538</v>
      </c>
      <c r="J135" s="58"/>
      <c r="K135" s="58">
        <f t="shared" si="104"/>
        <v>1.0859535393915</v>
      </c>
      <c r="L135" s="57">
        <f t="shared" si="105"/>
        <v>0.00223969232971806</v>
      </c>
      <c r="M135" s="57">
        <f t="shared" si="106"/>
        <v>0.0443159959716442</v>
      </c>
      <c r="N135" s="57">
        <f t="shared" si="107"/>
        <v>0.0291210693731082</v>
      </c>
      <c r="O135" s="59">
        <v>0.0302</v>
      </c>
      <c r="P135" s="60">
        <f t="shared" si="108"/>
        <v>0.0267</v>
      </c>
      <c r="Q135" s="61">
        <v>1000</v>
      </c>
      <c r="R135" s="59">
        <v>0.3484</v>
      </c>
      <c r="S135" s="59">
        <v>9.801</v>
      </c>
      <c r="T135" s="62">
        <v>4e-6</v>
      </c>
      <c r="U135" s="63">
        <v>1e-6</v>
      </c>
      <c r="V135" s="63">
        <f t="shared" si="150"/>
        <v>3.3e-6</v>
      </c>
      <c r="W135" s="64">
        <v>0.001147</v>
      </c>
      <c r="X135" s="64">
        <v>1.85e-5</v>
      </c>
      <c r="Y135" s="65"/>
      <c r="Z135" s="66">
        <f t="shared" si="109"/>
        <v>0.00195190937335312</v>
      </c>
      <c r="AA135" s="65">
        <f t="shared" si="110"/>
        <v>-0.0318655527789519</v>
      </c>
      <c r="AB135" s="65">
        <f t="shared" si="111"/>
        <v>5.0898037752343</v>
      </c>
      <c r="AC135" s="65">
        <f t="shared" si="112"/>
        <v>4.94587045399771</v>
      </c>
      <c r="AD135" s="67">
        <f t="shared" si="136"/>
        <v>1.02910171679087</v>
      </c>
      <c r="AE135" s="67">
        <f t="shared" si="137"/>
        <v>0.338324235453877</v>
      </c>
      <c r="AF135" s="67">
        <f t="shared" si="138"/>
        <v>0.221256854098574</v>
      </c>
      <c r="AG135" s="67">
        <f t="shared" si="139"/>
        <v>0.0709233547147283</v>
      </c>
      <c r="AH135" s="67">
        <f t="shared" si="140"/>
        <v>0.0624316504790155</v>
      </c>
      <c r="AI135" s="67">
        <f t="shared" si="141"/>
        <v>1.45160519441149</v>
      </c>
      <c r="AJ135" s="67"/>
      <c r="AK135" s="67">
        <f t="shared" si="142"/>
        <v>-0.279060495598097</v>
      </c>
      <c r="AL135" s="67">
        <f t="shared" si="143"/>
        <v>-0.0458715243003487</v>
      </c>
      <c r="AM135" s="67">
        <f t="shared" si="144"/>
        <v>-0.342091931446428</v>
      </c>
      <c r="AN135" s="67">
        <f t="shared" si="133"/>
        <v>1.01213322348781</v>
      </c>
      <c r="AO135" s="67">
        <f t="shared" si="145"/>
        <v>0.0458263442238095</v>
      </c>
      <c r="AP135" s="63">
        <f t="shared" si="113"/>
        <v>42.9039651827784</v>
      </c>
      <c r="AQ135" s="63"/>
      <c r="AR135" s="69">
        <f t="shared" si="114"/>
        <v>1523.81734686615</v>
      </c>
      <c r="AS135" s="69"/>
      <c r="AT135" s="69">
        <f t="shared" si="115"/>
        <v>0.00753642954632422</v>
      </c>
      <c r="AU135" s="69">
        <f t="shared" si="116"/>
        <v>7.619709813283e-5</v>
      </c>
      <c r="AV135" s="65">
        <f t="shared" si="117"/>
        <v>0.015692278346298</v>
      </c>
      <c r="AW135" s="68"/>
      <c r="AX135" s="68"/>
      <c r="AY135" s="68">
        <f t="shared" si="118"/>
        <v>19.4113483143707</v>
      </c>
      <c r="AZ135" s="68">
        <f t="shared" si="119"/>
        <v>27.4614871060215</v>
      </c>
      <c r="BA135" s="71">
        <f t="shared" si="120"/>
        <v>0.0188968803369418</v>
      </c>
      <c r="BB135" s="71"/>
      <c r="BC135" s="65"/>
      <c r="BD135" s="65">
        <f t="shared" si="151"/>
        <v>0.164378423402547</v>
      </c>
      <c r="BE135" s="65">
        <f t="shared" si="121"/>
        <v>0.0954643439295504</v>
      </c>
      <c r="BF135" s="65">
        <f t="shared" si="122"/>
        <v>54.5949366122661</v>
      </c>
      <c r="BG135" s="69">
        <f t="shared" si="123"/>
        <v>0.000287431020531167</v>
      </c>
      <c r="BH135" s="69">
        <f t="shared" si="124"/>
        <v>6.13275901690307e-7</v>
      </c>
      <c r="BI135" s="72">
        <f t="shared" si="125"/>
        <v>18.1441968379071</v>
      </c>
      <c r="BJ135" s="72">
        <f t="shared" si="152"/>
        <v>14.8140499809724</v>
      </c>
      <c r="BK135" s="73">
        <f t="shared" si="126"/>
        <v>1.00362593875624</v>
      </c>
      <c r="BL135" s="72">
        <f t="shared" si="153"/>
        <v>14.9815446832297</v>
      </c>
      <c r="BM135" s="74"/>
      <c r="BN135" s="86"/>
      <c r="BO135" s="86"/>
    </row>
    <row r="136" ht="25" customHeight="1" spans="1:67">
      <c r="A136" s="85">
        <v>172</v>
      </c>
      <c r="B136" s="55">
        <v>0.188416655729195</v>
      </c>
      <c r="C136" s="55">
        <v>2.06293535748602</v>
      </c>
      <c r="D136" s="55"/>
      <c r="E136" s="55">
        <v>1.81126599592674</v>
      </c>
      <c r="F136" s="56">
        <v>0.3</v>
      </c>
      <c r="G136" s="57">
        <f t="shared" si="154"/>
        <v>0.000185725163902457</v>
      </c>
      <c r="H136" s="57">
        <f t="shared" si="155"/>
        <v>0.000125</v>
      </c>
      <c r="I136" s="58">
        <f t="shared" si="103"/>
        <v>0.019392852612814</v>
      </c>
      <c r="J136" s="58"/>
      <c r="K136" s="58">
        <f t="shared" si="104"/>
        <v>0.979321932350155</v>
      </c>
      <c r="L136" s="57">
        <f t="shared" si="105"/>
        <v>0.0021574942891291</v>
      </c>
      <c r="M136" s="57">
        <f t="shared" si="106"/>
        <v>0.0456164753471264</v>
      </c>
      <c r="N136" s="57">
        <f t="shared" si="107"/>
        <v>0.0293757979914453</v>
      </c>
      <c r="O136" s="59">
        <v>0.0302</v>
      </c>
      <c r="P136" s="60">
        <f t="shared" si="108"/>
        <v>0.0267</v>
      </c>
      <c r="Q136" s="61">
        <v>1000</v>
      </c>
      <c r="R136" s="59">
        <v>0.3484</v>
      </c>
      <c r="S136" s="59">
        <v>9.801</v>
      </c>
      <c r="T136" s="62">
        <v>4e-6</v>
      </c>
      <c r="U136" s="63">
        <v>1e-6</v>
      </c>
      <c r="V136" s="63">
        <f t="shared" si="150"/>
        <v>3.3e-6</v>
      </c>
      <c r="W136" s="64">
        <v>0.001147</v>
      </c>
      <c r="X136" s="64">
        <v>1.85e-5</v>
      </c>
      <c r="Y136" s="65"/>
      <c r="Z136" s="66">
        <f t="shared" si="109"/>
        <v>0.00181126599592674</v>
      </c>
      <c r="AA136" s="65">
        <f t="shared" si="110"/>
        <v>-0.22931518062314</v>
      </c>
      <c r="AB136" s="65">
        <f t="shared" si="111"/>
        <v>4.25837465938043</v>
      </c>
      <c r="AC136" s="65">
        <f t="shared" si="112"/>
        <v>4.25880647190897</v>
      </c>
      <c r="AD136" s="67">
        <f t="shared" si="136"/>
        <v>0.999898607149353</v>
      </c>
      <c r="AE136" s="67">
        <f t="shared" si="137"/>
        <v>0.313946534424812</v>
      </c>
      <c r="AF136" s="67">
        <f t="shared" si="138"/>
        <v>0.209311838099168</v>
      </c>
      <c r="AG136" s="67">
        <f t="shared" si="139"/>
        <v>0.0670156274060261</v>
      </c>
      <c r="AH136" s="67">
        <f t="shared" si="140"/>
        <v>0.0595714598884587</v>
      </c>
      <c r="AI136" s="67" t="e">
        <f t="shared" si="141"/>
        <v>#NUM!</v>
      </c>
      <c r="AJ136" s="67"/>
      <c r="AK136" s="67" t="e">
        <f t="shared" si="142"/>
        <v>#NUM!</v>
      </c>
      <c r="AL136" s="67" t="e">
        <f t="shared" si="143"/>
        <v>#NUM!</v>
      </c>
      <c r="AM136" s="67" t="e">
        <f t="shared" si="144"/>
        <v>#NUM!</v>
      </c>
      <c r="AN136" s="67">
        <f t="shared" si="133"/>
        <v>1.0306818108106</v>
      </c>
      <c r="AO136" s="67">
        <f t="shared" si="145"/>
        <v>0.0433500471540872</v>
      </c>
      <c r="AP136" s="63">
        <f t="shared" si="113"/>
        <v>40.73873637388</v>
      </c>
      <c r="AQ136" s="63"/>
      <c r="AR136" s="69">
        <f t="shared" si="114"/>
        <v>1690.10103694601</v>
      </c>
      <c r="AS136" s="69"/>
      <c r="AT136" s="69">
        <f t="shared" si="115"/>
        <v>0.00715608954044327</v>
      </c>
      <c r="AU136" s="69">
        <f t="shared" si="116"/>
        <v>7.91001195668342e-5</v>
      </c>
      <c r="AV136" s="65">
        <f t="shared" si="117"/>
        <v>0.0140271641537243</v>
      </c>
      <c r="AW136" s="68"/>
      <c r="AX136" s="68"/>
      <c r="AY136" s="68">
        <f t="shared" si="118"/>
        <v>17.3516020581569</v>
      </c>
      <c r="AZ136" s="68">
        <f t="shared" si="119"/>
        <v>24.5475372690175</v>
      </c>
      <c r="BA136" s="71">
        <f t="shared" si="120"/>
        <v>0.0196168296525749</v>
      </c>
      <c r="BB136" s="71"/>
      <c r="BC136" s="65"/>
      <c r="BD136" s="65">
        <f t="shared" si="151"/>
        <v>0.156989184793373</v>
      </c>
      <c r="BE136" s="65">
        <f t="shared" si="121"/>
        <v>0.0893511497125527</v>
      </c>
      <c r="BF136" s="65">
        <f t="shared" si="122"/>
        <v>48.3837888227119</v>
      </c>
      <c r="BG136" s="69">
        <f t="shared" si="123"/>
        <v>0.000289914545657486</v>
      </c>
      <c r="BH136" s="69">
        <f t="shared" si="124"/>
        <v>4.41818500666976e-7</v>
      </c>
      <c r="BI136" s="72">
        <f t="shared" si="125"/>
        <v>16.2189085527437</v>
      </c>
      <c r="BJ136" s="72">
        <f t="shared" si="152"/>
        <v>15.8275922237452</v>
      </c>
      <c r="BK136" s="73">
        <f t="shared" si="126"/>
        <v>1.52226790141692</v>
      </c>
      <c r="BL136" s="72">
        <f t="shared" si="153"/>
        <v>12.7759876031984</v>
      </c>
      <c r="BM136" s="74"/>
      <c r="BN136" s="86"/>
      <c r="BO136" s="86"/>
    </row>
    <row r="137" ht="25" customHeight="1" spans="1:67">
      <c r="A137" s="85">
        <v>175</v>
      </c>
      <c r="B137" s="55">
        <v>0.261485062442866</v>
      </c>
      <c r="C137" s="55">
        <v>59.3998630709442</v>
      </c>
      <c r="D137" s="55"/>
      <c r="E137" s="55">
        <v>1.99447143887999</v>
      </c>
      <c r="F137" s="56">
        <v>0.6</v>
      </c>
      <c r="G137" s="57">
        <f t="shared" si="154"/>
        <v>0.000185725163902457</v>
      </c>
      <c r="H137" s="57">
        <f t="shared" si="155"/>
        <v>0.000125</v>
      </c>
      <c r="I137" s="58">
        <f t="shared" si="103"/>
        <v>0.0244328501097793</v>
      </c>
      <c r="J137" s="58"/>
      <c r="K137" s="58">
        <f t="shared" si="104"/>
        <v>1.88564892847007</v>
      </c>
      <c r="L137" s="57">
        <f t="shared" si="105"/>
        <v>0.00226397928400685</v>
      </c>
      <c r="M137" s="57">
        <f t="shared" si="106"/>
        <v>0.0219108865531858</v>
      </c>
      <c r="N137" s="57">
        <f t="shared" si="107"/>
        <v>0.0582632860066369</v>
      </c>
      <c r="O137" s="59">
        <v>0.0302</v>
      </c>
      <c r="P137" s="60">
        <f t="shared" si="108"/>
        <v>0.0282</v>
      </c>
      <c r="Q137" s="61">
        <v>1000</v>
      </c>
      <c r="R137" s="59">
        <v>0.69687</v>
      </c>
      <c r="S137" s="59">
        <v>9.801</v>
      </c>
      <c r="T137" s="62">
        <v>4e-6</v>
      </c>
      <c r="U137" s="63">
        <v>1e-6</v>
      </c>
      <c r="V137" s="63">
        <f t="shared" si="150"/>
        <v>3.6e-6</v>
      </c>
      <c r="W137" s="64">
        <v>0.001147</v>
      </c>
      <c r="X137" s="64">
        <v>1.85e-5</v>
      </c>
      <c r="Y137" s="65"/>
      <c r="Z137" s="66">
        <f t="shared" si="109"/>
        <v>0.00199447143887999</v>
      </c>
      <c r="AA137" s="65">
        <f t="shared" si="110"/>
        <v>1.4461996881116</v>
      </c>
      <c r="AB137" s="65">
        <f t="shared" si="111"/>
        <v>9.03118301341914</v>
      </c>
      <c r="AC137" s="65">
        <f t="shared" si="112"/>
        <v>5.16391494798663</v>
      </c>
      <c r="AD137" s="67">
        <f t="shared" si="136"/>
        <v>1.74890235497398</v>
      </c>
      <c r="AE137" s="67">
        <f t="shared" si="137"/>
        <v>0.290485299585831</v>
      </c>
      <c r="AF137" s="67">
        <f t="shared" si="138"/>
        <v>0.129167590999829</v>
      </c>
      <c r="AG137" s="67">
        <f t="shared" si="139"/>
        <v>0.125482944449643</v>
      </c>
      <c r="AH137" s="67">
        <f t="shared" si="140"/>
        <v>0.0867838795212592</v>
      </c>
      <c r="AI137" s="67">
        <f t="shared" si="141"/>
        <v>1.08973949513967</v>
      </c>
      <c r="AJ137" s="67"/>
      <c r="AK137" s="67">
        <f t="shared" si="142"/>
        <v>-0.463420545207045</v>
      </c>
      <c r="AL137" s="67">
        <f t="shared" si="143"/>
        <v>-0.0384860983021263</v>
      </c>
      <c r="AM137" s="67">
        <f t="shared" si="144"/>
        <v>-0.42114764450493</v>
      </c>
      <c r="AN137" s="67">
        <f t="shared" si="133"/>
        <v>0.672935708021064</v>
      </c>
      <c r="AO137" s="67">
        <f t="shared" si="145"/>
        <v>0.0829164171332715</v>
      </c>
      <c r="AP137" s="63">
        <f t="shared" si="113"/>
        <v>56.5373107984575</v>
      </c>
      <c r="AQ137" s="63"/>
      <c r="AR137" s="69">
        <f t="shared" si="114"/>
        <v>1755.04185071751</v>
      </c>
      <c r="AS137" s="69"/>
      <c r="AT137" s="69">
        <f t="shared" si="115"/>
        <v>0.00993123730536316</v>
      </c>
      <c r="AU137" s="69">
        <f t="shared" si="116"/>
        <v>7.53796898409948e-5</v>
      </c>
      <c r="AV137" s="65">
        <f t="shared" si="117"/>
        <v>0.0162083296461257</v>
      </c>
      <c r="AW137" s="68"/>
      <c r="AX137" s="68"/>
      <c r="AY137" s="68">
        <f t="shared" si="118"/>
        <v>20.0497037722575</v>
      </c>
      <c r="AZ137" s="68">
        <f t="shared" si="119"/>
        <v>28.36457688072</v>
      </c>
      <c r="BA137" s="71">
        <f t="shared" si="120"/>
        <v>0.0186941630805667</v>
      </c>
      <c r="BB137" s="71"/>
      <c r="BC137" s="65"/>
      <c r="BD137" s="65">
        <f t="shared" si="151"/>
        <v>0.0830478896548095</v>
      </c>
      <c r="BE137" s="65">
        <f t="shared" si="121"/>
        <v>0.195168471029138</v>
      </c>
      <c r="BF137" s="65">
        <f t="shared" si="122"/>
        <v>33.5414204050944</v>
      </c>
      <c r="BG137" s="69">
        <f t="shared" si="123"/>
        <v>0.00048323325161459</v>
      </c>
      <c r="BH137" s="69">
        <f t="shared" si="124"/>
        <v>1.13615045613267e-6</v>
      </c>
      <c r="BI137" s="72">
        <f t="shared" si="125"/>
        <v>18.7408811533329</v>
      </c>
      <c r="BJ137" s="72">
        <f t="shared" si="152"/>
        <v>7.24611693126376</v>
      </c>
      <c r="BK137" s="73">
        <f t="shared" si="126"/>
        <v>0.51733755113638</v>
      </c>
      <c r="BL137" s="72">
        <f t="shared" si="153"/>
        <v>19.3590129093924</v>
      </c>
      <c r="BM137" s="74"/>
      <c r="BN137" s="86"/>
      <c r="BO137" s="86"/>
    </row>
    <row r="138" ht="25" customHeight="1" spans="1:67">
      <c r="A138" s="85">
        <v>176</v>
      </c>
      <c r="B138" s="55">
        <v>0.319934093981665</v>
      </c>
      <c r="C138" s="55">
        <v>34.1505928589061</v>
      </c>
      <c r="D138" s="55"/>
      <c r="E138" s="55">
        <v>1.98588852214468</v>
      </c>
      <c r="F138" s="56">
        <v>0.6</v>
      </c>
      <c r="G138" s="57">
        <f t="shared" si="154"/>
        <v>0.000185725163902457</v>
      </c>
      <c r="H138" s="57">
        <f t="shared" si="155"/>
        <v>0.000125</v>
      </c>
      <c r="I138" s="58">
        <f t="shared" si="103"/>
        <v>0.0300239009487968</v>
      </c>
      <c r="J138" s="58"/>
      <c r="K138" s="58">
        <f t="shared" si="104"/>
        <v>2.82288533849585</v>
      </c>
      <c r="L138" s="57">
        <f t="shared" si="105"/>
        <v>0.00225910267970616</v>
      </c>
      <c r="M138" s="57">
        <f t="shared" si="106"/>
        <v>0.0145734684153362</v>
      </c>
      <c r="N138" s="57">
        <f t="shared" si="107"/>
        <v>0.0877878053082078</v>
      </c>
      <c r="O138" s="59">
        <v>0.0302</v>
      </c>
      <c r="P138" s="60">
        <f t="shared" si="108"/>
        <v>0.0282</v>
      </c>
      <c r="Q138" s="61">
        <v>1000</v>
      </c>
      <c r="R138" s="59">
        <v>0.69687</v>
      </c>
      <c r="S138" s="59">
        <v>9.801</v>
      </c>
      <c r="T138" s="62">
        <v>4e-6</v>
      </c>
      <c r="U138" s="63">
        <v>1e-6</v>
      </c>
      <c r="V138" s="63">
        <f t="shared" si="150"/>
        <v>3.6e-6</v>
      </c>
      <c r="W138" s="64">
        <v>0.001147</v>
      </c>
      <c r="X138" s="64">
        <v>1.85e-5</v>
      </c>
      <c r="Y138" s="65"/>
      <c r="Z138" s="66">
        <f t="shared" si="109"/>
        <v>0.00198588852214468</v>
      </c>
      <c r="AA138" s="65">
        <f t="shared" si="110"/>
        <v>3.17827851640514</v>
      </c>
      <c r="AB138" s="65">
        <f t="shared" si="111"/>
        <v>13.461670782126</v>
      </c>
      <c r="AC138" s="65">
        <f t="shared" si="112"/>
        <v>5.11956626921921</v>
      </c>
      <c r="AD138" s="67">
        <f t="shared" si="136"/>
        <v>2.62945532379621</v>
      </c>
      <c r="AE138" s="67">
        <f t="shared" si="137"/>
        <v>0.289235238496675</v>
      </c>
      <c r="AF138" s="67">
        <f t="shared" si="138"/>
        <v>0.0924235077897886</v>
      </c>
      <c r="AG138" s="67">
        <f t="shared" si="139"/>
        <v>0.174239405109772</v>
      </c>
      <c r="AH138" s="67">
        <f t="shared" si="140"/>
        <v>0.0935631122728037</v>
      </c>
      <c r="AI138" s="67">
        <f t="shared" si="141"/>
        <v>0.980462216668287</v>
      </c>
      <c r="AJ138" s="67"/>
      <c r="AK138" s="67">
        <f t="shared" si="142"/>
        <v>-1.02753883731726</v>
      </c>
      <c r="AL138" s="67">
        <f t="shared" si="143"/>
        <v>-0.0565136889732312</v>
      </c>
      <c r="AM138" s="67">
        <f t="shared" si="144"/>
        <v>-0.284954270514512</v>
      </c>
      <c r="AN138" s="67">
        <f t="shared" si="133"/>
        <v>0.468683023840131</v>
      </c>
      <c r="AO138" s="67">
        <f t="shared" si="145"/>
        <v>0.118795065266684</v>
      </c>
      <c r="AP138" s="63">
        <f t="shared" si="113"/>
        <v>69.1749392392789</v>
      </c>
      <c r="AQ138" s="63"/>
      <c r="AR138" s="69">
        <f t="shared" si="114"/>
        <v>1172.35785926197</v>
      </c>
      <c r="AS138" s="69"/>
      <c r="AT138" s="69">
        <f t="shared" si="115"/>
        <v>0.0121511392648003</v>
      </c>
      <c r="AU138" s="69">
        <f t="shared" si="116"/>
        <v>7.55424079515814e-5</v>
      </c>
      <c r="AV138" s="65">
        <f t="shared" si="117"/>
        <v>0.0161038170154511</v>
      </c>
      <c r="AW138" s="68"/>
      <c r="AX138" s="68"/>
      <c r="AY138" s="68">
        <f t="shared" si="118"/>
        <v>19.920421648113</v>
      </c>
      <c r="AZ138" s="68">
        <f t="shared" si="119"/>
        <v>28.1816797770395</v>
      </c>
      <c r="BA138" s="71">
        <f t="shared" si="120"/>
        <v>0.0187345171719922</v>
      </c>
      <c r="BB138" s="71"/>
      <c r="BC138" s="65"/>
      <c r="BD138" s="65">
        <f t="shared" si="151"/>
        <v>0.0549990783032393</v>
      </c>
      <c r="BE138" s="65">
        <f t="shared" si="121"/>
        <v>0.292801579813068</v>
      </c>
      <c r="BF138" s="65">
        <f t="shared" si="122"/>
        <v>22.1174627620152</v>
      </c>
      <c r="BG138" s="69">
        <f t="shared" si="123"/>
        <v>0.000728104176719039</v>
      </c>
      <c r="BH138" s="69">
        <f t="shared" si="124"/>
        <v>1.67897510870969e-6</v>
      </c>
      <c r="BI138" s="72">
        <f t="shared" si="125"/>
        <v>18.6200384241154</v>
      </c>
      <c r="BJ138" s="72">
        <f t="shared" si="152"/>
        <v>4.82993829225909</v>
      </c>
      <c r="BK138" s="73">
        <f t="shared" si="126"/>
        <v>0.353660963680893</v>
      </c>
      <c r="BL138" s="72">
        <f t="shared" si="153"/>
        <v>23.7008033205644</v>
      </c>
      <c r="BM138" s="74"/>
      <c r="BN138" s="86"/>
      <c r="BO138" s="86"/>
    </row>
    <row r="139" ht="25" customHeight="1" spans="1:67">
      <c r="A139" s="85">
        <v>182</v>
      </c>
      <c r="B139" s="55">
        <v>0.331090098625341</v>
      </c>
      <c r="C139" s="55">
        <v>4.99787619900537</v>
      </c>
      <c r="D139" s="55"/>
      <c r="E139" s="55">
        <v>1.99952514299994</v>
      </c>
      <c r="F139" s="56">
        <v>0.3</v>
      </c>
      <c r="G139" s="57">
        <f t="shared" si="154"/>
        <v>0.000185725163902457</v>
      </c>
      <c r="H139" s="57">
        <f t="shared" si="155"/>
        <v>0.000125</v>
      </c>
      <c r="I139" s="58">
        <f t="shared" si="103"/>
        <v>0.0308582044877192</v>
      </c>
      <c r="J139" s="58"/>
      <c r="K139" s="58">
        <f t="shared" si="104"/>
        <v>3.02312748017148</v>
      </c>
      <c r="L139" s="57">
        <f t="shared" si="105"/>
        <v>0.002266845768483</v>
      </c>
      <c r="M139" s="57">
        <f t="shared" si="106"/>
        <v>0.0163055565428411</v>
      </c>
      <c r="N139" s="57">
        <f t="shared" si="107"/>
        <v>0.078192740300692</v>
      </c>
      <c r="O139" s="59">
        <v>0.0302</v>
      </c>
      <c r="P139" s="60">
        <f t="shared" si="108"/>
        <v>0.0267</v>
      </c>
      <c r="Q139" s="61">
        <v>1000</v>
      </c>
      <c r="R139" s="59">
        <v>0.3484</v>
      </c>
      <c r="S139" s="59">
        <v>9.801</v>
      </c>
      <c r="T139" s="62">
        <v>4e-6</v>
      </c>
      <c r="U139" s="63">
        <v>1e-6</v>
      </c>
      <c r="V139" s="63">
        <f t="shared" si="150"/>
        <v>3.3e-6</v>
      </c>
      <c r="W139" s="64">
        <v>0.001147</v>
      </c>
      <c r="X139" s="64">
        <v>1.85e-5</v>
      </c>
      <c r="Y139" s="65"/>
      <c r="Z139" s="66">
        <f t="shared" si="109"/>
        <v>0.00199952514299994</v>
      </c>
      <c r="AA139" s="65">
        <f t="shared" si="110"/>
        <v>3.54845328275933</v>
      </c>
      <c r="AB139" s="65">
        <f t="shared" si="111"/>
        <v>14.5158445484009</v>
      </c>
      <c r="AC139" s="65">
        <f t="shared" si="112"/>
        <v>5.19011733989259</v>
      </c>
      <c r="AD139" s="67">
        <f t="shared" si="136"/>
        <v>2.7968239632712</v>
      </c>
      <c r="AE139" s="67">
        <f t="shared" si="137"/>
        <v>0.346577471531961</v>
      </c>
      <c r="AF139" s="67">
        <f t="shared" si="138"/>
        <v>0.105124651905307</v>
      </c>
      <c r="AG139" s="67">
        <f t="shared" si="139"/>
        <v>0.154768389026034</v>
      </c>
      <c r="AH139" s="67">
        <f t="shared" si="140"/>
        <v>0.0796500170825926</v>
      </c>
      <c r="AI139" s="67">
        <f t="shared" si="141"/>
        <v>0.968218893330975</v>
      </c>
      <c r="AJ139" s="67"/>
      <c r="AK139" s="67">
        <f t="shared" si="142"/>
        <v>5.26705330654602</v>
      </c>
      <c r="AL139" s="67">
        <f t="shared" si="143"/>
        <v>0.326341958124478</v>
      </c>
      <c r="AM139" s="67">
        <f t="shared" si="144"/>
        <v>0.0498555966134794</v>
      </c>
      <c r="AN139" s="67">
        <f t="shared" si="133"/>
        <v>0.44554001354177</v>
      </c>
      <c r="AO139" s="67">
        <f t="shared" si="145"/>
        <v>0.105365829403366</v>
      </c>
      <c r="AP139" s="63">
        <f t="shared" si="113"/>
        <v>71.5870483514251</v>
      </c>
      <c r="AQ139" s="63"/>
      <c r="AR139" s="69">
        <f t="shared" si="114"/>
        <v>547.342112410403</v>
      </c>
      <c r="AS139" s="69"/>
      <c r="AT139" s="69">
        <f t="shared" si="115"/>
        <v>0.0125748457987836</v>
      </c>
      <c r="AU139" s="69">
        <f t="shared" si="116"/>
        <v>7.52843702944466e-5</v>
      </c>
      <c r="AV139" s="65">
        <f t="shared" si="117"/>
        <v>0.016269973022307</v>
      </c>
      <c r="AW139" s="68"/>
      <c r="AX139" s="68"/>
      <c r="AY139" s="68">
        <f t="shared" si="118"/>
        <v>20.1259566285937</v>
      </c>
      <c r="AZ139" s="68">
        <f t="shared" si="119"/>
        <v>28.4724527890372</v>
      </c>
      <c r="BA139" s="71">
        <f t="shared" si="120"/>
        <v>0.0186705238330228</v>
      </c>
      <c r="BB139" s="71"/>
      <c r="BC139" s="65"/>
      <c r="BD139" s="65">
        <f t="shared" si="151"/>
        <v>0.0619591143531607</v>
      </c>
      <c r="BE139" s="65">
        <f t="shared" si="121"/>
        <v>0.262592084992851</v>
      </c>
      <c r="BF139" s="65">
        <f t="shared" si="122"/>
        <v>21.0804548139078</v>
      </c>
      <c r="BG139" s="69">
        <f t="shared" si="123"/>
        <v>0.000771803699964428</v>
      </c>
      <c r="BH139" s="69">
        <f t="shared" si="124"/>
        <v>1.8354037244455e-6</v>
      </c>
      <c r="BI139" s="72">
        <f t="shared" si="125"/>
        <v>18.8121563070424</v>
      </c>
      <c r="BJ139" s="72">
        <f t="shared" si="152"/>
        <v>5.38559097244532</v>
      </c>
      <c r="BK139" s="73">
        <f t="shared" si="126"/>
        <v>0.318256736961525</v>
      </c>
      <c r="BL139" s="72">
        <f t="shared" si="153"/>
        <v>24.8960792281861</v>
      </c>
      <c r="BM139" s="74"/>
      <c r="BN139" s="86"/>
      <c r="BO139" s="86"/>
    </row>
    <row r="140" ht="25" customHeight="1" spans="1:67">
      <c r="A140" s="85">
        <v>183</v>
      </c>
      <c r="B140" s="55">
        <v>0.413690260955138</v>
      </c>
      <c r="C140" s="55">
        <v>6.14453336358576</v>
      </c>
      <c r="D140" s="55"/>
      <c r="E140" s="55">
        <v>2.26816577840144</v>
      </c>
      <c r="F140" s="56">
        <v>0.1</v>
      </c>
      <c r="G140" s="57">
        <f t="shared" si="154"/>
        <v>0.000185725163902457</v>
      </c>
      <c r="H140" s="57">
        <f t="shared" si="155"/>
        <v>0.000125</v>
      </c>
      <c r="I140" s="58">
        <f t="shared" si="103"/>
        <v>0.0339763717053902</v>
      </c>
      <c r="J140" s="58"/>
      <c r="K140" s="58">
        <f t="shared" si="104"/>
        <v>4.71818127709378</v>
      </c>
      <c r="L140" s="57">
        <f t="shared" si="105"/>
        <v>0.00241432612965814</v>
      </c>
      <c r="M140" s="57">
        <f t="shared" si="106"/>
        <v>0.0134227696912809</v>
      </c>
      <c r="N140" s="57">
        <f t="shared" si="107"/>
        <v>0.0891517285418296</v>
      </c>
      <c r="O140" s="59">
        <v>0.0302</v>
      </c>
      <c r="P140" s="60">
        <f t="shared" si="108"/>
        <v>0.0257</v>
      </c>
      <c r="Q140" s="61">
        <v>1000</v>
      </c>
      <c r="R140" s="59">
        <v>0.11613</v>
      </c>
      <c r="S140" s="59">
        <v>9.801</v>
      </c>
      <c r="T140" s="62">
        <v>4e-6</v>
      </c>
      <c r="U140" s="63">
        <v>1e-6</v>
      </c>
      <c r="V140" s="63">
        <f t="shared" si="150"/>
        <v>3.1e-6</v>
      </c>
      <c r="W140" s="64">
        <v>0.001147</v>
      </c>
      <c r="X140" s="64">
        <v>1.85e-5</v>
      </c>
      <c r="Y140" s="65"/>
      <c r="Z140" s="66">
        <f t="shared" si="109"/>
        <v>0.00226816577840144</v>
      </c>
      <c r="AA140" s="65">
        <f t="shared" si="110"/>
        <v>6.68397716662233</v>
      </c>
      <c r="AB140" s="65">
        <f t="shared" si="111"/>
        <v>25.7068249437963</v>
      </c>
      <c r="AC140" s="65">
        <f t="shared" si="112"/>
        <v>6.67840918668214</v>
      </c>
      <c r="AD140" s="67">
        <f t="shared" si="136"/>
        <v>3.84924376827045</v>
      </c>
      <c r="AE140" s="67">
        <f t="shared" si="137"/>
        <v>0.44550516676691</v>
      </c>
      <c r="AF140" s="67">
        <f t="shared" si="138"/>
        <v>0.102432788434867</v>
      </c>
      <c r="AG140" s="67">
        <f t="shared" si="139"/>
        <v>0.191897679741276</v>
      </c>
      <c r="AH140" s="67">
        <f t="shared" si="140"/>
        <v>0.0780993887629629</v>
      </c>
      <c r="AI140" s="67">
        <f t="shared" si="141"/>
        <v>0.916801195709651</v>
      </c>
      <c r="AJ140" s="67"/>
      <c r="AK140" s="67">
        <f t="shared" si="142"/>
        <v>7.26258722317783</v>
      </c>
      <c r="AL140" s="67">
        <f t="shared" si="143"/>
        <v>0.420279972743173</v>
      </c>
      <c r="AM140" s="67">
        <f t="shared" si="144"/>
        <v>0.046770285773507</v>
      </c>
      <c r="AN140" s="67">
        <f t="shared" si="133"/>
        <v>0.354415256073127</v>
      </c>
      <c r="AO140" s="67">
        <f t="shared" si="145"/>
        <v>0.12449260815793</v>
      </c>
      <c r="AP140" s="63">
        <f t="shared" si="113"/>
        <v>89.446542909219</v>
      </c>
      <c r="AQ140" s="63"/>
      <c r="AR140" s="69">
        <f t="shared" si="114"/>
        <v>116.863637984994</v>
      </c>
      <c r="AS140" s="69"/>
      <c r="AT140" s="69">
        <f t="shared" si="115"/>
        <v>0.0157120109044882</v>
      </c>
      <c r="AU140" s="69">
        <f t="shared" si="116"/>
        <v>7.06855855712575e-5</v>
      </c>
      <c r="AV140" s="65">
        <f t="shared" si="117"/>
        <v>0.0196566144300799</v>
      </c>
      <c r="AW140" s="68"/>
      <c r="AX140" s="68"/>
      <c r="AY140" s="68">
        <f t="shared" si="118"/>
        <v>24.3152320500089</v>
      </c>
      <c r="AZ140" s="68">
        <f t="shared" si="119"/>
        <v>34.3990752526399</v>
      </c>
      <c r="BA140" s="71">
        <f t="shared" si="120"/>
        <v>0.0175300252216719</v>
      </c>
      <c r="BB140" s="71"/>
      <c r="BC140" s="65"/>
      <c r="BD140" s="65">
        <f t="shared" si="151"/>
        <v>0.0578691807517149</v>
      </c>
      <c r="BE140" s="65">
        <f t="shared" si="121"/>
        <v>0.339673279883048</v>
      </c>
      <c r="BF140" s="65">
        <f t="shared" si="122"/>
        <v>19.7090432006821</v>
      </c>
      <c r="BG140" s="69">
        <f t="shared" si="123"/>
        <v>0.00099733986221105</v>
      </c>
      <c r="BH140" s="69">
        <f t="shared" si="124"/>
        <v>4.18247725904546e-6</v>
      </c>
      <c r="BI140" s="72">
        <f t="shared" si="125"/>
        <v>22.7279604347799</v>
      </c>
      <c r="BJ140" s="72">
        <f t="shared" si="152"/>
        <v>4.16345248840303</v>
      </c>
      <c r="BK140" s="73">
        <f t="shared" si="126"/>
        <v>0.063920053535521</v>
      </c>
      <c r="BL140" s="72">
        <f t="shared" si="153"/>
        <v>39.0636433171606</v>
      </c>
      <c r="BM140" s="74"/>
      <c r="BN140" s="86"/>
      <c r="BO140" s="86"/>
    </row>
    <row r="141" ht="25" customHeight="1" spans="1:67">
      <c r="A141" s="85">
        <v>184</v>
      </c>
      <c r="B141" s="55">
        <v>0.398547606977585</v>
      </c>
      <c r="C141" s="55">
        <v>-91.1795669489701</v>
      </c>
      <c r="D141" s="55"/>
      <c r="E141" s="55">
        <v>2.21867157428169</v>
      </c>
      <c r="F141" s="56">
        <v>0.1</v>
      </c>
      <c r="G141" s="57">
        <f t="shared" si="154"/>
        <v>0.000185725163902457</v>
      </c>
      <c r="H141" s="57">
        <f t="shared" si="155"/>
        <v>0.000125</v>
      </c>
      <c r="I141" s="58">
        <f t="shared" si="103"/>
        <v>0.0334651458279286</v>
      </c>
      <c r="J141" s="58"/>
      <c r="K141" s="58">
        <f t="shared" si="104"/>
        <v>4.3793302830119</v>
      </c>
      <c r="L141" s="57">
        <f t="shared" si="105"/>
        <v>0.00238783903474326</v>
      </c>
      <c r="M141" s="57">
        <f t="shared" si="106"/>
        <v>0.0141470246470189</v>
      </c>
      <c r="N141" s="57">
        <f t="shared" si="107"/>
        <v>0.08553101421984</v>
      </c>
      <c r="O141" s="59">
        <v>0.0302</v>
      </c>
      <c r="P141" s="60">
        <f t="shared" si="108"/>
        <v>0.0257</v>
      </c>
      <c r="Q141" s="61">
        <v>1000</v>
      </c>
      <c r="R141" s="59">
        <v>0.11613</v>
      </c>
      <c r="S141" s="59">
        <v>9.801</v>
      </c>
      <c r="T141" s="62">
        <v>4e-6</v>
      </c>
      <c r="U141" s="63">
        <v>1e-6</v>
      </c>
      <c r="V141" s="63">
        <f t="shared" si="150"/>
        <v>3.1e-6</v>
      </c>
      <c r="W141" s="64">
        <v>0.001147</v>
      </c>
      <c r="X141" s="64">
        <v>1.85e-5</v>
      </c>
      <c r="Y141" s="65"/>
      <c r="Z141" s="66">
        <f t="shared" si="109"/>
        <v>0.00221867157428169</v>
      </c>
      <c r="AA141" s="65">
        <f t="shared" si="110"/>
        <v>6.05709454778591</v>
      </c>
      <c r="AB141" s="65">
        <f t="shared" si="111"/>
        <v>23.3386904345037</v>
      </c>
      <c r="AC141" s="65">
        <f t="shared" si="112"/>
        <v>6.39012679972256</v>
      </c>
      <c r="AD141" s="67">
        <f t="shared" si="136"/>
        <v>3.65230474542649</v>
      </c>
      <c r="AE141" s="67">
        <f t="shared" si="137"/>
        <v>0.435783688791034</v>
      </c>
      <c r="AF141" s="67">
        <f t="shared" si="138"/>
        <v>0.10494983280575</v>
      </c>
      <c r="AG141" s="67">
        <f t="shared" si="139"/>
        <v>0.181198378215566</v>
      </c>
      <c r="AH141" s="67">
        <f t="shared" si="140"/>
        <v>0.0767666996984747</v>
      </c>
      <c r="AI141" s="67">
        <f t="shared" si="141"/>
        <v>0.924068916692203</v>
      </c>
      <c r="AJ141" s="67"/>
      <c r="AK141" s="67">
        <f t="shared" si="142"/>
        <v>0.261032780776585</v>
      </c>
      <c r="AL141" s="67">
        <f t="shared" si="143"/>
        <v>0.0155728828823289</v>
      </c>
      <c r="AM141" s="67">
        <f t="shared" si="144"/>
        <v>1.22114444975219</v>
      </c>
      <c r="AN141" s="67">
        <f t="shared" si="133"/>
        <v>0.367025788226056</v>
      </c>
      <c r="AO141" s="67">
        <f t="shared" si="145"/>
        <v>0.118896345658274</v>
      </c>
      <c r="AP141" s="63">
        <f t="shared" si="113"/>
        <v>86.1724555627211</v>
      </c>
      <c r="AQ141" s="63"/>
      <c r="AR141" s="69">
        <f t="shared" si="114"/>
        <v>125.912713696492</v>
      </c>
      <c r="AS141" s="69"/>
      <c r="AT141" s="69">
        <f t="shared" si="115"/>
        <v>0.0151368909007712</v>
      </c>
      <c r="AU141" s="69">
        <f t="shared" si="116"/>
        <v>7.14696651456753e-5</v>
      </c>
      <c r="AV141" s="65">
        <f t="shared" si="117"/>
        <v>0.0190167394983968</v>
      </c>
      <c r="AW141" s="68"/>
      <c r="AX141" s="68"/>
      <c r="AY141" s="68">
        <f t="shared" si="118"/>
        <v>23.5237067595168</v>
      </c>
      <c r="AZ141" s="68">
        <f t="shared" si="119"/>
        <v>33.2792941221944</v>
      </c>
      <c r="BA141" s="71">
        <f t="shared" si="120"/>
        <v>0.0177244769561275</v>
      </c>
      <c r="BB141" s="71"/>
      <c r="BC141" s="65"/>
      <c r="BD141" s="65">
        <f t="shared" si="151"/>
        <v>0.0596587249923124</v>
      </c>
      <c r="BE141" s="65">
        <f t="shared" si="121"/>
        <v>0.318758731448707</v>
      </c>
      <c r="BF141" s="65">
        <f t="shared" si="122"/>
        <v>19.8751493318277</v>
      </c>
      <c r="BG141" s="69">
        <f t="shared" si="123"/>
        <v>0.00095680989264034</v>
      </c>
      <c r="BH141" s="69">
        <f t="shared" si="124"/>
        <v>3.63327343004733e-6</v>
      </c>
      <c r="BI141" s="72">
        <f t="shared" si="125"/>
        <v>21.9881050450213</v>
      </c>
      <c r="BJ141" s="72">
        <f t="shared" si="152"/>
        <v>4.43662689942867</v>
      </c>
      <c r="BK141" s="73">
        <f t="shared" si="126"/>
        <v>0.0951101522505833</v>
      </c>
      <c r="BL141" s="72">
        <f t="shared" si="153"/>
        <v>36.1189440339488</v>
      </c>
      <c r="BM141" s="74" t="s">
        <v>147</v>
      </c>
      <c r="BN141" s="86"/>
      <c r="BO141" s="86"/>
    </row>
    <row r="142" ht="25" customHeight="1" spans="1:67">
      <c r="A142" s="85">
        <v>186</v>
      </c>
      <c r="B142" s="55">
        <v>0.326471137634583</v>
      </c>
      <c r="C142" s="55">
        <v>10.637605277877</v>
      </c>
      <c r="D142" s="55"/>
      <c r="E142" s="55">
        <v>2.08421197263709</v>
      </c>
      <c r="F142" s="56">
        <v>1</v>
      </c>
      <c r="G142" s="57">
        <f t="shared" si="154"/>
        <v>0.000185725163902457</v>
      </c>
      <c r="H142" s="57">
        <f t="shared" si="155"/>
        <v>0.000125</v>
      </c>
      <c r="I142" s="58">
        <f t="shared" si="103"/>
        <v>0.0291873235148996</v>
      </c>
      <c r="J142" s="58"/>
      <c r="K142" s="58">
        <f t="shared" si="104"/>
        <v>2.93904086873218</v>
      </c>
      <c r="L142" s="57">
        <f t="shared" si="105"/>
        <v>0.00231435236042489</v>
      </c>
      <c r="M142" s="57">
        <f t="shared" si="106"/>
        <v>0.0118968301188619</v>
      </c>
      <c r="N142" s="57">
        <f t="shared" si="107"/>
        <v>0.10495659048271</v>
      </c>
      <c r="O142" s="59">
        <v>0.0302</v>
      </c>
      <c r="P142" s="60">
        <f t="shared" si="108"/>
        <v>0.0302</v>
      </c>
      <c r="Q142" s="61">
        <v>1000</v>
      </c>
      <c r="R142" s="59">
        <v>1.1616</v>
      </c>
      <c r="S142" s="59">
        <v>9.801</v>
      </c>
      <c r="T142" s="62">
        <v>4e-6</v>
      </c>
      <c r="U142" s="63">
        <v>1e-6</v>
      </c>
      <c r="V142" s="63">
        <f t="shared" si="150"/>
        <v>4e-6</v>
      </c>
      <c r="W142" s="64">
        <v>0.001147</v>
      </c>
      <c r="X142" s="64">
        <v>1.85e-5</v>
      </c>
      <c r="Y142" s="65"/>
      <c r="Z142" s="66">
        <f t="shared" si="109"/>
        <v>0.00208421197263709</v>
      </c>
      <c r="AA142" s="65">
        <f t="shared" si="110"/>
        <v>3.39364952642298</v>
      </c>
      <c r="AB142" s="65">
        <f t="shared" si="111"/>
        <v>14.711417622086</v>
      </c>
      <c r="AC142" s="65">
        <f t="shared" si="112"/>
        <v>5.63906642370967</v>
      </c>
      <c r="AD142" s="67">
        <f t="shared" si="136"/>
        <v>2.60883921498624</v>
      </c>
      <c r="AE142" s="67">
        <f t="shared" si="137"/>
        <v>0.245880021769374</v>
      </c>
      <c r="AF142" s="67">
        <f t="shared" si="138"/>
        <v>0.0790906202495461</v>
      </c>
      <c r="AG142" s="67">
        <f t="shared" si="139"/>
        <v>0.218919464245272</v>
      </c>
      <c r="AH142" s="67">
        <f t="shared" si="140"/>
        <v>0.118185762992576</v>
      </c>
      <c r="AI142" s="67">
        <f t="shared" si="141"/>
        <v>0.982088059812349</v>
      </c>
      <c r="AJ142" s="67"/>
      <c r="AK142" s="67">
        <f t="shared" si="142"/>
        <v>-29.8300527822453</v>
      </c>
      <c r="AL142" s="67">
        <f t="shared" si="143"/>
        <v>-1.40572366157083</v>
      </c>
      <c r="AM142" s="67">
        <f t="shared" si="144"/>
        <v>-0.012317126534321</v>
      </c>
      <c r="AN142" s="67">
        <f t="shared" si="133"/>
        <v>0.47179000337354</v>
      </c>
      <c r="AO142" s="67">
        <f t="shared" si="145"/>
        <v>0.149257918443857</v>
      </c>
      <c r="AP142" s="63">
        <f t="shared" si="113"/>
        <v>70.5883540831531</v>
      </c>
      <c r="AQ142" s="63"/>
      <c r="AR142" s="69">
        <f t="shared" si="114"/>
        <v>1876.46475005754</v>
      </c>
      <c r="AS142" s="69"/>
      <c r="AT142" s="69">
        <f t="shared" si="115"/>
        <v>0.0123994170485717</v>
      </c>
      <c r="AU142" s="69">
        <f t="shared" si="116"/>
        <v>7.37390118951215e-5</v>
      </c>
      <c r="AV142" s="65">
        <f t="shared" si="117"/>
        <v>0.0173144762118569</v>
      </c>
      <c r="AW142" s="68"/>
      <c r="AX142" s="68"/>
      <c r="AY142" s="68">
        <f t="shared" si="118"/>
        <v>21.418007074067</v>
      </c>
      <c r="AZ142" s="68">
        <f t="shared" si="119"/>
        <v>30.3003333707495</v>
      </c>
      <c r="BA142" s="71">
        <f t="shared" si="120"/>
        <v>0.0182872749499901</v>
      </c>
      <c r="BB142" s="71"/>
      <c r="BC142" s="65"/>
      <c r="BD142" s="65">
        <f t="shared" si="151"/>
        <v>0.0471244108025014</v>
      </c>
      <c r="BE142" s="65">
        <f t="shared" si="121"/>
        <v>0.367420534644389</v>
      </c>
      <c r="BF142" s="65">
        <f t="shared" si="122"/>
        <v>24.5543152995105</v>
      </c>
      <c r="BG142" s="69">
        <f t="shared" si="123"/>
        <v>0.000705150031701436</v>
      </c>
      <c r="BH142" s="69">
        <f t="shared" si="124"/>
        <v>2.02103510814259e-6</v>
      </c>
      <c r="BI142" s="72">
        <f t="shared" si="125"/>
        <v>20.0198631199595</v>
      </c>
      <c r="BJ142" s="72">
        <f t="shared" si="152"/>
        <v>3.84903245470984</v>
      </c>
      <c r="BK142" s="73">
        <f t="shared" si="126"/>
        <v>0.252991740713898</v>
      </c>
      <c r="BL142" s="72">
        <f t="shared" si="153"/>
        <v>25.9895504695054</v>
      </c>
      <c r="BM142" s="74" t="s">
        <v>147</v>
      </c>
      <c r="BN142" s="86"/>
      <c r="BO142" s="86"/>
    </row>
    <row r="143" ht="25" customHeight="1" spans="1:67">
      <c r="A143" s="85">
        <v>187</v>
      </c>
      <c r="B143" s="55">
        <v>0.31861468085336</v>
      </c>
      <c r="C143" s="55">
        <v>-28.4995393390295</v>
      </c>
      <c r="D143" s="55"/>
      <c r="E143" s="55">
        <v>2.264373878104</v>
      </c>
      <c r="F143" s="56">
        <v>1</v>
      </c>
      <c r="G143" s="57">
        <f t="shared" si="154"/>
        <v>0.000185725163902457</v>
      </c>
      <c r="H143" s="57">
        <f t="shared" si="155"/>
        <v>0.000125</v>
      </c>
      <c r="I143" s="58">
        <f t="shared" si="103"/>
        <v>0.0262117684444741</v>
      </c>
      <c r="J143" s="58"/>
      <c r="K143" s="58">
        <f t="shared" si="104"/>
        <v>2.79870640126258</v>
      </c>
      <c r="L143" s="57">
        <f t="shared" si="105"/>
        <v>0.00241230716051523</v>
      </c>
      <c r="M143" s="57">
        <f t="shared" si="106"/>
        <v>0.0135687239608447</v>
      </c>
      <c r="N143" s="57">
        <f t="shared" si="107"/>
        <v>0.0882669611783957</v>
      </c>
      <c r="O143" s="59">
        <v>0.0302</v>
      </c>
      <c r="P143" s="60">
        <f t="shared" si="108"/>
        <v>0.0302</v>
      </c>
      <c r="Q143" s="61">
        <v>1000</v>
      </c>
      <c r="R143" s="59">
        <v>1.1616</v>
      </c>
      <c r="S143" s="59">
        <v>9.801</v>
      </c>
      <c r="T143" s="62">
        <v>4e-6</v>
      </c>
      <c r="U143" s="63">
        <v>1e-6</v>
      </c>
      <c r="V143" s="63">
        <f t="shared" si="150"/>
        <v>4e-6</v>
      </c>
      <c r="W143" s="64">
        <v>0.001147</v>
      </c>
      <c r="X143" s="64">
        <v>1.85e-5</v>
      </c>
      <c r="Y143" s="65"/>
      <c r="Z143" s="66">
        <f t="shared" si="109"/>
        <v>0.002264373878104</v>
      </c>
      <c r="AA143" s="65">
        <f t="shared" si="110"/>
        <v>3.13533714858758</v>
      </c>
      <c r="AB143" s="65">
        <f t="shared" si="111"/>
        <v>15.2230878931005</v>
      </c>
      <c r="AC143" s="65">
        <f t="shared" si="112"/>
        <v>6.65609803648866</v>
      </c>
      <c r="AD143" s="67">
        <f t="shared" si="136"/>
        <v>2.28708889346998</v>
      </c>
      <c r="AE143" s="67">
        <f t="shared" si="137"/>
        <v>0.267134200240562</v>
      </c>
      <c r="AF143" s="67">
        <f t="shared" si="138"/>
        <v>0.0958470326750056</v>
      </c>
      <c r="AG143" s="67">
        <f t="shared" si="139"/>
        <v>0.204569112351214</v>
      </c>
      <c r="AH143" s="67">
        <f t="shared" si="140"/>
        <v>0.120462385717266</v>
      </c>
      <c r="AI143" s="67">
        <f t="shared" si="141"/>
        <v>1.01166026064892</v>
      </c>
      <c r="AJ143" s="67"/>
      <c r="AK143" s="67">
        <f t="shared" si="142"/>
        <v>0.636330986986672</v>
      </c>
      <c r="AL143" s="67">
        <f t="shared" si="143"/>
        <v>0.0371620381224163</v>
      </c>
      <c r="AM143" s="67">
        <f t="shared" si="144"/>
        <v>0.527617520094962</v>
      </c>
      <c r="AN143" s="67">
        <f t="shared" si="133"/>
        <v>0.528959355506009</v>
      </c>
      <c r="AO143" s="67">
        <f t="shared" si="145"/>
        <v>0.138760845469358</v>
      </c>
      <c r="AP143" s="63">
        <f t="shared" si="113"/>
        <v>68.8896607250508</v>
      </c>
      <c r="AQ143" s="63"/>
      <c r="AR143" s="69">
        <f t="shared" si="114"/>
        <v>1970.14608372247</v>
      </c>
      <c r="AS143" s="69"/>
      <c r="AT143" s="69">
        <f t="shared" si="115"/>
        <v>0.0121010277794306</v>
      </c>
      <c r="AU143" s="69">
        <f t="shared" si="116"/>
        <v>7.07447455399601e-5</v>
      </c>
      <c r="AV143" s="65">
        <f t="shared" si="117"/>
        <v>0.0196073423958237</v>
      </c>
      <c r="AW143" s="68"/>
      <c r="AX143" s="68"/>
      <c r="AY143" s="68">
        <f t="shared" si="118"/>
        <v>24.2542825436339</v>
      </c>
      <c r="AZ143" s="68">
        <f t="shared" si="119"/>
        <v>34.3128491926914</v>
      </c>
      <c r="BA143" s="71">
        <f t="shared" si="120"/>
        <v>0.0175446968939101</v>
      </c>
      <c r="BB143" s="71"/>
      <c r="BC143" s="65"/>
      <c r="BD143" s="65">
        <f t="shared" si="151"/>
        <v>0.058400484782921</v>
      </c>
      <c r="BE143" s="65">
        <f t="shared" si="121"/>
        <v>0.335739377313487</v>
      </c>
      <c r="BF143" s="65">
        <f t="shared" si="122"/>
        <v>33.0601330527641</v>
      </c>
      <c r="BG143" s="69">
        <f t="shared" si="123"/>
        <v>0.000593081170137164</v>
      </c>
      <c r="BH143" s="69">
        <f t="shared" si="124"/>
        <v>2.46850827949133e-6</v>
      </c>
      <c r="BI143" s="72">
        <f t="shared" si="125"/>
        <v>22.6709896451711</v>
      </c>
      <c r="BJ143" s="72">
        <f t="shared" si="152"/>
        <v>4.21223621038832</v>
      </c>
      <c r="BK143" s="73">
        <f t="shared" si="126"/>
        <v>0.110871325113194</v>
      </c>
      <c r="BL143" s="72">
        <f t="shared" si="153"/>
        <v>28.5352839660779</v>
      </c>
      <c r="BM143" s="74"/>
      <c r="BN143" s="86"/>
      <c r="BO143" s="86"/>
    </row>
    <row r="144" ht="25" customHeight="1" spans="1:67">
      <c r="AL144" s="87" t="e">
        <f>AVERAGE(AL3:AL18,AL20:AL110,AL115:AL135,AL137:AL143)</f>
        <v>#VALUE!</v>
      </c>
      <c r="AM144" s="87" t="e">
        <f>AVERAGE(AM3:AM18,AM20:AM110,AM115:AM135,AM137:AM143)</f>
        <v>#VALUE!</v>
      </c>
      <c r="BB144" s="88"/>
      <c r="BC144" s="88"/>
      <c r="BD144" s="88"/>
      <c r="BE144" s="88"/>
      <c r="BF144" s="88"/>
      <c r="BN144" s="86"/>
      <c r="BO144" s="86"/>
    </row>
    <row r="145" ht="14.4" spans="1:58">
      <c r="AW145"/>
      <c r="AX145"/>
      <c r="AY145"/>
      <c r="AZ145"/>
      <c r="BA145" s="89"/>
      <c r="BB145" s="88"/>
      <c r="BC145" s="88"/>
      <c r="BD145" s="88"/>
      <c r="BE145" s="88"/>
      <c r="BF145" s="88"/>
    </row>
    <row r="146" ht="14.4" spans="1:58">
      <c r="AW146"/>
      <c r="AX146"/>
      <c r="AY146"/>
      <c r="AZ146"/>
      <c r="BA146" s="89"/>
      <c r="BB146" s="88"/>
      <c r="BC146" s="88"/>
      <c r="BD146" s="88"/>
      <c r="BE146" s="88"/>
      <c r="BF146" s="88"/>
    </row>
    <row r="147" spans="1:58">
      <c r="A147" s="79"/>
    </row>
    <row r="148" spans="1:58">
      <c r="A148" s="79"/>
    </row>
    <row r="149" spans="1:58">
      <c r="A149" s="79"/>
    </row>
    <row r="150" spans="1:58">
      <c r="A150" s="79"/>
    </row>
  </sheetData>
  <sortState ref="A3:BM191">
    <sortCondition ref="A3:A191" descending="1" sortBy="cellColor" dxfId="1"/>
  </sortState>
  <mergeCells count="1">
    <mergeCell ref="AD1:AO1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8193" progId="Equation.DSMT4" r:id="rId3">
          <objectPr defaultSize="0" r:id="rId4">
            <anchor moveWithCells="1">
              <from>
                <xdr:col>27</xdr:col>
                <xdr:colOff>102870</xdr:colOff>
                <xdr:row>1</xdr:row>
                <xdr:rowOff>59055</xdr:rowOff>
              </from>
              <to>
                <xdr:col>27</xdr:col>
                <xdr:colOff>1063625</xdr:colOff>
                <xdr:row>1</xdr:row>
                <xdr:rowOff>607695</xdr:rowOff>
              </to>
            </anchor>
          </objectPr>
        </oleObject>
      </mc:Choice>
      <mc:Fallback>
        <oleObject shapeId="8193" progId="Equation.DSMT4" r:id="rId3"/>
      </mc:Fallback>
    </mc:AlternateContent>
    <mc:AlternateContent xmlns:mc="http://schemas.openxmlformats.org/markup-compatibility/2006">
      <mc:Choice Requires="x14">
        <oleObject shapeId="8194" progId="Equation.DSMT4" r:id="rId5">
          <objectPr defaultSize="0" r:id="rId6">
            <anchor moveWithCells="1">
              <from>
                <xdr:col>28</xdr:col>
                <xdr:colOff>92075</xdr:colOff>
                <xdr:row>1</xdr:row>
                <xdr:rowOff>30480</xdr:rowOff>
              </from>
              <to>
                <xdr:col>28</xdr:col>
                <xdr:colOff>1049655</xdr:colOff>
                <xdr:row>1</xdr:row>
                <xdr:rowOff>592455</xdr:rowOff>
              </to>
            </anchor>
          </objectPr>
        </oleObject>
      </mc:Choice>
      <mc:Fallback>
        <oleObject shapeId="8194" progId="Equation.DSMT4" r:id="rId5"/>
      </mc:Fallback>
    </mc:AlternateContent>
    <mc:AlternateContent xmlns:mc="http://schemas.openxmlformats.org/markup-compatibility/2006">
      <mc:Choice Requires="x14">
        <oleObject shapeId="8195" progId="Equation.DSMT4" r:id="rId7">
          <objectPr defaultSize="0" r:id="rId8">
            <anchor moveWithCells="1">
              <from>
                <xdr:col>45</xdr:col>
                <xdr:colOff>107950</xdr:colOff>
                <xdr:row>1</xdr:row>
                <xdr:rowOff>27305</xdr:rowOff>
              </from>
              <to>
                <xdr:col>45</xdr:col>
                <xdr:colOff>1015365</xdr:colOff>
                <xdr:row>2</xdr:row>
                <xdr:rowOff>7620</xdr:rowOff>
              </to>
            </anchor>
          </objectPr>
        </oleObject>
      </mc:Choice>
      <mc:Fallback>
        <oleObject shapeId="8195" progId="Equation.DSMT4" r:id="rId7"/>
      </mc:Fallback>
    </mc:AlternateContent>
    <mc:AlternateContent xmlns:mc="http://schemas.openxmlformats.org/markup-compatibility/2006">
      <mc:Choice Requires="x14">
        <oleObject shapeId="8196" progId="Equation.DSMT4" r:id="rId9">
          <objectPr defaultSize="0" r:id="rId10">
            <anchor moveWithCells="1">
              <from>
                <xdr:col>46</xdr:col>
                <xdr:colOff>79375</xdr:colOff>
                <xdr:row>1</xdr:row>
                <xdr:rowOff>30480</xdr:rowOff>
              </from>
              <to>
                <xdr:col>46</xdr:col>
                <xdr:colOff>1061085</xdr:colOff>
                <xdr:row>1</xdr:row>
                <xdr:rowOff>588010</xdr:rowOff>
              </to>
            </anchor>
          </objectPr>
        </oleObject>
      </mc:Choice>
      <mc:Fallback>
        <oleObject shapeId="8196" progId="Equation.DSMT4" r:id="rId9"/>
      </mc:Fallback>
    </mc:AlternateContent>
    <mc:AlternateContent xmlns:mc="http://schemas.openxmlformats.org/markup-compatibility/2006">
      <mc:Choice Requires="x14">
        <oleObject shapeId="8197" progId="Equation.DSMT4" r:id="rId11">
          <objectPr defaultSize="0" r:id="rId12">
            <anchor moveWithCells="1">
              <from>
                <xdr:col>47</xdr:col>
                <xdr:colOff>99060</xdr:colOff>
                <xdr:row>1</xdr:row>
                <xdr:rowOff>15240</xdr:rowOff>
              </from>
              <to>
                <xdr:col>47</xdr:col>
                <xdr:colOff>1078230</xdr:colOff>
                <xdr:row>1</xdr:row>
                <xdr:rowOff>605155</xdr:rowOff>
              </to>
            </anchor>
          </objectPr>
        </oleObject>
      </mc:Choice>
      <mc:Fallback>
        <oleObject shapeId="8197" progId="Equation.DSMT4" r:id="rId11"/>
      </mc:Fallback>
    </mc:AlternateContent>
    <mc:AlternateContent xmlns:mc="http://schemas.openxmlformats.org/markup-compatibility/2006">
      <mc:Choice Requires="x14">
        <oleObject shapeId="8198" progId="Equation.DSMT4" r:id="rId13">
          <objectPr defaultSize="0" r:id="rId14">
            <anchor moveWithCells="1">
              <from>
                <xdr:col>55</xdr:col>
                <xdr:colOff>35560</xdr:colOff>
                <xdr:row>1</xdr:row>
                <xdr:rowOff>26035</xdr:rowOff>
              </from>
              <to>
                <xdr:col>55</xdr:col>
                <xdr:colOff>1093470</xdr:colOff>
                <xdr:row>1</xdr:row>
                <xdr:rowOff>625475</xdr:rowOff>
              </to>
            </anchor>
          </objectPr>
        </oleObject>
      </mc:Choice>
      <mc:Fallback>
        <oleObject shapeId="8198" progId="Equation.DSMT4" r:id="rId13"/>
      </mc:Fallback>
    </mc:AlternateContent>
    <mc:AlternateContent xmlns:mc="http://schemas.openxmlformats.org/markup-compatibility/2006">
      <mc:Choice Requires="x14">
        <oleObject shapeId="8199" progId="Equation.DSMT4" r:id="rId15">
          <objectPr defaultSize="0" r:id="rId16">
            <anchor moveWithCells="1">
              <from>
                <xdr:col>67</xdr:col>
                <xdr:colOff>136525</xdr:colOff>
                <xdr:row>1</xdr:row>
                <xdr:rowOff>490855</xdr:rowOff>
              </from>
              <to>
                <xdr:col>68</xdr:col>
                <xdr:colOff>566420</xdr:colOff>
                <xdr:row>2</xdr:row>
                <xdr:rowOff>86360</xdr:rowOff>
              </to>
            </anchor>
          </objectPr>
        </oleObject>
      </mc:Choice>
      <mc:Fallback>
        <oleObject shapeId="8199" progId="Equation.DSMT4" r:id="rId15"/>
      </mc:Fallback>
    </mc:AlternateContent>
    <mc:AlternateContent xmlns:mc="http://schemas.openxmlformats.org/markup-compatibility/2006">
      <mc:Choice Requires="x14">
        <oleObject shapeId="8201" progId="Equation.DSMT4" r:id="rId17">
          <objectPr defaultSize="0" r:id="rId18">
            <anchor moveWithCells="1">
              <from>
                <xdr:col>57</xdr:col>
                <xdr:colOff>97790</xdr:colOff>
                <xdr:row>1</xdr:row>
                <xdr:rowOff>24130</xdr:rowOff>
              </from>
              <to>
                <xdr:col>57</xdr:col>
                <xdr:colOff>1045845</xdr:colOff>
                <xdr:row>1</xdr:row>
                <xdr:rowOff>561340</xdr:rowOff>
              </to>
            </anchor>
          </objectPr>
        </oleObject>
      </mc:Choice>
      <mc:Fallback>
        <oleObject shapeId="8201" progId="Equation.DSMT4" r:id="rId17"/>
      </mc:Fallback>
    </mc:AlternateContent>
    <mc:AlternateContent xmlns:mc="http://schemas.openxmlformats.org/markup-compatibility/2006">
      <mc:Choice Requires="x14">
        <oleObject shapeId="8202" progId="Equation.DSMT4" r:id="rId19">
          <objectPr defaultSize="0" r:id="rId20">
            <anchor moveWithCells="1">
              <from>
                <xdr:col>43</xdr:col>
                <xdr:colOff>139065</xdr:colOff>
                <xdr:row>1</xdr:row>
                <xdr:rowOff>13335</xdr:rowOff>
              </from>
              <to>
                <xdr:col>43</xdr:col>
                <xdr:colOff>993140</xdr:colOff>
                <xdr:row>2</xdr:row>
                <xdr:rowOff>2540</xdr:rowOff>
              </to>
            </anchor>
          </objectPr>
        </oleObject>
      </mc:Choice>
      <mc:Fallback>
        <oleObject shapeId="8202" progId="Equation.DSMT4" r:id="rId19"/>
      </mc:Fallback>
    </mc:AlternateContent>
    <mc:AlternateContent xmlns:mc="http://schemas.openxmlformats.org/markup-compatibility/2006">
      <mc:Choice Requires="x14">
        <oleObject shapeId="8203" progId="Equation.DSMT4" r:id="rId21">
          <objectPr defaultSize="0" r:id="rId22">
            <anchor moveWithCells="1">
              <from>
                <xdr:col>44</xdr:col>
                <xdr:colOff>26035</xdr:colOff>
                <xdr:row>1</xdr:row>
                <xdr:rowOff>19050</xdr:rowOff>
              </from>
              <to>
                <xdr:col>44</xdr:col>
                <xdr:colOff>1143635</xdr:colOff>
                <xdr:row>1</xdr:row>
                <xdr:rowOff>598170</xdr:rowOff>
              </to>
            </anchor>
          </objectPr>
        </oleObject>
      </mc:Choice>
      <mc:Fallback>
        <oleObject shapeId="8203" progId="Equation.DSMT4" r:id="rId21"/>
      </mc:Fallback>
    </mc:AlternateContent>
    <mc:AlternateContent xmlns:mc="http://schemas.openxmlformats.org/markup-compatibility/2006">
      <mc:Choice Requires="x14">
        <oleObject shapeId="8204" progId="Equation.DSMT4" r:id="rId23">
          <objectPr defaultSize="0" r:id="rId24">
            <anchor moveWithCells="1">
              <from>
                <xdr:col>54</xdr:col>
                <xdr:colOff>68580</xdr:colOff>
                <xdr:row>1</xdr:row>
                <xdr:rowOff>15240</xdr:rowOff>
              </from>
              <to>
                <xdr:col>54</xdr:col>
                <xdr:colOff>1049020</xdr:colOff>
                <xdr:row>1</xdr:row>
                <xdr:rowOff>626745</xdr:rowOff>
              </to>
            </anchor>
          </objectPr>
        </oleObject>
      </mc:Choice>
      <mc:Fallback>
        <oleObject shapeId="8204" progId="Equation.DSMT4" r:id="rId23"/>
      </mc:Fallback>
    </mc:AlternateContent>
    <mc:AlternateContent xmlns:mc="http://schemas.openxmlformats.org/markup-compatibility/2006">
      <mc:Choice Requires="x14">
        <oleObject shapeId="8205" progId="Equation.DSMT4" r:id="rId25">
          <objectPr defaultSize="0" r:id="rId26">
            <anchor moveWithCells="1">
              <from>
                <xdr:col>61</xdr:col>
                <xdr:colOff>158750</xdr:colOff>
                <xdr:row>1</xdr:row>
                <xdr:rowOff>15240</xdr:rowOff>
              </from>
              <to>
                <xdr:col>61</xdr:col>
                <xdr:colOff>1077595</xdr:colOff>
                <xdr:row>1</xdr:row>
                <xdr:rowOff>614680</xdr:rowOff>
              </to>
            </anchor>
          </objectPr>
        </oleObject>
      </mc:Choice>
      <mc:Fallback>
        <oleObject shapeId="8205" progId="Equation.DSMT4" r:id="rId25"/>
      </mc:Fallback>
    </mc:AlternateContent>
    <mc:AlternateContent xmlns:mc="http://schemas.openxmlformats.org/markup-compatibility/2006">
      <mc:Choice Requires="x14">
        <oleObject shapeId="8206" progId="Equation.DSMT4" r:id="rId27">
          <objectPr defaultSize="0" r:id="rId28">
            <anchor moveWithCells="1">
              <from>
                <xdr:col>62</xdr:col>
                <xdr:colOff>41910</xdr:colOff>
                <xdr:row>1</xdr:row>
                <xdr:rowOff>41275</xdr:rowOff>
              </from>
              <to>
                <xdr:col>62</xdr:col>
                <xdr:colOff>1116965</xdr:colOff>
                <xdr:row>1</xdr:row>
                <xdr:rowOff>607695</xdr:rowOff>
              </to>
            </anchor>
          </objectPr>
        </oleObject>
      </mc:Choice>
      <mc:Fallback>
        <oleObject shapeId="8206" progId="Equation.DSMT4" r:id="rId27"/>
      </mc:Fallback>
    </mc:AlternateContent>
    <mc:AlternateContent xmlns:mc="http://schemas.openxmlformats.org/markup-compatibility/2006">
      <mc:Choice Requires="x14">
        <oleObject shapeId="8207" progId="Equation.DSMT4" r:id="rId29">
          <objectPr defaultSize="0" r:id="rId30">
            <anchor moveWithCells="1">
              <from>
                <xdr:col>52</xdr:col>
                <xdr:colOff>157480</xdr:colOff>
                <xdr:row>1</xdr:row>
                <xdr:rowOff>34290</xdr:rowOff>
              </from>
              <to>
                <xdr:col>52</xdr:col>
                <xdr:colOff>1357630</xdr:colOff>
                <xdr:row>1</xdr:row>
                <xdr:rowOff>600710</xdr:rowOff>
              </to>
            </anchor>
          </objectPr>
        </oleObject>
      </mc:Choice>
      <mc:Fallback>
        <oleObject shapeId="8207" progId="Equation.DSMT4" r:id="rId29"/>
      </mc:Fallback>
    </mc:AlternateContent>
    <mc:AlternateContent xmlns:mc="http://schemas.openxmlformats.org/markup-compatibility/2006">
      <mc:Choice Requires="x14">
        <oleObject shapeId="8208" progId="Equation.DSMT4" r:id="rId31">
          <objectPr defaultSize="0" r:id="rId32">
            <anchor moveWithCells="1">
              <from>
                <xdr:col>53</xdr:col>
                <xdr:colOff>287020</xdr:colOff>
                <xdr:row>1</xdr:row>
                <xdr:rowOff>3810</xdr:rowOff>
              </from>
              <to>
                <xdr:col>53</xdr:col>
                <xdr:colOff>1113155</xdr:colOff>
                <xdr:row>1</xdr:row>
                <xdr:rowOff>620395</xdr:rowOff>
              </to>
            </anchor>
          </objectPr>
        </oleObject>
      </mc:Choice>
      <mc:Fallback>
        <oleObject shapeId="8208" progId="Equation.DSMT4" r:id="rId31"/>
      </mc:Fallback>
    </mc:AlternateContent>
    <mc:AlternateContent xmlns:mc="http://schemas.openxmlformats.org/markup-compatibility/2006">
      <mc:Choice Requires="x14">
        <oleObject shapeId="8209" progId="Equation.DSMT4" r:id="rId33">
          <objectPr defaultSize="0" r:id="rId34">
            <anchor moveWithCells="1">
              <from>
                <xdr:col>41</xdr:col>
                <xdr:colOff>64135</xdr:colOff>
                <xdr:row>1</xdr:row>
                <xdr:rowOff>15240</xdr:rowOff>
              </from>
              <to>
                <xdr:col>41</xdr:col>
                <xdr:colOff>1054100</xdr:colOff>
                <xdr:row>1</xdr:row>
                <xdr:rowOff>594360</xdr:rowOff>
              </to>
            </anchor>
          </objectPr>
        </oleObject>
      </mc:Choice>
      <mc:Fallback>
        <oleObject shapeId="8209" progId="Equation.DSMT4" r:id="rId33"/>
      </mc:Fallback>
    </mc:AlternateContent>
    <mc:AlternateContent xmlns:mc="http://schemas.openxmlformats.org/markup-compatibility/2006">
      <mc:Choice Requires="x14">
        <oleObject shapeId="8210" progId="Equation.DSMT4" r:id="rId35">
          <objectPr defaultSize="0" r:id="rId36">
            <anchor moveWithCells="1">
              <from>
                <xdr:col>42</xdr:col>
                <xdr:colOff>78105</xdr:colOff>
                <xdr:row>1</xdr:row>
                <xdr:rowOff>14605</xdr:rowOff>
              </from>
              <to>
                <xdr:col>42</xdr:col>
                <xdr:colOff>1626235</xdr:colOff>
                <xdr:row>2</xdr:row>
                <xdr:rowOff>27305</xdr:rowOff>
              </to>
            </anchor>
          </objectPr>
        </oleObject>
      </mc:Choice>
      <mc:Fallback>
        <oleObject shapeId="8210" progId="Equation.DSMT4" r:id="rId35"/>
      </mc:Fallback>
    </mc:AlternateContent>
    <mc:AlternateContent xmlns:mc="http://schemas.openxmlformats.org/markup-compatibility/2006">
      <mc:Choice Requires="x14">
        <oleObject shapeId="8211" progId="Equation.DSMT4" r:id="rId37">
          <objectPr defaultSize="0" r:id="rId38">
            <anchor moveWithCells="1">
              <from>
                <xdr:col>63</xdr:col>
                <xdr:colOff>25400</xdr:colOff>
                <xdr:row>1</xdr:row>
                <xdr:rowOff>146050</xdr:rowOff>
              </from>
              <to>
                <xdr:col>63</xdr:col>
                <xdr:colOff>1148715</xdr:colOff>
                <xdr:row>1</xdr:row>
                <xdr:rowOff>533400</xdr:rowOff>
              </to>
            </anchor>
          </objectPr>
        </oleObject>
      </mc:Choice>
      <mc:Fallback>
        <oleObject shapeId="8211" progId="Equation.DSMT4" r:id="rId37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zoomScale="190" zoomScaleNormal="190" workbookViewId="0">
      <selection activeCell="G12" sqref="G12"/>
    </sheetView>
  </sheetViews>
  <sheetFormatPr defaultColWidth="8.88888888888889" defaultRowHeight="14.4"/>
  <cols>
    <col min="1" max="1" width="19.7777777777778" customWidth="1"/>
    <col min="2" max="2" width="18.5555555555556" customWidth="1"/>
    <col min="4" max="6" width="8.77777777777778" customWidth="1"/>
    <col min="7" max="7" width="28.0740740740741" customWidth="1"/>
    <col min="8" max="10" width="12.7777777777778" style="20" customWidth="1"/>
  </cols>
  <sheetData>
    <row r="1" spans="1:10">
      <c r="A1" s="1" t="s">
        <v>225</v>
      </c>
      <c r="B1" s="1" t="s">
        <v>226</v>
      </c>
      <c r="D1" s="21" t="s">
        <v>227</v>
      </c>
      <c r="E1" s="1" t="s">
        <v>228</v>
      </c>
      <c r="F1" s="1" t="s">
        <v>229</v>
      </c>
      <c r="G1" s="21" t="s">
        <v>230</v>
      </c>
      <c r="H1" s="1" t="s">
        <v>231</v>
      </c>
      <c r="I1" s="1" t="s">
        <v>232</v>
      </c>
      <c r="J1" s="1" t="s">
        <v>233</v>
      </c>
    </row>
    <row r="2" spans="1:10">
      <c r="A2" s="1">
        <v>1</v>
      </c>
      <c r="B2" s="1">
        <v>1.13</v>
      </c>
      <c r="D2" s="1">
        <v>0.1</v>
      </c>
      <c r="E2" s="1">
        <v>-0.082324</v>
      </c>
      <c r="F2" s="1">
        <v>0.0001751</v>
      </c>
      <c r="G2" s="1">
        <f>E2*D2+F2*D2^2</f>
        <v>-0.008230649</v>
      </c>
      <c r="H2" s="1">
        <v>-0.0779</v>
      </c>
      <c r="I2" s="1">
        <v>-0.0835</v>
      </c>
      <c r="J2" s="1">
        <f>H2*0.21+I2*0.79</f>
        <v>-0.082324</v>
      </c>
    </row>
    <row r="3" spans="1:10">
      <c r="A3" s="1">
        <v>2</v>
      </c>
      <c r="B3" s="1">
        <v>1.15</v>
      </c>
      <c r="D3" s="1">
        <v>0.2</v>
      </c>
      <c r="E3" s="1">
        <v>-0.082324</v>
      </c>
      <c r="F3" s="1">
        <v>0.0001751</v>
      </c>
      <c r="G3" s="1">
        <f t="shared" ref="G3:G11" si="0">E3*D3+F3*D3^2</f>
        <v>-0.016457796</v>
      </c>
      <c r="H3" s="1">
        <v>0.000104</v>
      </c>
      <c r="I3" s="1">
        <v>0.000194</v>
      </c>
      <c r="J3" s="1">
        <f>H3*0.21+I3*0.79</f>
        <v>0.0001751</v>
      </c>
    </row>
    <row r="4" spans="1:10">
      <c r="A4" s="1">
        <v>3</v>
      </c>
      <c r="B4" s="1">
        <v>1.16</v>
      </c>
      <c r="D4" s="1">
        <v>0.3</v>
      </c>
      <c r="E4" s="1">
        <v>-0.082324</v>
      </c>
      <c r="F4" s="1">
        <v>0.0001751</v>
      </c>
      <c r="G4" s="1">
        <f t="shared" si="0"/>
        <v>-0.024681441</v>
      </c>
    </row>
    <row r="5" spans="1:10">
      <c r="A5" s="1">
        <v>4</v>
      </c>
      <c r="B5" s="1">
        <v>1.09</v>
      </c>
      <c r="D5" s="1">
        <v>0.4</v>
      </c>
      <c r="E5" s="1">
        <v>-0.082324</v>
      </c>
      <c r="F5" s="1">
        <v>0.0001751</v>
      </c>
      <c r="G5" s="1">
        <f t="shared" si="0"/>
        <v>-0.032901584</v>
      </c>
    </row>
    <row r="6" spans="1:10">
      <c r="A6" s="1">
        <v>5</v>
      </c>
      <c r="B6" s="1">
        <v>1.07</v>
      </c>
      <c r="D6" s="1">
        <v>0.5</v>
      </c>
      <c r="E6" s="1">
        <v>-0.082324</v>
      </c>
      <c r="F6" s="1">
        <v>0.0001751</v>
      </c>
      <c r="G6" s="1">
        <f t="shared" si="0"/>
        <v>-0.041118225</v>
      </c>
    </row>
    <row r="7" spans="1:10">
      <c r="A7" s="1">
        <v>6</v>
      </c>
      <c r="B7" s="1">
        <v>1.05</v>
      </c>
      <c r="D7" s="1">
        <v>0.6</v>
      </c>
      <c r="E7" s="1">
        <v>-0.082324</v>
      </c>
      <c r="F7" s="1">
        <v>0.0001751</v>
      </c>
      <c r="G7" s="1">
        <f t="shared" si="0"/>
        <v>-0.049331364</v>
      </c>
    </row>
    <row r="8" spans="1:10">
      <c r="A8" s="1">
        <v>7</v>
      </c>
      <c r="B8" s="1">
        <v>1.18</v>
      </c>
      <c r="D8" s="1">
        <v>0.7</v>
      </c>
      <c r="E8" s="1">
        <v>-0.082324</v>
      </c>
      <c r="F8" s="1">
        <v>0.0001751</v>
      </c>
      <c r="G8" s="1">
        <f t="shared" si="0"/>
        <v>-0.057541001</v>
      </c>
    </row>
    <row r="9" spans="1:10">
      <c r="A9" s="1">
        <v>8</v>
      </c>
      <c r="B9" s="1">
        <v>1.19</v>
      </c>
      <c r="D9" s="1">
        <v>0.8</v>
      </c>
      <c r="E9" s="1">
        <v>-0.082324</v>
      </c>
      <c r="F9" s="1">
        <v>0.0001751</v>
      </c>
      <c r="G9" s="1">
        <f t="shared" si="0"/>
        <v>-0.065747136</v>
      </c>
    </row>
    <row r="10" spans="1:10">
      <c r="A10" s="1">
        <v>9</v>
      </c>
      <c r="B10" s="1">
        <v>1.21</v>
      </c>
      <c r="D10" s="1">
        <v>0.9</v>
      </c>
      <c r="E10" s="1">
        <v>-0.082324</v>
      </c>
      <c r="F10" s="1">
        <v>0.0001751</v>
      </c>
      <c r="G10" s="1">
        <f t="shared" si="0"/>
        <v>-0.073949769</v>
      </c>
    </row>
    <row r="11" spans="1:10">
      <c r="A11" s="1">
        <v>10</v>
      </c>
      <c r="B11" s="1">
        <v>1.24</v>
      </c>
      <c r="D11" s="1">
        <v>1</v>
      </c>
      <c r="E11" s="1">
        <v>-0.082324</v>
      </c>
      <c r="F11" s="1">
        <v>0.0001751</v>
      </c>
      <c r="G11" s="1">
        <f t="shared" si="0"/>
        <v>-0.0821489</v>
      </c>
    </row>
    <row r="12" spans="1:10">
      <c r="A12" s="1" t="s">
        <v>234</v>
      </c>
      <c r="B12" s="1">
        <f>AVERAGE(B2:B11)</f>
        <v>1.147</v>
      </c>
      <c r="D12" s="1"/>
      <c r="E12" s="1"/>
      <c r="F12" s="1"/>
      <c r="G12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workbookViewId="0">
      <selection activeCell="J8" sqref="J8"/>
    </sheetView>
  </sheetViews>
  <sheetFormatPr defaultColWidth="8.88888888888889" defaultRowHeight="14.4"/>
  <cols>
    <col min="1" max="1" width="15.7777777777778" customWidth="1"/>
    <col min="2" max="2" width="22.7777777777778" customWidth="1"/>
    <col min="3" max="4" width="15.7777777777778" customWidth="1"/>
    <col min="5" max="5" width="21.7777777777778" customWidth="1"/>
    <col min="6" max="7" width="16.7777777777778" hidden="1" customWidth="1"/>
    <col min="8" max="8" width="16.7777777777778" customWidth="1"/>
    <col min="9" max="9" width="20.7777777777778" customWidth="1"/>
    <col min="10" max="10" width="15.7777777777778" customWidth="1"/>
    <col min="11" max="22" width="8.77777777777778" hidden="1" customWidth="1"/>
    <col min="23" max="23" width="15.7777777777778" customWidth="1"/>
    <col min="24" max="24" width="25.7777777777778" customWidth="1"/>
    <col min="25" max="25" width="40.7777777777778" customWidth="1"/>
  </cols>
  <sheetData>
    <row r="1" ht="24" customHeight="1" spans="1:25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2" t="s">
        <v>242</v>
      </c>
      <c r="I1" s="2" t="s">
        <v>243</v>
      </c>
      <c r="J1" s="3" t="s">
        <v>244</v>
      </c>
      <c r="K1" s="4" t="s">
        <v>245</v>
      </c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7" t="s">
        <v>246</v>
      </c>
      <c r="X1" s="7" t="s">
        <v>247</v>
      </c>
      <c r="Y1" s="1" t="s">
        <v>248</v>
      </c>
    </row>
    <row r="2" ht="24" customHeight="1" spans="1:25">
      <c r="A2" s="1">
        <v>25</v>
      </c>
      <c r="B2" s="1" t="s">
        <v>249</v>
      </c>
      <c r="C2" s="1">
        <v>20220705</v>
      </c>
      <c r="D2" s="8" t="s">
        <v>201</v>
      </c>
      <c r="E2" s="1">
        <v>11.95261</v>
      </c>
      <c r="F2" s="9">
        <f>545/45</f>
        <v>12.1111111111111</v>
      </c>
      <c r="G2" s="9">
        <f>(E2-F2)/F2</f>
        <v>-0.013087247706422</v>
      </c>
      <c r="H2" s="10">
        <v>1.18207714490075</v>
      </c>
      <c r="I2" s="10">
        <v>0.428729248751949</v>
      </c>
      <c r="J2" s="3">
        <v>1</v>
      </c>
      <c r="K2" s="11">
        <v>6.24</v>
      </c>
      <c r="L2" s="12">
        <v>6.75</v>
      </c>
      <c r="M2" s="11">
        <v>6.5</v>
      </c>
      <c r="N2" s="11">
        <v>6.5</v>
      </c>
      <c r="O2" s="13"/>
      <c r="P2" s="13"/>
      <c r="Q2" s="13"/>
      <c r="R2" s="13"/>
      <c r="S2" s="13"/>
      <c r="T2" s="13"/>
      <c r="U2" s="13"/>
      <c r="V2" s="13"/>
      <c r="W2" s="14">
        <f>PI()*((AVERAGE(K2:R2)/E2)^3)/(6*4*PI()*H2^2)*1000</f>
        <v>4.79013479040099</v>
      </c>
      <c r="X2" s="14">
        <f>W2/H2</f>
        <v>4.05230302528451</v>
      </c>
      <c r="Y2" s="1" t="s">
        <v>250</v>
      </c>
    </row>
    <row r="3" ht="24" customHeight="1" spans="1:25">
      <c r="A3" s="1">
        <v>27</v>
      </c>
      <c r="B3" s="1" t="s">
        <v>251</v>
      </c>
      <c r="C3" s="1">
        <v>20220705</v>
      </c>
      <c r="D3" s="8" t="s">
        <v>201</v>
      </c>
      <c r="E3" s="1">
        <v>11.95261</v>
      </c>
      <c r="F3" s="9"/>
      <c r="G3" s="9"/>
      <c r="H3" s="10">
        <v>1.16632159265942</v>
      </c>
      <c r="I3" s="10">
        <v>0.444544126461706</v>
      </c>
      <c r="J3" s="3">
        <v>1</v>
      </c>
      <c r="K3" s="11">
        <v>2.5</v>
      </c>
      <c r="L3" s="12">
        <v>2.44</v>
      </c>
      <c r="M3" s="15">
        <v>4.94</v>
      </c>
      <c r="N3" s="15">
        <f>2.56*2</f>
        <v>5.12</v>
      </c>
      <c r="O3" s="11">
        <v>3.94</v>
      </c>
      <c r="P3" s="11">
        <v>4.06</v>
      </c>
      <c r="Q3" s="13"/>
      <c r="R3" s="13"/>
      <c r="S3" s="13"/>
      <c r="T3" s="13"/>
      <c r="U3" s="13"/>
      <c r="V3" s="13"/>
      <c r="W3" s="14">
        <f>PI()*((AVERAGE(M3:N3)/E3)^3+(AVERAGE(O3:P3)/E3)^3+(AVERAGE(K3:L3)/E3)^3)/(6*4*PI()*H3^2)*1000</f>
        <v>3.70111044569165</v>
      </c>
      <c r="X3" s="14">
        <f t="shared" ref="X3:X11" si="0">W3/H3</f>
        <v>3.17331897907545</v>
      </c>
      <c r="Y3" s="1"/>
    </row>
    <row r="4" ht="24" customHeight="1" spans="1:25">
      <c r="A4" s="1">
        <v>29</v>
      </c>
      <c r="B4" s="1" t="s">
        <v>252</v>
      </c>
      <c r="C4" s="1">
        <v>20220705</v>
      </c>
      <c r="D4" s="8" t="s">
        <v>201</v>
      </c>
      <c r="E4" s="1">
        <v>11.95261</v>
      </c>
      <c r="F4" s="1"/>
      <c r="G4" s="9"/>
      <c r="H4" s="10">
        <v>1.19984002384025</v>
      </c>
      <c r="I4" s="10">
        <v>0.44361056425456</v>
      </c>
      <c r="J4" s="3">
        <v>1</v>
      </c>
      <c r="K4" s="12">
        <v>4.75</v>
      </c>
      <c r="L4" s="12">
        <v>3.25</v>
      </c>
      <c r="M4" s="1">
        <v>2.62</v>
      </c>
      <c r="N4" s="13">
        <v>3</v>
      </c>
      <c r="O4" s="11">
        <v>0.88</v>
      </c>
      <c r="P4" s="11">
        <v>1.3</v>
      </c>
      <c r="Q4" s="13">
        <v>0.75</v>
      </c>
      <c r="R4" s="13">
        <v>1.25</v>
      </c>
      <c r="S4" s="12">
        <v>2.56</v>
      </c>
      <c r="T4" s="12">
        <v>3.38</v>
      </c>
      <c r="U4" s="16">
        <v>4.25</v>
      </c>
      <c r="V4" s="17">
        <f>2.56*2</f>
        <v>5.12</v>
      </c>
      <c r="W4" s="18">
        <f>PI()*((AVERAGE(M4:N4)/E4)^3+(AVERAGE(O4:P4)/E4)^3+(AVERAGE(Q4:R4)/E4)^3+(AVERAGE(U4:V4)/E4)^3+(AVERAGE(S4:T4)/E4)^3+(AVERAGE(K4:L4)/E4)^3)/(6*4*PI()*H4^2)*1000</f>
        <v>3.68671497179222</v>
      </c>
      <c r="X4" s="14">
        <f t="shared" si="0"/>
        <v>3.07267210506313</v>
      </c>
      <c r="Y4" s="1" t="s">
        <v>253</v>
      </c>
    </row>
    <row r="5" ht="24" customHeight="1" spans="1:25">
      <c r="A5" s="1">
        <v>30</v>
      </c>
      <c r="B5" s="1" t="s">
        <v>254</v>
      </c>
      <c r="C5" s="1">
        <v>20220705</v>
      </c>
      <c r="D5" s="8" t="s">
        <v>201</v>
      </c>
      <c r="E5" s="1">
        <v>11.95261</v>
      </c>
      <c r="F5" s="1"/>
      <c r="G5" s="9"/>
      <c r="H5" s="10">
        <v>1.15587692288015</v>
      </c>
      <c r="I5" s="10">
        <v>0.443348194180834</v>
      </c>
      <c r="J5" s="3">
        <v>1</v>
      </c>
      <c r="K5" s="12">
        <v>6.88</v>
      </c>
      <c r="L5" s="12">
        <f>2.62*2</f>
        <v>5.24</v>
      </c>
      <c r="M5" s="12">
        <v>6.71</v>
      </c>
      <c r="N5" s="12">
        <f>2.75*2</f>
        <v>5.5</v>
      </c>
      <c r="O5" s="1">
        <v>3.25</v>
      </c>
      <c r="P5" s="1">
        <v>3.21</v>
      </c>
      <c r="Q5" s="1">
        <v>2.88</v>
      </c>
      <c r="R5" s="1">
        <v>2.88</v>
      </c>
      <c r="S5" s="1"/>
      <c r="T5" s="1"/>
      <c r="U5" s="1"/>
      <c r="V5" s="1"/>
      <c r="W5" s="18">
        <f>PI()*((AVERAGE(O5:R5)/E5)^3+(AVERAGE(K5:N5)/E5)^3)/(6*4*PI()*H5^2)*1000</f>
        <v>4.63055633465613</v>
      </c>
      <c r="X5" s="14">
        <f t="shared" si="0"/>
        <v>4.00609809141095</v>
      </c>
      <c r="Y5" s="1"/>
    </row>
    <row r="6" ht="24" customHeight="1" spans="1:25">
      <c r="A6" s="1" t="s">
        <v>255</v>
      </c>
      <c r="B6" s="1" t="s">
        <v>256</v>
      </c>
      <c r="C6" s="1">
        <v>20230427</v>
      </c>
      <c r="D6" s="8" t="s">
        <v>201</v>
      </c>
      <c r="E6" s="1">
        <v>5.3843</v>
      </c>
      <c r="F6" s="1"/>
      <c r="G6" s="9"/>
      <c r="H6" s="10">
        <f>SQRT(22.21*13.96)/(2*E6)</f>
        <v>1.6351505434522</v>
      </c>
      <c r="I6" s="10" t="s">
        <v>257</v>
      </c>
      <c r="J6" s="3">
        <v>0.6</v>
      </c>
      <c r="K6" s="12">
        <v>3.83</v>
      </c>
      <c r="L6" s="12">
        <v>3.04</v>
      </c>
      <c r="M6" s="12">
        <v>4.25</v>
      </c>
      <c r="N6" s="12">
        <v>3</v>
      </c>
      <c r="O6" s="1"/>
      <c r="P6" s="1"/>
      <c r="Q6" s="1"/>
      <c r="R6" s="1"/>
      <c r="S6" s="1"/>
      <c r="T6" s="1"/>
      <c r="U6" s="1"/>
      <c r="V6" s="1"/>
      <c r="W6" s="18">
        <f>PI()*((AVERAGE(K6:N6)/E6)^3)/(6*4*PI()*H6^2)*1000</f>
        <v>4.39146715842278</v>
      </c>
      <c r="X6" s="14">
        <f t="shared" si="0"/>
        <v>2.685665351125</v>
      </c>
      <c r="Y6" s="1" t="s">
        <v>258</v>
      </c>
    </row>
    <row r="7" ht="24" customHeight="1" spans="1:25">
      <c r="A7" s="1" t="s">
        <v>259</v>
      </c>
      <c r="B7" s="1" t="s">
        <v>260</v>
      </c>
      <c r="C7" s="1">
        <v>20230428</v>
      </c>
      <c r="D7" s="19" t="s">
        <v>261</v>
      </c>
      <c r="E7" s="1">
        <v>5.3843</v>
      </c>
      <c r="F7" s="1"/>
      <c r="G7" s="9"/>
      <c r="H7" s="10">
        <v>2.12299206931222</v>
      </c>
      <c r="I7" s="10">
        <v>0.353762708867561</v>
      </c>
      <c r="J7" s="3">
        <v>0.6</v>
      </c>
      <c r="K7" s="12">
        <v>3.42</v>
      </c>
      <c r="L7" s="12">
        <v>2.63</v>
      </c>
      <c r="M7" s="12">
        <v>3.44</v>
      </c>
      <c r="N7" s="12">
        <v>2.25</v>
      </c>
      <c r="O7" s="1">
        <v>2.06</v>
      </c>
      <c r="P7" s="1">
        <v>2.3</v>
      </c>
      <c r="Q7" s="1">
        <v>2.51</v>
      </c>
      <c r="R7" s="1">
        <v>1.88</v>
      </c>
      <c r="S7" s="1"/>
      <c r="T7" s="1"/>
      <c r="U7" s="1"/>
      <c r="V7" s="1"/>
      <c r="W7" s="18">
        <f>PI()*((AVERAGE(O7:R7)/E7)^3+(AVERAGE(K7:N7)/E7)^3)/(6*4*PI()*H7^2)*1000</f>
        <v>2.11730639447143</v>
      </c>
      <c r="X7" s="14">
        <f t="shared" si="0"/>
        <v>0.997321857710644</v>
      </c>
      <c r="Y7" s="1"/>
    </row>
    <row r="8" ht="24" customHeight="1" spans="1:25">
      <c r="A8" s="1" t="s">
        <v>262</v>
      </c>
      <c r="B8" s="1" t="s">
        <v>263</v>
      </c>
      <c r="C8" s="1">
        <v>20230421</v>
      </c>
      <c r="D8" s="8" t="s">
        <v>201</v>
      </c>
      <c r="E8" s="1">
        <v>5.3843</v>
      </c>
      <c r="F8" s="1"/>
      <c r="G8" s="9"/>
      <c r="H8" s="10">
        <v>2.1778826620679</v>
      </c>
      <c r="I8" s="10">
        <v>0.629568619813418</v>
      </c>
      <c r="J8" s="3">
        <v>0.3</v>
      </c>
      <c r="K8" s="12">
        <v>2.04</v>
      </c>
      <c r="L8" s="12">
        <v>1.58</v>
      </c>
      <c r="M8" s="1">
        <v>0.5</v>
      </c>
      <c r="N8" s="1">
        <v>0.5</v>
      </c>
      <c r="O8" s="12">
        <v>0.5</v>
      </c>
      <c r="P8" s="12">
        <v>0.5</v>
      </c>
      <c r="Q8" s="1">
        <v>2</v>
      </c>
      <c r="R8" s="1">
        <v>1.5</v>
      </c>
      <c r="S8" s="1"/>
      <c r="T8" s="1"/>
      <c r="U8" s="1"/>
      <c r="V8" s="1"/>
      <c r="W8" s="18">
        <f>PI()*((AVERAGE(M8:N8)/E8)^3+(AVERAGE(O8:P8)/E8)^3+(AVERAGE(Q8:R8)/E8)^3+(AVERAGE(K8:L8)/E8)^3)/(6*4*PI()*H8^2)*1000</f>
        <v>0.649388499782296</v>
      </c>
      <c r="X8" s="14">
        <f t="shared" si="0"/>
        <v>0.298174236423601</v>
      </c>
      <c r="Y8" s="1" t="s">
        <v>264</v>
      </c>
    </row>
    <row r="9" ht="24" customHeight="1" spans="1:25">
      <c r="A9" s="1" t="s">
        <v>265</v>
      </c>
      <c r="B9" s="1" t="s">
        <v>266</v>
      </c>
      <c r="C9" s="1">
        <v>20230427</v>
      </c>
      <c r="D9" s="19" t="s">
        <v>261</v>
      </c>
      <c r="E9" s="1">
        <v>5.3843</v>
      </c>
      <c r="F9" s="1"/>
      <c r="G9" s="9"/>
      <c r="H9" s="10">
        <v>2.02938437746</v>
      </c>
      <c r="I9" s="10">
        <v>0.286838292230243</v>
      </c>
      <c r="J9" s="3">
        <v>0.3</v>
      </c>
      <c r="K9" s="12">
        <v>3.04</v>
      </c>
      <c r="L9" s="12">
        <v>3.09</v>
      </c>
      <c r="M9" s="16">
        <v>1</v>
      </c>
      <c r="N9" s="16">
        <v>1</v>
      </c>
      <c r="O9" s="12">
        <v>1.81</v>
      </c>
      <c r="P9" s="12">
        <v>2.06</v>
      </c>
      <c r="Q9" s="1">
        <v>0.5</v>
      </c>
      <c r="R9" s="1">
        <v>0.5</v>
      </c>
      <c r="S9" s="1"/>
      <c r="T9" s="1"/>
      <c r="U9" s="1"/>
      <c r="V9" s="1"/>
      <c r="W9" s="18">
        <f>PI()*((AVERAGE(M9:N9)/E9)^3+(AVERAGE(O9:P9)/E9)^3+(AVERAGE(Q9:R9)/E9)^3+(AVERAGE(K9:L9)/E9)^3)/(6*4*PI()*H9^2)*1000</f>
        <v>2.40872672530747</v>
      </c>
      <c r="X9" s="14">
        <f t="shared" si="0"/>
        <v>1.18692483891211</v>
      </c>
      <c r="Y9" s="1"/>
    </row>
    <row r="10" ht="24" customHeight="1" spans="1:25">
      <c r="A10" s="1" t="s">
        <v>267</v>
      </c>
      <c r="B10" s="1" t="s">
        <v>268</v>
      </c>
      <c r="C10" s="1">
        <v>20230421</v>
      </c>
      <c r="D10" s="8" t="s">
        <v>201</v>
      </c>
      <c r="E10" s="1">
        <v>5.3843</v>
      </c>
      <c r="F10" s="1"/>
      <c r="G10" s="1"/>
      <c r="H10" s="10">
        <v>1.72335672988669</v>
      </c>
      <c r="I10" s="10">
        <v>0.619602770633279</v>
      </c>
      <c r="J10" s="3">
        <v>0.1</v>
      </c>
      <c r="K10" s="12">
        <v>3.06</v>
      </c>
      <c r="L10" s="12">
        <v>3</v>
      </c>
      <c r="M10" s="12">
        <v>2.25</v>
      </c>
      <c r="N10" s="12">
        <v>2.19</v>
      </c>
      <c r="O10" s="1"/>
      <c r="P10" s="1"/>
      <c r="Q10" s="1"/>
      <c r="R10" s="1"/>
      <c r="S10" s="1"/>
      <c r="T10" s="1"/>
      <c r="U10" s="1"/>
      <c r="V10" s="1"/>
      <c r="W10" s="18">
        <f>PI()*((AVERAGE(M10:N10)/E10)^3+(AVERAGE(K10:L10)/E10)^3)/(6*4*PI()*H10^2)*1000</f>
        <v>3.48357499564203</v>
      </c>
      <c r="X10" s="14">
        <f t="shared" si="0"/>
        <v>2.0213893822616</v>
      </c>
      <c r="Y10" s="1"/>
    </row>
    <row r="11" ht="24" customHeight="1" spans="1:25">
      <c r="A11" s="1">
        <v>183</v>
      </c>
      <c r="B11" s="1" t="s">
        <v>269</v>
      </c>
      <c r="C11" s="1">
        <v>20230428</v>
      </c>
      <c r="D11" s="19" t="s">
        <v>261</v>
      </c>
      <c r="E11" s="1">
        <v>5.3843</v>
      </c>
      <c r="F11" s="1">
        <f>300/60</f>
        <v>5</v>
      </c>
      <c r="G11" s="9">
        <f>(E11-F11)/F11</f>
        <v>0.0768599999999999</v>
      </c>
      <c r="H11" s="10">
        <v>2.21867157428169</v>
      </c>
      <c r="I11" s="10">
        <v>0.413690260955138</v>
      </c>
      <c r="J11" s="3">
        <v>0.1</v>
      </c>
      <c r="K11" s="12">
        <v>3.21</v>
      </c>
      <c r="L11" s="12">
        <v>4.08</v>
      </c>
      <c r="M11" s="12">
        <v>3.75</v>
      </c>
      <c r="N11" s="11">
        <v>3.5</v>
      </c>
      <c r="O11" s="1"/>
      <c r="P11" s="1"/>
      <c r="Q11" s="1"/>
      <c r="R11" s="1"/>
      <c r="S11" s="1"/>
      <c r="T11" s="1"/>
      <c r="U11" s="1"/>
      <c r="V11" s="1"/>
      <c r="W11" s="18">
        <f>PI()*((AVERAGE(K11:N11)/E11)^3)/(6*4*PI()*H11^2)*1000</f>
        <v>2.6045231161532</v>
      </c>
      <c r="X11" s="14">
        <f t="shared" si="0"/>
        <v>1.17391106748029</v>
      </c>
      <c r="Y11" s="1"/>
    </row>
    <row r="13" spans="1:25">
      <c r="J13" t="s">
        <v>270</v>
      </c>
    </row>
  </sheetData>
  <mergeCells count="1">
    <mergeCell ref="K1:V1"/>
  </mergeCells>
  <pageMargins left="0.75" right="0.75" top="1" bottom="1" header="0.5" footer="0.5"/>
  <headerFooter/>
  <ignoredErrors>
    <ignoredError sqref="W6" formula="1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  <rangeList sheetStid="5" master="" otherUserPermission="visible"/>
  <rangeList sheetStid="6" master="" otherUserPermission="visible"/>
  <rangeList sheetStid="9" master="" otherUserPermission="visible"/>
  <rangeList sheetStid="10" master="" otherUserPermission="visible"/>
  <rangeList sheetStid="7" master="" otherUserPermission="visible"/>
  <rangeList sheetStid="11" master="" otherUserPermission="visible"/>
  <rangeList sheetStid="13" master="" otherUserPermission="visible"/>
  <rangeList sheetStid="12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Original</vt:lpstr>
      <vt:lpstr>Rearranged</vt:lpstr>
      <vt:lpstr>Regrouped</vt:lpstr>
      <vt:lpstr>新整理20230209</vt:lpstr>
      <vt:lpstr>y-t &amp; v-t 处理表(以46为例)</vt:lpstr>
      <vt:lpstr>降压产率统计</vt:lpstr>
      <vt:lpstr>补充数据20230215-20230725</vt:lpstr>
      <vt:lpstr>总表20230726</vt:lpstr>
      <vt:lpstr>总表删错20231214</vt:lpstr>
      <vt:lpstr>粘度测量</vt:lpstr>
      <vt:lpstr>PE关系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仉振北(2021012490)</cp:lastModifiedBy>
  <dcterms:created xsi:type="dcterms:W3CDTF">2022-07-16T02:43:00Z</dcterms:created>
  <dcterms:modified xsi:type="dcterms:W3CDTF">2026-03-06T02:51:09Z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3ADF28472A274DB28D298A0CE8D0AC68</vt:lpwstr>
  </property>
  <property fmtid="{D5CDD505-2E9C-101B-9397-08002B2CF9AE}" pid="3" name="KSOProductBuildVer">
    <vt:lpwstr>2052-12.1.0.23542</vt:lpwstr>
  </property>
</Properties>
</file>