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https://d.docs.live.net/36e2f61fe0a88984/Machine Learning and HTA PhD (NIKOLAOS TAKATZOGLOU)/Stage 1 - Background information/Ai-assisted SLR/Manuscript Phase/"/>
    </mc:Choice>
  </mc:AlternateContent>
  <xr:revisionPtr revIDLastSave="0" documentId="8_{7BED3C51-68D8-4D39-812B-3934C230685C}" xr6:coauthVersionLast="47" xr6:coauthVersionMax="47" xr10:uidLastSave="{00000000-0000-0000-0000-000000000000}"/>
  <bookViews>
    <workbookView xWindow="2970" yWindow="37425" windowWidth="29145" windowHeight="15585" xr2:uid="{8A5797F6-8045-43B5-8E65-0967FC601DA8}"/>
  </bookViews>
  <sheets>
    <sheet name="Sheet1" sheetId="1" r:id="rId1"/>
  </sheets>
  <definedNames>
    <definedName name="_xlnm._FilterDatabase" localSheetId="0" hidden="1">Sheet1!$A$1:$L$323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F207" i="1"/>
  <c r="G322" i="1" l="1"/>
  <c r="F322" i="1"/>
  <c r="E322" i="1"/>
  <c r="G318" i="1"/>
  <c r="F318" i="1"/>
  <c r="E318" i="1"/>
  <c r="G317" i="1"/>
  <c r="F317" i="1"/>
  <c r="E317" i="1"/>
  <c r="G315" i="1"/>
  <c r="F315" i="1"/>
  <c r="E315" i="1"/>
  <c r="E313" i="1"/>
  <c r="E312" i="1"/>
  <c r="E311" i="1"/>
  <c r="G309" i="1"/>
  <c r="F309" i="1"/>
  <c r="E309" i="1"/>
  <c r="E308" i="1"/>
  <c r="E307" i="1"/>
  <c r="G304" i="1"/>
  <c r="F304" i="1"/>
  <c r="E304" i="1"/>
  <c r="I297" i="1"/>
  <c r="H297" i="1"/>
  <c r="G296" i="1"/>
  <c r="F296" i="1"/>
  <c r="E296" i="1"/>
  <c r="G295" i="1"/>
  <c r="F295" i="1"/>
  <c r="E295" i="1"/>
  <c r="G289" i="1"/>
  <c r="F289" i="1"/>
  <c r="E289" i="1"/>
  <c r="G285" i="1"/>
  <c r="F285" i="1"/>
  <c r="E285" i="1"/>
  <c r="G282" i="1"/>
  <c r="F282" i="1"/>
  <c r="G281" i="1"/>
  <c r="F281" i="1"/>
  <c r="G280" i="1"/>
  <c r="F280" i="1"/>
  <c r="G279" i="1"/>
  <c r="F279" i="1"/>
  <c r="G276" i="1"/>
  <c r="F276" i="1"/>
  <c r="E276" i="1"/>
  <c r="E272" i="1"/>
  <c r="G264" i="1"/>
  <c r="F264" i="1"/>
  <c r="E264" i="1"/>
  <c r="G255" i="1"/>
  <c r="F255" i="1"/>
  <c r="E255" i="1"/>
  <c r="G254" i="1"/>
  <c r="F254" i="1"/>
  <c r="G253" i="1"/>
  <c r="F253" i="1"/>
  <c r="E252" i="1"/>
  <c r="G251" i="1"/>
  <c r="F251" i="1"/>
  <c r="E251" i="1"/>
  <c r="E250" i="1"/>
  <c r="G249" i="1"/>
  <c r="F249" i="1"/>
  <c r="E249" i="1"/>
  <c r="G247" i="1"/>
  <c r="F247" i="1"/>
  <c r="E247" i="1"/>
  <c r="G245" i="1"/>
  <c r="F245" i="1"/>
  <c r="G244" i="1"/>
  <c r="F244" i="1"/>
  <c r="G243" i="1"/>
  <c r="F243" i="1"/>
  <c r="G242" i="1"/>
  <c r="F242" i="1"/>
  <c r="G240" i="1"/>
  <c r="F240" i="1"/>
  <c r="E240" i="1"/>
  <c r="G239" i="1"/>
  <c r="F239" i="1"/>
  <c r="E239" i="1"/>
  <c r="G236" i="1"/>
  <c r="F236" i="1"/>
  <c r="E236" i="1"/>
  <c r="G234" i="1"/>
  <c r="F234" i="1"/>
  <c r="E234" i="1"/>
  <c r="G232" i="1"/>
  <c r="F232" i="1"/>
  <c r="E232" i="1"/>
  <c r="G227" i="1"/>
  <c r="F227" i="1"/>
  <c r="E227" i="1"/>
  <c r="G226" i="1"/>
  <c r="F226" i="1"/>
  <c r="E226" i="1"/>
  <c r="E224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G218" i="1"/>
  <c r="F218" i="1"/>
  <c r="G217" i="1"/>
  <c r="F217" i="1"/>
  <c r="G216" i="1"/>
  <c r="F216" i="1"/>
  <c r="G214" i="1"/>
  <c r="F214" i="1"/>
  <c r="E214" i="1"/>
  <c r="E211" i="1"/>
  <c r="G209" i="1"/>
  <c r="F209" i="1"/>
  <c r="E209" i="1"/>
  <c r="E207" i="1"/>
  <c r="F206" i="1"/>
  <c r="E206" i="1"/>
  <c r="G204" i="1"/>
  <c r="F204" i="1"/>
  <c r="E204" i="1"/>
  <c r="G202" i="1"/>
  <c r="F202" i="1"/>
  <c r="E202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88" i="1"/>
  <c r="F188" i="1"/>
  <c r="E188" i="1"/>
  <c r="G186" i="1"/>
  <c r="F186" i="1"/>
  <c r="E186" i="1"/>
  <c r="G185" i="1"/>
  <c r="F185" i="1"/>
  <c r="E185" i="1"/>
  <c r="G184" i="1"/>
  <c r="F184" i="1"/>
  <c r="E184" i="1"/>
  <c r="G182" i="1"/>
  <c r="F182" i="1"/>
  <c r="G173" i="1"/>
  <c r="F173" i="1"/>
  <c r="E173" i="1"/>
  <c r="G171" i="1"/>
  <c r="F171" i="1"/>
  <c r="G170" i="1"/>
  <c r="F170" i="1"/>
  <c r="G169" i="1"/>
  <c r="F169" i="1"/>
  <c r="G168" i="1"/>
  <c r="F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F161" i="1"/>
  <c r="E161" i="1"/>
  <c r="G159" i="1"/>
  <c r="F159" i="1"/>
  <c r="E159" i="1"/>
  <c r="E153" i="1"/>
  <c r="G137" i="1"/>
  <c r="F137" i="1"/>
  <c r="E137" i="1"/>
  <c r="G128" i="1"/>
  <c r="F128" i="1"/>
  <c r="E128" i="1"/>
  <c r="G127" i="1"/>
  <c r="F127" i="1"/>
  <c r="E127" i="1"/>
  <c r="G124" i="1"/>
  <c r="F124" i="1"/>
  <c r="G123" i="1"/>
  <c r="F123" i="1"/>
  <c r="G122" i="1"/>
  <c r="F122" i="1"/>
  <c r="G118" i="1"/>
  <c r="F118" i="1"/>
  <c r="E118" i="1"/>
  <c r="G111" i="1"/>
  <c r="F111" i="1"/>
  <c r="E111" i="1"/>
  <c r="G110" i="1"/>
  <c r="F110" i="1"/>
  <c r="E110" i="1"/>
  <c r="G109" i="1"/>
  <c r="F109" i="1"/>
  <c r="E109" i="1"/>
  <c r="G98" i="1"/>
  <c r="F98" i="1"/>
  <c r="E98" i="1"/>
  <c r="E96" i="1"/>
  <c r="E95" i="1"/>
  <c r="G94" i="1"/>
  <c r="F94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79" i="1"/>
  <c r="F79" i="1"/>
  <c r="G77" i="1"/>
  <c r="F77" i="1"/>
  <c r="G76" i="1"/>
  <c r="F76" i="1"/>
  <c r="G75" i="1"/>
  <c r="F75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3" i="1"/>
  <c r="F63" i="1"/>
  <c r="E63" i="1"/>
  <c r="G62" i="1"/>
  <c r="F62" i="1"/>
  <c r="G61" i="1"/>
  <c r="F61" i="1"/>
  <c r="G60" i="1"/>
  <c r="F60" i="1"/>
  <c r="G59" i="1"/>
  <c r="F59" i="1"/>
  <c r="G50" i="1"/>
  <c r="F50" i="1"/>
  <c r="E50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E37" i="1"/>
  <c r="G35" i="1"/>
  <c r="F35" i="1"/>
  <c r="E35" i="1"/>
  <c r="G34" i="1"/>
  <c r="F34" i="1"/>
  <c r="E34" i="1"/>
  <c r="E30" i="1"/>
  <c r="E29" i="1"/>
  <c r="E27" i="1"/>
  <c r="E26" i="1"/>
  <c r="G17" i="1"/>
  <c r="F17" i="1"/>
  <c r="E17" i="1"/>
  <c r="G15" i="1"/>
  <c r="F15" i="1"/>
  <c r="E15" i="1"/>
  <c r="E12" i="1"/>
  <c r="G10" i="1"/>
  <c r="F10" i="1"/>
  <c r="E10" i="1"/>
  <c r="G7" i="1"/>
  <c r="F7" i="1"/>
  <c r="E7" i="1"/>
  <c r="G6" i="1"/>
  <c r="F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tc={75B631B9-7F51-4FB7-808B-DC91BD584440}</author>
    <author>tc={BCFD9F6C-2AFE-470C-9AC6-F4D997743C41}</author>
    <author>tc={A4AC12AA-5DA4-4664-828A-6394895957C9}</author>
    <author>tc={323F4887-2036-4C2D-92E1-A31302658332}</author>
    <author>tc={BECAEA3B-669F-4650-B9D4-5CDFB1088F4A}</author>
    <author>tc={754E12C9-676E-4DF8-B254-A2F5F203646E}</author>
    <author>tc={4C691217-6F16-4345-9F95-3AB2073EDC9A}</author>
    <author>tc={54A063E1-CE45-4E56-9659-2BCF352809AA}</author>
    <author>tc={FC6A0F73-E3CA-4FF4-ADF9-E97B1D19AD02}</author>
    <author>tc={C9524CC4-D0FF-40D9-8311-D0CE2C3D1635}</author>
    <author>tc={2D267586-C955-46B4-A252-BCE31BCF31E5}</author>
    <author>tc={4D49A04F-ABC8-4A53-8132-89BC1E57F29A}</author>
    <author>tc={12CDEA15-9A4F-4C86-BFAF-AACC13B59E76}</author>
    <author>tc={2A4B2D55-6D5E-4ABC-BE22-354CF4376B39}</author>
    <author>tc={8A98ABC1-5736-486B-B779-FF48F44D2975}</author>
    <author>tc={975D1979-5E5D-42AD-B756-7E7DB3C169B1}</author>
    <author>tc={83D968D2-AA5F-4674-AFB7-E63958012C13}</author>
  </authors>
  <commentList>
    <comment ref="H3" authorId="0" shapeId="0" xr:uid="{75B631B9-7F51-4FB7-808B-DC91BD584440}">
      <text>
        <t>[Threaded comment]
Your version of Excel allows you to read this threaded comment; however, any edits to it will get removed if the file is opened in a newer version of Excel. Learn more: https://go.microsoft.com/fwlink/?linkid=870924
Comment:
    95%CI calculated through SE is not matching with p-value reported estimates ; robust SEs are provided but OR is not robust</t>
      </text>
    </comment>
    <comment ref="E54" authorId="1" shapeId="0" xr:uid="{BCFD9F6C-2AFE-470C-9AC6-F4D997743C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90% CI
</t>
      </text>
    </comment>
    <comment ref="G96" authorId="2" shapeId="0" xr:uid="{A4AC12AA-5DA4-4664-828A-6394895957C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101.49</t>
      </text>
    </comment>
    <comment ref="E99" authorId="3" shapeId="0" xr:uid="{323F4887-2036-4C2D-92E1-A313026583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90% CI
</t>
      </text>
    </comment>
    <comment ref="F100" authorId="4" shapeId="0" xr:uid="{BECAEA3B-669F-4650-B9D4-5CDFB1088F4A}">
      <text>
        <t>[Threaded comment]
Your version of Excel allows you to read this threaded comment; however, any edits to it will get removed if the file is opened in a newer version of Excel. Learn more: https://go.microsoft.com/fwlink/?linkid=870924
Comment:
    90% CI</t>
      </text>
    </comment>
    <comment ref="F103" authorId="5" shapeId="0" xr:uid="{754E12C9-676E-4DF8-B254-A2F5F20364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90% CI
</t>
      </text>
    </comment>
    <comment ref="K109" authorId="6" shapeId="0" xr:uid="{4C691217-6F16-4345-9F95-3AB2073EDC9A}">
      <text>
        <t>[Threaded comment]
Your version of Excel allows you to read this threaded comment; however, any edits to it will get removed if the file is opened in a newer version of Excel. Learn more: https://go.microsoft.com/fwlink/?linkid=870924
Comment:
    SMR</t>
      </text>
    </comment>
    <comment ref="K110" authorId="7" shapeId="0" xr:uid="{54A063E1-CE45-4E56-9659-2BCF352809AA}">
      <text>
        <t>[Threaded comment]
Your version of Excel allows you to read this threaded comment; however, any edits to it will get removed if the file is opened in a newer version of Excel. Learn more: https://go.microsoft.com/fwlink/?linkid=870924
Comment:
    ASMR</t>
      </text>
    </comment>
    <comment ref="F148" authorId="8" shapeId="0" xr:uid="{FC6A0F73-E3CA-4FF4-ADF9-E97B1D19AD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90% CI
</t>
      </text>
    </comment>
    <comment ref="F154" authorId="9" shapeId="0" xr:uid="{C9524CC4-D0FF-40D9-8311-D0CE2C3D16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90% CI
</t>
      </text>
    </comment>
    <comment ref="F158" authorId="10" shapeId="0" xr:uid="{2D267586-C955-46B4-A252-BCE31BCF31E5}">
      <text>
        <t>[Threaded comment]
Your version of Excel allows you to read this threaded comment; however, any edits to it will get removed if the file is opened in a newer version of Excel. Learn more: https://go.microsoft.com/fwlink/?linkid=870924
Comment:
    90% CI</t>
      </text>
    </comment>
    <comment ref="G158" authorId="11" shapeId="0" xr:uid="{4D49A04F-ABC8-4A53-8132-89BC1E57F29A}">
      <text>
        <t>[Threaded comment]
Your version of Excel allows you to read this threaded comment; however, any edits to it will get removed if the file is opened in a newer version of Excel. Learn more: https://go.microsoft.com/fwlink/?linkid=870924
Comment:
    90% CI</t>
      </text>
    </comment>
    <comment ref="G161" authorId="12" shapeId="0" xr:uid="{12CDEA15-9A4F-4C86-BFAF-AACC13B59E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EQUAL TO 5813.99 BEEN CAPPED AT 600 FOR GRAPH</t>
      </text>
    </comment>
    <comment ref="F192" authorId="13" shapeId="0" xr:uid="{2A4B2D55-6D5E-4ABC-BE22-354CF4376B3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Inconsistency</t>
      </text>
    </comment>
    <comment ref="G206" authorId="14" shapeId="0" xr:uid="{8A98ABC1-5736-486B-B779-FF48F44D2975}">
      <text>
        <t>[Threaded comment]
Your version of Excel allows you to read this threaded comment; however, any edits to it will get removed if the file is opened in a newer version of Excel. Learn more: https://go.microsoft.com/fwlink/?linkid=870924
Comment:
    CAPPED AT 12 FOR GRAPH, IS 955.66</t>
      </text>
    </comment>
    <comment ref="F212" authorId="15" shapeId="0" xr:uid="{975D1979-5E5D-42AD-B756-7E7DB3C169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90% CI
</t>
      </text>
    </comment>
    <comment ref="F223" authorId="16" shapeId="0" xr:uid="{83D968D2-AA5F-4674-AFB7-E63958012C13}">
      <text>
        <t>[Threaded comment]
Your version of Excel allows you to read this threaded comment; however, any edits to it will get removed if the file is opened in a newer version of Excel. Learn more: https://go.microsoft.com/fwlink/?linkid=870924
Comment:
    CI NOT AVAILABLE</t>
      </text>
    </comment>
  </commentList>
</comments>
</file>

<file path=xl/sharedStrings.xml><?xml version="1.0" encoding="utf-8"?>
<sst xmlns="http://schemas.openxmlformats.org/spreadsheetml/2006/main" count="2032" uniqueCount="384">
  <si>
    <t>Broader Driver Category</t>
  </si>
  <si>
    <t>Comparison</t>
  </si>
  <si>
    <t>Driver</t>
  </si>
  <si>
    <t>Type of Association Measure</t>
  </si>
  <si>
    <t>Association</t>
  </si>
  <si>
    <t>Lower Bound of 95%CI</t>
  </si>
  <si>
    <t>Upper Bound of 95%CI</t>
  </si>
  <si>
    <t>SE</t>
  </si>
  <si>
    <t>SD</t>
  </si>
  <si>
    <t>P-Value</t>
  </si>
  <si>
    <t>Countries Assessed</t>
  </si>
  <si>
    <t>Reference</t>
  </si>
  <si>
    <t>Innovation</t>
  </si>
  <si>
    <t>Recommended vs Not Recommended</t>
  </si>
  <si>
    <t>OR</t>
  </si>
  <si>
    <t>Wales (UK)</t>
  </si>
  <si>
    <t>Linley &amp; Hughes, 2012</t>
  </si>
  <si>
    <t>Positive vs Negative</t>
  </si>
  <si>
    <t>NS</t>
  </si>
  <si>
    <t>CANADA-(INESSS), CANADA-(CADTH) Scotland, UK, France</t>
  </si>
  <si>
    <t>Mills, 2023</t>
  </si>
  <si>
    <t>UK</t>
  </si>
  <si>
    <t>H. Dakin, Devlin, et al., 2015</t>
  </si>
  <si>
    <t>RRR</t>
  </si>
  <si>
    <t>Australia, Canada, England, France, Germany, Scotland, Sweden</t>
  </si>
  <si>
    <t>Kanavos et al., 2023</t>
  </si>
  <si>
    <t>New indication</t>
  </si>
  <si>
    <t>Australia</t>
  </si>
  <si>
    <t>Haque et al., 2023</t>
  </si>
  <si>
    <t>New Indication</t>
  </si>
  <si>
    <t>Recommended  vs not Recommended</t>
  </si>
  <si>
    <t>Chim et al., 2010</t>
  </si>
  <si>
    <t>Resubmission</t>
  </si>
  <si>
    <t>Resubmission (previously considered)</t>
  </si>
  <si>
    <t>ME</t>
  </si>
  <si>
    <t>A. H. Harris et al., 2008</t>
  </si>
  <si>
    <t>Reimbursed vs not Reimbursed</t>
  </si>
  <si>
    <t>Prior Submission</t>
  </si>
  <si>
    <t>South Korea</t>
  </si>
  <si>
    <t>Bae et al., 2018</t>
  </si>
  <si>
    <t>Recommended vs not Recommended</t>
  </si>
  <si>
    <t>reverse of first submission</t>
  </si>
  <si>
    <t>A. Harris et al., 2016</t>
  </si>
  <si>
    <t>Type of Technology - MedTEch</t>
  </si>
  <si>
    <t>Type of Technology (Medical Devices vs. Procedures)</t>
  </si>
  <si>
    <t>The Netherlands, New Zealand, Norway, Sweden, UK, USA</t>
  </si>
  <si>
    <t>Draborg &amp; Andersen, 2006</t>
  </si>
  <si>
    <t>Type of Technology - Pharma</t>
  </si>
  <si>
    <t>Type of Technology (Pharmaceuticals vs. Procedures)</t>
  </si>
  <si>
    <t>Routine vs Not Recommended (reversed)</t>
  </si>
  <si>
    <t>Type of Technology (Pharmaceutical vs Other)</t>
  </si>
  <si>
    <t>H. A. Dakin et al., 2006</t>
  </si>
  <si>
    <t xml:space="preserve">Appropriate Comparator </t>
  </si>
  <si>
    <t>Appropriate Comparator (Diagnostics)</t>
  </si>
  <si>
    <t>Merlin et al., 2016</t>
  </si>
  <si>
    <t>RCT Relevance</t>
  </si>
  <si>
    <t>vs Canada</t>
  </si>
  <si>
    <t>USA vs Canada</t>
  </si>
  <si>
    <t>New Zealand vs Canada</t>
  </si>
  <si>
    <t>Norway vs Canada</t>
  </si>
  <si>
    <t>Denmark vs Canada</t>
  </si>
  <si>
    <t>Sweden vs Canada</t>
  </si>
  <si>
    <t>The Netherlands vs Canada</t>
  </si>
  <si>
    <t>Great Britain vs Canada</t>
  </si>
  <si>
    <t>Australia vs Canada</t>
  </si>
  <si>
    <t>vs NICE</t>
  </si>
  <si>
    <t>Australia vs NICE</t>
  </si>
  <si>
    <t>Australia, England</t>
  </si>
  <si>
    <t>Canada-(CADTH) vs NICE</t>
  </si>
  <si>
    <t>Canada-(CADTH), England</t>
  </si>
  <si>
    <t>France-(HAS) vs NICE</t>
  </si>
  <si>
    <t>France-(HAS), England</t>
  </si>
  <si>
    <t>Sweden vs NICE</t>
  </si>
  <si>
    <t>Sweden, England</t>
  </si>
  <si>
    <t>Scotland vs NICE</t>
  </si>
  <si>
    <t>Scotland, England</t>
  </si>
  <si>
    <t>Germany vs NICE</t>
  </si>
  <si>
    <t>Germany, England</t>
  </si>
  <si>
    <t>Canada-(INESSS) vs NICE</t>
  </si>
  <si>
    <t>Cardiovascular Diseases</t>
  </si>
  <si>
    <t>Disease Characteristics – Cardiovascular</t>
  </si>
  <si>
    <t>Recommended vs Not Recommended (reversed)</t>
  </si>
  <si>
    <t>Netherlands</t>
  </si>
  <si>
    <t>Cerri, Knapp, &amp; Fernandez, 2014a</t>
  </si>
  <si>
    <t>Chronic Disease</t>
  </si>
  <si>
    <t>Product  indicated for chronic use</t>
  </si>
  <si>
    <t>Scotland</t>
  </si>
  <si>
    <t>Charokopou et al., 2015</t>
  </si>
  <si>
    <t>Nervous System Diseases</t>
  </si>
  <si>
    <t>Disease Characteristics – Nervous System</t>
  </si>
  <si>
    <t xml:space="preserve">  0.009</t>
  </si>
  <si>
    <t>Obstetrics, gynaceology, urinary-tract Diseases</t>
  </si>
  <si>
    <t>Disease Characteristics – Obstetrics, gynaceology, urinary-tract disorders</t>
  </si>
  <si>
    <t>Disease Clinical Uncertainties Overcome</t>
  </si>
  <si>
    <t>CANADA-(CADTH)</t>
  </si>
  <si>
    <t>England</t>
  </si>
  <si>
    <t>Germany</t>
  </si>
  <si>
    <t>France-(HAS)</t>
  </si>
  <si>
    <t>Sweden</t>
  </si>
  <si>
    <t>Disease Severity</t>
  </si>
  <si>
    <t>Disease Severity (Life Threatening)</t>
  </si>
  <si>
    <t>Disease Severity (Life Threatening</t>
  </si>
  <si>
    <t xml:space="preserve">  0.05</t>
  </si>
  <si>
    <t>Significant ASMR vs Insignificant ASMR</t>
  </si>
  <si>
    <t>France (ASMR)</t>
  </si>
  <si>
    <t>Kergall et al., 2021</t>
  </si>
  <si>
    <t>Approved Reimbursement vs Declined Reimbursement</t>
  </si>
  <si>
    <t>High Severity</t>
  </si>
  <si>
    <t>Svensson et al., 2015</t>
  </si>
  <si>
    <t>Disease Severity (Burden YLL = 1 if disease impact is bigger on survival than disability)</t>
  </si>
  <si>
    <t>End of Life criteria considered and accepted</t>
  </si>
  <si>
    <t>Mauskopf et al., 2013</t>
  </si>
  <si>
    <t>Life Threteaning - Severity</t>
  </si>
  <si>
    <t>France (SMR)</t>
  </si>
  <si>
    <t>Disease Severity - ICER</t>
  </si>
  <si>
    <t>Disease Severity ICER</t>
  </si>
  <si>
    <t>Norway</t>
  </si>
  <si>
    <t>Tranvåg et al., 2022</t>
  </si>
  <si>
    <t>Infectious Diseases</t>
  </si>
  <si>
    <t>Disease Characteristics – Infectious</t>
  </si>
  <si>
    <t>Musculoskeletal Diseases</t>
  </si>
  <si>
    <t>Disease Characteristics – Musculoskeletal</t>
  </si>
  <si>
    <t>Oncology</t>
  </si>
  <si>
    <t>Disease Characteristics – Oncology</t>
  </si>
  <si>
    <t>France</t>
  </si>
  <si>
    <t xml:space="preserve">  0.177</t>
  </si>
  <si>
    <t>Australia, Canada-(CADTH), Canada-(INESSS), England, France-(HAS), Germany, Scotland, Sweden</t>
  </si>
  <si>
    <t>Orphan Drug</t>
  </si>
  <si>
    <t>Disease Characteristics – Orphan Drug</t>
  </si>
  <si>
    <t>Pinto et al., 2020</t>
  </si>
  <si>
    <t>Canada</t>
  </si>
  <si>
    <t>Poland</t>
  </si>
  <si>
    <t>Kawalec et al., 2018</t>
  </si>
  <si>
    <t>Canada-(INESSS)</t>
  </si>
  <si>
    <t>Canada-(CADTH)</t>
  </si>
  <si>
    <t>Paediatric</t>
  </si>
  <si>
    <t>Special Demographics (paediatric)</t>
  </si>
  <si>
    <t>Palliative vs curative - adjuvant</t>
  </si>
  <si>
    <t>Palliative vs curative/adjuvant</t>
  </si>
  <si>
    <t>1/2,7</t>
  </si>
  <si>
    <t>Karikios et al., 2017</t>
  </si>
  <si>
    <t>Patient Participation</t>
  </si>
  <si>
    <t>Inclusion of patient submission</t>
  </si>
  <si>
    <t>Patient Population Not Reported</t>
  </si>
  <si>
    <t>Preventive vs Curative</t>
  </si>
  <si>
    <t>Significant SMR vs Insignificant SMR</t>
  </si>
  <si>
    <t>Public Health - Impact</t>
  </si>
  <si>
    <t>Public Health Impact</t>
  </si>
  <si>
    <t>Respiratory</t>
  </si>
  <si>
    <t>Disease Characteristics – Respiratory</t>
  </si>
  <si>
    <t>Special Demographics</t>
  </si>
  <si>
    <t>Special Demographics (paediatric / elderly etc)</t>
  </si>
  <si>
    <t>Symptomatic vs Curative</t>
  </si>
  <si>
    <t>Ultra Orphan Drug</t>
  </si>
  <si>
    <t>Disease Characteristics – Ultra-Orphan Drug</t>
  </si>
  <si>
    <t>Unmet Need</t>
  </si>
  <si>
    <t>No Substitute</t>
  </si>
  <si>
    <t>Only Treatment</t>
  </si>
  <si>
    <t>No Alternatives (treatment)</t>
  </si>
  <si>
    <t>Significant ΑSMR vs Insignificant ΑSMR</t>
  </si>
  <si>
    <t>France, UK, Scotland, Canada</t>
  </si>
  <si>
    <t>Unstable</t>
  </si>
  <si>
    <t>Alternatives (treatment)</t>
  </si>
  <si>
    <t>Belgium</t>
  </si>
  <si>
    <t>Pauwels et al., 2015</t>
  </si>
  <si>
    <t>Disease Characteristics – Orphan Drug (Surrogate)</t>
  </si>
  <si>
    <t xml:space="preserve">  0.047</t>
  </si>
  <si>
    <t>International, United Kingdom, Scotland, France, Australia, Canada, Germany, Netherlands, Hungary</t>
  </si>
  <si>
    <t>Ciani et al., 2021</t>
  </si>
  <si>
    <t>Replacement of Comparator (Diagnostics)</t>
  </si>
  <si>
    <t>Limited Substitute</t>
  </si>
  <si>
    <t>Diabetes Complications rather than Diabetes</t>
  </si>
  <si>
    <t>No alternative acceptable therapy</t>
  </si>
  <si>
    <t>Cancer</t>
  </si>
  <si>
    <t>Patient group submission</t>
  </si>
  <si>
    <t>CANADA-(INESSS)</t>
  </si>
  <si>
    <t>Year Trend</t>
  </si>
  <si>
    <t>Year of appraisal</t>
  </si>
  <si>
    <t>Cerri, Knapp, &amp; Fernandez, 2014b</t>
  </si>
  <si>
    <t>Year Trend (2002 - 2003 vs 1999-2002)</t>
  </si>
  <si>
    <t>USA (Medicare)</t>
  </si>
  <si>
    <t>Chambers et al., 2015</t>
  </si>
  <si>
    <t>Year Trend (2004-2008 vs 1999-2002)</t>
  </si>
  <si>
    <t>Year Trend (2008-2012 vs 1999-2002)</t>
  </si>
  <si>
    <t>Year of Publication (2000–2002 vs. Reference)</t>
  </si>
  <si>
    <t>Pre and Post Policy Change</t>
  </si>
  <si>
    <t>Year of Publication (before and after 2013 when reform happened)</t>
  </si>
  <si>
    <t>South Korean</t>
  </si>
  <si>
    <t>External Assesor</t>
  </si>
  <si>
    <t>Assessor (External vs. Internal)</t>
  </si>
  <si>
    <t>Assessor (Internal and External, vs. Internal)</t>
  </si>
  <si>
    <t>COVID19</t>
  </si>
  <si>
    <t>Reimbursed vs not</t>
  </si>
  <si>
    <t>Crises – COVID19</t>
  </si>
  <si>
    <t>Brazil</t>
  </si>
  <si>
    <t>Cardoso et al., 2023</t>
  </si>
  <si>
    <t>Election year</t>
  </si>
  <si>
    <t>Big Company Submission</t>
  </si>
  <si>
    <t>Newspaper Pressure</t>
  </si>
  <si>
    <t>Public Pressure (newspaper reports)</t>
  </si>
  <si>
    <t>HTA Submission - Economic Aspect Completeness</t>
  </si>
  <si>
    <t>HTA Aspect (Economic)</t>
  </si>
  <si>
    <t>HTA Aspect - Patient Aspect Completeness</t>
  </si>
  <si>
    <t>HTA Aspect (Patient)</t>
  </si>
  <si>
    <t>HTA Aspect - Organizational Aspect Completeness</t>
  </si>
  <si>
    <t>HTA Aspect (Organizational)</t>
  </si>
  <si>
    <t>Legal Act Required for Positive Decision</t>
  </si>
  <si>
    <t>Positive vs Non-Positive</t>
  </si>
  <si>
    <t>Hungary</t>
  </si>
  <si>
    <t>Merész &amp; Gaál, 2023</t>
  </si>
  <si>
    <t>HTA Aspect - Technological Aspect Completeness</t>
  </si>
  <si>
    <t>HTA Aspect (Technological)</t>
  </si>
  <si>
    <t>Single Technology Appraisals</t>
  </si>
  <si>
    <t>2015 vs 2013</t>
  </si>
  <si>
    <t>Acceptable Efficacy</t>
  </si>
  <si>
    <t>Efficacy – Acceptable (Clinically meaningful effect)</t>
  </si>
  <si>
    <t>Efficacy – Intermediate</t>
  </si>
  <si>
    <t>Positive vs Not Positive</t>
  </si>
  <si>
    <t>Efficacy Acceptable</t>
  </si>
  <si>
    <t>Malinowski et al., 2016</t>
  </si>
  <si>
    <t>Efficacy Established</t>
  </si>
  <si>
    <t>Niewada et al., 2013</t>
  </si>
  <si>
    <t>Acceptable Safety</t>
  </si>
  <si>
    <t>Safety – Acceptable</t>
  </si>
  <si>
    <t xml:space="preserve"> 0.051</t>
  </si>
  <si>
    <t>Safety – Acceptable (reversed the safety ambiguous or unfavorable)</t>
  </si>
  <si>
    <t>QALY benefit</t>
  </si>
  <si>
    <t>QALY GAIN</t>
  </si>
  <si>
    <t>QoL</t>
  </si>
  <si>
    <t>Other positive Bodies/Committees Recommendations</t>
  </si>
  <si>
    <t>Recommendations issued by HTA agencies abroad – positive</t>
  </si>
  <si>
    <t xml:space="preserve">  0.040</t>
  </si>
  <si>
    <t>Strong Efficacy</t>
  </si>
  <si>
    <t>Efficacy – Important</t>
  </si>
  <si>
    <t>Superior Efficacy</t>
  </si>
  <si>
    <t>Clinical Effectiveness (Better)</t>
  </si>
  <si>
    <t>Schaefer et al., 2023</t>
  </si>
  <si>
    <t>Clinical Significance (Efficacy)</t>
  </si>
  <si>
    <t>Significant efficacy:  mortality, morbidity, and health-related quality of life</t>
  </si>
  <si>
    <t>Superior efficacy</t>
  </si>
  <si>
    <t xml:space="preserve">  0.0636</t>
  </si>
  <si>
    <t>Superior Efficacy in RCTs</t>
  </si>
  <si>
    <t>Superior Safety</t>
  </si>
  <si>
    <t>Superior safety</t>
  </si>
  <si>
    <t>Trial phase</t>
  </si>
  <si>
    <t>Similar Efficacy</t>
  </si>
  <si>
    <t>Clinical Effectiveness (Similar)</t>
  </si>
  <si>
    <t>strength of Association (surrogate outcome)</t>
  </si>
  <si>
    <t>United Kingdom, Scotland, France, Australia, Canada, Germany, Netherlands, Hungary</t>
  </si>
  <si>
    <t>Relative Efficacy – Same as comparator</t>
  </si>
  <si>
    <t xml:space="preserve"> 0.003</t>
  </si>
  <si>
    <t>Relative Efficacy – Superior to comparator</t>
  </si>
  <si>
    <t>&lt;0.001</t>
  </si>
  <si>
    <t>Relative Efficacy – Superior to Comparator</t>
  </si>
  <si>
    <t xml:space="preserve">  0.006</t>
  </si>
  <si>
    <t>Recommended vs Rejected</t>
  </si>
  <si>
    <t xml:space="preserve"> &lt;0.05</t>
  </si>
  <si>
    <t>Park et al., 2012</t>
  </si>
  <si>
    <t>Overall Survival benefit</t>
  </si>
  <si>
    <t>Number of recommended decisions made by other committees</t>
  </si>
  <si>
    <t>RCT Presence</t>
  </si>
  <si>
    <t>Reimbursement vs not Reimbursement</t>
  </si>
  <si>
    <t>Strand et al., 2022</t>
  </si>
  <si>
    <t>RCT Presence (comparison through indirect RCTs)</t>
  </si>
  <si>
    <t>Level of evidene assesed (RCT, Observational, Pathophysiological studies)</t>
  </si>
  <si>
    <t>England, Scotland, France, Australia, Canada, Germany, Netherlands, Hungary</t>
  </si>
  <si>
    <t>Validity of outcome measure</t>
  </si>
  <si>
    <t>High Quality of Evidence</t>
  </si>
  <si>
    <t>France (HAS)</t>
  </si>
  <si>
    <t>Canada (INESS)</t>
  </si>
  <si>
    <t>High Quality of Evidence (High quality RCT presence) 
NOTE: weird unexpected fiding, might be too strict definition of high quality</t>
  </si>
  <si>
    <t>Wales</t>
  </si>
  <si>
    <t>High quality of Evidence (RCT Jadad Score)</t>
  </si>
  <si>
    <t>Quality of Evidence (NICE Assessment of clinical evidence Agreed)</t>
  </si>
  <si>
    <t>Quality of evidence</t>
  </si>
  <si>
    <t>Ireland</t>
  </si>
  <si>
    <t>Schmitz et al., 2016</t>
  </si>
  <si>
    <t>Quality of Evidence Acceptable (not poor quality of evidence)</t>
  </si>
  <si>
    <t>Hill et al., 2022</t>
  </si>
  <si>
    <t xml:space="preserve">Quality of Evidence (Quality of studies) </t>
  </si>
  <si>
    <t>Indirect Comparison</t>
  </si>
  <si>
    <t>Direct Evidence on Final outcomes</t>
  </si>
  <si>
    <t>Quality of Submission - acceptable</t>
  </si>
  <si>
    <t>Quality of Submission - acceptable (reversed "formal shortcomings")</t>
  </si>
  <si>
    <t>Surrogate Endpoint</t>
  </si>
  <si>
    <t>Surrogate Endpoint (Cancer Drugs)</t>
  </si>
  <si>
    <t>No evidence for impact on hard end points</t>
  </si>
  <si>
    <t>Clinical Uncertainties</t>
  </si>
  <si>
    <t>Clinical Uncertainties – Not overcome</t>
  </si>
  <si>
    <t>High clinical uncertainty</t>
  </si>
  <si>
    <t>Clinical Evidence – Uncertain</t>
  </si>
  <si>
    <t>Clinical Evidence – Uncertain (lack of data on duration of RCTs)</t>
  </si>
  <si>
    <t xml:space="preserve">  0.001</t>
  </si>
  <si>
    <t xml:space="preserve">Clinical Evidence Uncertain (RCTs) </t>
  </si>
  <si>
    <t>USA Medicare</t>
  </si>
  <si>
    <t>Clinical Evidence Uncertain (Other Studies)</t>
  </si>
  <si>
    <t>Clinical Guidelines Consistent</t>
  </si>
  <si>
    <t>Number of Patients</t>
  </si>
  <si>
    <t>Number of patients in RCTs</t>
  </si>
  <si>
    <t>Number of patients in RCTs (thousands)</t>
  </si>
  <si>
    <t>USA MEDICARE</t>
  </si>
  <si>
    <t>Number of Patients included in observational studies</t>
  </si>
  <si>
    <t>Meta-Analysis Presence</t>
  </si>
  <si>
    <t>Number of Systematic Reviews</t>
  </si>
  <si>
    <t>Number of Observational Studies</t>
  </si>
  <si>
    <t>Number of Studies</t>
  </si>
  <si>
    <t>Wales UK</t>
  </si>
  <si>
    <t>Number of Studies and patients Acceptable (not limited data)</t>
  </si>
  <si>
    <t>Availability of Head-to-Head Trials</t>
  </si>
  <si>
    <t>Number of head to head trials</t>
  </si>
  <si>
    <t>Number of Technologies Appraised Simultaneously</t>
  </si>
  <si>
    <t>Comparator Presence</t>
  </si>
  <si>
    <t>Active Comparator Presence</t>
  </si>
  <si>
    <t>Reverse of inactive type of comparator</t>
  </si>
  <si>
    <t>Reverse of the reverse of Comparator Type - inactive vs active</t>
  </si>
  <si>
    <t>Comparator Acceptable</t>
  </si>
  <si>
    <t>Reverse of Reject comparator</t>
  </si>
  <si>
    <t>reverse of (clinical) Endpoint presence</t>
  </si>
  <si>
    <t>reverse of Change in clinical event (vs change in clinical marker)</t>
  </si>
  <si>
    <t>Out of Positive List Expenditure</t>
  </si>
  <si>
    <t>Biennial Expenditure of Individual Funding Requests &gt;200 HUFs</t>
  </si>
  <si>
    <t>Intervention's Expenditure Impact (Threshold)</t>
  </si>
  <si>
    <t>Annual expenditure &gt;10M</t>
  </si>
  <si>
    <t>Intervention's Expenditure Impact</t>
  </si>
  <si>
    <t>Three Year Intervention Expenditure</t>
  </si>
  <si>
    <t>Annual Intervention Expenditure</t>
  </si>
  <si>
    <t>Intervention Expenditure</t>
  </si>
  <si>
    <t>Annual expenditure &gt;5M or unknown</t>
  </si>
  <si>
    <t>Annual Expenditure (£, millions)</t>
  </si>
  <si>
    <t>Log(Budget Impact (Average))</t>
  </si>
  <si>
    <t>Budget Impact (Million USD)</t>
  </si>
  <si>
    <t>Acceptable Cost-Effectiveness</t>
  </si>
  <si>
    <t>Cost Utility Acceptable</t>
  </si>
  <si>
    <t>Cost Effective</t>
  </si>
  <si>
    <t>Zero / Negative Budget Impact</t>
  </si>
  <si>
    <t>Cost equal or less to the comparator</t>
  </si>
  <si>
    <t>Cost of Therapy Acceptable</t>
  </si>
  <si>
    <t>Cost Savings</t>
  </si>
  <si>
    <t>Cost Savings and QALY gain</t>
  </si>
  <si>
    <t>Intervention Deemed Cost-Effective</t>
  </si>
  <si>
    <t>Cost-Effective</t>
  </si>
  <si>
    <t>Cost-Effective (Cancer)</t>
  </si>
  <si>
    <t>Cost-Effective (Incremental Net Monetary Benefit at a cost-effectiveness threshold of 20K per QALY)</t>
  </si>
  <si>
    <t>Clear Cost-Effectiveness (reverse of uncertaint/unknown or imaging test dominated)</t>
  </si>
  <si>
    <t>Cost-minimization analysis performed</t>
  </si>
  <si>
    <t>Economic Uncertainties</t>
  </si>
  <si>
    <t>Economic Uncertainties – Not overcome</t>
  </si>
  <si>
    <t>Economic Uncertainties – Not overcome (uncertain)</t>
  </si>
  <si>
    <t>Economic Uncertainties – Not overcome (very uncertain)</t>
  </si>
  <si>
    <t>Validiity of Cost-Effectiveness Assessment Acceptable</t>
  </si>
  <si>
    <t xml:space="preserve">Validity of Economic Model </t>
  </si>
  <si>
    <t>High economic uncertainty</t>
  </si>
  <si>
    <t>ICER (10K int$ / QALY)</t>
  </si>
  <si>
    <t>ICER (per $10,000 / QALY)</t>
  </si>
  <si>
    <t>ICER</t>
  </si>
  <si>
    <t>ICER &lt; Threshold</t>
  </si>
  <si>
    <t>ICER  &lt; 30K/QALY</t>
  </si>
  <si>
    <t>ICER – 20K to 30K / QALY</t>
  </si>
  <si>
    <t>ICER – Cost / QALY</t>
  </si>
  <si>
    <t>ICER – COST PER QALY (£, thousands)</t>
  </si>
  <si>
    <t>ICER &lt; 30K / QALY</t>
  </si>
  <si>
    <t>ICER = COST / QALY</t>
  </si>
  <si>
    <t>ICER = COST / QALY (thousands)</t>
  </si>
  <si>
    <t>ICER &gt; Threshold</t>
  </si>
  <si>
    <t>ICER &gt; 30K / QALY</t>
  </si>
  <si>
    <t>ICER &gt;A$45,000</t>
  </si>
  <si>
    <t>Ngo, 2014</t>
  </si>
  <si>
    <t>Cost-Effectiveness Assessment Acceptable</t>
  </si>
  <si>
    <t>ICUR Validation</t>
  </si>
  <si>
    <t>Frannce (ASMR)</t>
  </si>
  <si>
    <t>Including Cost-effectiveness assessment (unadjusted)</t>
  </si>
  <si>
    <t>RR</t>
  </si>
  <si>
    <t>England, Wales</t>
  </si>
  <si>
    <t>Vreman et al., 2020</t>
  </si>
  <si>
    <t>Including Cost-effectiveness assessment</t>
  </si>
  <si>
    <t>NICE Assessment of manufacturer’s model acceptable</t>
  </si>
  <si>
    <t>Including Price Negotiations (unadjusted)</t>
  </si>
  <si>
    <t>Annual Expenditure (AUS$, millions)</t>
  </si>
  <si>
    <t>PBS budget &gt; 10M</t>
  </si>
  <si>
    <t>PBS Cost Estimate &gt;10M</t>
  </si>
  <si>
    <t>Patient Population &gt;10k</t>
  </si>
  <si>
    <t>Risk Sharing Agreement</t>
  </si>
  <si>
    <t>Probablistic Sensitivity Analysis Presence</t>
  </si>
  <si>
    <t>Sizes of eligible Patient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</si>
</sst>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9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61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2" fontId="0" fillId="3" borderId="2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65" fontId="0" fillId="3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0" fillId="3" borderId="8" xfId="0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wrapText="1"/>
    </xf>
    <xf numFmtId="0" fontId="0" fillId="3" borderId="9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3" borderId="1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2" fontId="0" fillId="3" borderId="1" xfId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166" fontId="0" fillId="3" borderId="1" xfId="1" applyNumberFormat="1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3" borderId="1" xfId="1" applyNumberFormat="1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2" fontId="0" fillId="3" borderId="3" xfId="1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center" wrapText="1"/>
    </xf>
    <xf numFmtId="2" fontId="0" fillId="3" borderId="2" xfId="1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center" wrapText="1"/>
    </xf>
    <xf numFmtId="2" fontId="0" fillId="3" borderId="1" xfId="1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6" fillId="3" borderId="8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kos takatzoglou" id="{5A3EEA2E-B3B2-44D1-BC5E-50CEEA52D2FA}" userId="36e2f61fe0a889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5-01-07T19:50:25.30" personId="{5A3EEA2E-B3B2-44D1-BC5E-50CEEA52D2FA}" id="{75B631B9-7F51-4FB7-808B-DC91BD584440}">
    <text>95%CI calculated through SE is not matching with p-value reported estimates ; robust SEs are provided but OR is not robust</text>
  </threadedComment>
  <threadedComment ref="E54" dT="2025-01-06T21:05:44.23" personId="{5A3EEA2E-B3B2-44D1-BC5E-50CEEA52D2FA}" id="{BCFD9F6C-2AFE-470C-9AC6-F4D997743C41}">
    <text xml:space="preserve">90% CI
</text>
  </threadedComment>
  <threadedComment ref="G96" dT="2025-01-14T21:31:20.16" personId="{5A3EEA2E-B3B2-44D1-BC5E-50CEEA52D2FA}" id="{A4AC12AA-5DA4-4664-828A-6394895957C9}">
    <text>Is 101.49</text>
  </threadedComment>
  <threadedComment ref="E99" dT="2025-01-06T21:07:16.76" personId="{5A3EEA2E-B3B2-44D1-BC5E-50CEEA52D2FA}" id="{323F4887-2036-4C2D-92E1-A31302658332}">
    <text xml:space="preserve">90% CI
</text>
  </threadedComment>
  <threadedComment ref="F100" dT="2025-01-06T21:15:46.30" personId="{5A3EEA2E-B3B2-44D1-BC5E-50CEEA52D2FA}" id="{BECAEA3B-669F-4650-B9D4-5CDFB1088F4A}">
    <text>90% CI</text>
  </threadedComment>
  <threadedComment ref="F103" dT="2025-01-06T21:09:46.14" personId="{5A3EEA2E-B3B2-44D1-BC5E-50CEEA52D2FA}" id="{754E12C9-676E-4DF8-B254-A2F5F203646E}">
    <text xml:space="preserve">90% CI
</text>
  </threadedComment>
  <threadedComment ref="K109" dT="2025-01-06T21:11:01.09" personId="{5A3EEA2E-B3B2-44D1-BC5E-50CEEA52D2FA}" id="{4C691217-6F16-4345-9F95-3AB2073EDC9A}">
    <text>SMR</text>
  </threadedComment>
  <threadedComment ref="K110" dT="2025-01-06T21:11:07.80" personId="{5A3EEA2E-B3B2-44D1-BC5E-50CEEA52D2FA}" id="{54A063E1-CE45-4E56-9659-2BCF352809AA}">
    <text>ASMR</text>
  </threadedComment>
  <threadedComment ref="F148" dT="2025-01-06T21:02:05.18" personId="{5A3EEA2E-B3B2-44D1-BC5E-50CEEA52D2FA}" id="{FC6A0F73-E3CA-4FF4-ADF9-E97B1D19AD02}">
    <text xml:space="preserve">90% CI
</text>
  </threadedComment>
  <threadedComment ref="F154" dT="2025-01-06T21:02:23.22" personId="{5A3EEA2E-B3B2-44D1-BC5E-50CEEA52D2FA}" id="{C9524CC4-D0FF-40D9-8311-D0CE2C3D1635}">
    <text xml:space="preserve">90% CI
</text>
  </threadedComment>
  <threadedComment ref="F158" dT="2025-01-06T21:01:38.47" personId="{5A3EEA2E-B3B2-44D1-BC5E-50CEEA52D2FA}" id="{2D267586-C955-46B4-A252-BCE31BCF31E5}">
    <text>90% CI</text>
  </threadedComment>
  <threadedComment ref="G158" dT="2025-01-06T21:01:45.82" personId="{5A3EEA2E-B3B2-44D1-BC5E-50CEEA52D2FA}" id="{4D49A04F-ABC8-4A53-8132-89BC1E57F29A}">
    <text>90% CI</text>
  </threadedComment>
  <threadedComment ref="G161" dT="2025-01-14T21:37:06.43" personId="{5A3EEA2E-B3B2-44D1-BC5E-50CEEA52D2FA}" id="{12CDEA15-9A4F-4C86-BFAF-AACC13B59E76}">
    <text>IS EQUAL TO 5813.99 BEEN CAPPED AT 600 FOR GRAPH</text>
  </threadedComment>
  <threadedComment ref="F192" dT="2025-01-07T22:30:57.80" personId="{5A3EEA2E-B3B2-44D1-BC5E-50CEEA52D2FA}" id="{2A4B2D55-6D5E-4ABC-BE22-354CF4376B39}">
    <text>Inconsistency</text>
  </threadedComment>
  <threadedComment ref="G206" dT="2025-01-14T21:42:29.98" personId="{5A3EEA2E-B3B2-44D1-BC5E-50CEEA52D2FA}" id="{8A98ABC1-5736-486B-B779-FF48F44D2975}">
    <text>CAPPED AT 12 FOR GRAPH, IS 955.66</text>
  </threadedComment>
  <threadedComment ref="F212" dT="2025-01-06T21:04:08.23" personId="{5A3EEA2E-B3B2-44D1-BC5E-50CEEA52D2FA}" id="{975D1979-5E5D-42AD-B756-7E7DB3C169B1}">
    <text xml:space="preserve">90% CI
</text>
  </threadedComment>
  <threadedComment ref="F223" dT="2025-01-14T20:31:23.91" personId="{5A3EEA2E-B3B2-44D1-BC5E-50CEEA52D2FA}" id="{83D968D2-AA5F-4674-AFB7-E63958012C13}">
    <text>CI NOT AVAILABLE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D3B8-7C15-451C-BF0B-31C0DB84694D}">
  <sheetPr filterMode="1"/>
  <dimension ref="A1:L323"/>
  <sheetViews>
    <sheetView tabSelected="1" topLeftCell="A203" workbookViewId="0">
      <selection activeCell="G207" sqref="G207"/>
    </sheetView>
  </sheetViews>
  <sheetFormatPr defaultRowHeight="15"/>
  <cols>
    <col min="1" max="1" width="18.7109375" customWidth="1"/>
    <col min="2" max="2" width="17.140625" customWidth="1"/>
    <col min="3" max="3" width="16.140625" customWidth="1"/>
  </cols>
  <sheetData>
    <row r="1" spans="1:12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75" hidden="1">
      <c r="A2" s="2" t="s">
        <v>12</v>
      </c>
      <c r="B2" s="3" t="s">
        <v>13</v>
      </c>
      <c r="C2" s="2" t="s">
        <v>12</v>
      </c>
      <c r="D2" s="4" t="s">
        <v>14</v>
      </c>
      <c r="E2" s="5">
        <v>0.30640000000000001</v>
      </c>
      <c r="F2" s="5">
        <v>4.87E-2</v>
      </c>
      <c r="G2" s="5">
        <v>1.9302999999999999</v>
      </c>
      <c r="H2" s="5"/>
      <c r="I2" s="5"/>
      <c r="J2" s="2">
        <v>0.60189999999999999</v>
      </c>
      <c r="K2" s="2" t="s">
        <v>15</v>
      </c>
      <c r="L2" s="6" t="s">
        <v>16</v>
      </c>
    </row>
    <row r="3" spans="1:12" ht="105" hidden="1">
      <c r="A3" s="2" t="s">
        <v>12</v>
      </c>
      <c r="B3" s="7" t="s">
        <v>17</v>
      </c>
      <c r="C3" s="2" t="s">
        <v>12</v>
      </c>
      <c r="D3" s="4" t="s">
        <v>14</v>
      </c>
      <c r="E3" s="5">
        <v>0.91900000000000004</v>
      </c>
      <c r="F3" s="5"/>
      <c r="G3" s="5"/>
      <c r="H3" s="2">
        <v>0.57399999999999995</v>
      </c>
      <c r="I3" s="2"/>
      <c r="J3" s="2" t="s">
        <v>18</v>
      </c>
      <c r="K3" s="8" t="s">
        <v>19</v>
      </c>
      <c r="L3" s="2" t="s">
        <v>20</v>
      </c>
    </row>
    <row r="4" spans="1:12" ht="105" hidden="1">
      <c r="A4" s="2" t="s">
        <v>12</v>
      </c>
      <c r="B4" s="3" t="s">
        <v>13</v>
      </c>
      <c r="C4" s="2" t="s">
        <v>12</v>
      </c>
      <c r="D4" s="4" t="s">
        <v>14</v>
      </c>
      <c r="E4" s="5">
        <v>1.7010000000000001</v>
      </c>
      <c r="F4" s="5">
        <v>0.65600000000000003</v>
      </c>
      <c r="G4" s="5">
        <v>4.4111000000000002</v>
      </c>
      <c r="H4" s="2"/>
      <c r="I4" s="2"/>
      <c r="J4" s="2" t="s">
        <v>18</v>
      </c>
      <c r="K4" s="2" t="s">
        <v>21</v>
      </c>
      <c r="L4" s="2" t="s">
        <v>22</v>
      </c>
    </row>
    <row r="5" spans="1:12" ht="135" hidden="1">
      <c r="A5" s="2" t="s">
        <v>12</v>
      </c>
      <c r="B5" s="2" t="s">
        <v>13</v>
      </c>
      <c r="C5" s="2" t="s">
        <v>12</v>
      </c>
      <c r="D5" s="4" t="s">
        <v>23</v>
      </c>
      <c r="E5" s="5">
        <v>0.71399999999999997</v>
      </c>
      <c r="F5" s="5"/>
      <c r="G5" s="5"/>
      <c r="H5" s="2">
        <v>0.33900000000000002</v>
      </c>
      <c r="I5" s="2"/>
      <c r="J5" s="2" t="s">
        <v>18</v>
      </c>
      <c r="K5" s="2" t="s">
        <v>24</v>
      </c>
      <c r="L5" s="2" t="s">
        <v>25</v>
      </c>
    </row>
    <row r="6" spans="1:12" ht="75" hidden="1">
      <c r="A6" s="9" t="s">
        <v>26</v>
      </c>
      <c r="B6" s="2" t="s">
        <v>13</v>
      </c>
      <c r="C6" s="9" t="s">
        <v>26</v>
      </c>
      <c r="D6" s="4" t="s">
        <v>14</v>
      </c>
      <c r="E6" s="5">
        <f>EXP(0.444)</f>
        <v>1.5589304856219153</v>
      </c>
      <c r="F6" s="5">
        <f>EXP(-1.383)</f>
        <v>0.25082494837281111</v>
      </c>
      <c r="G6" s="5">
        <f>EXP(2.271)</f>
        <v>9.6890850562009572</v>
      </c>
      <c r="H6" s="5"/>
      <c r="I6" s="5"/>
      <c r="J6" s="9" t="s">
        <v>18</v>
      </c>
      <c r="K6" s="9" t="s">
        <v>27</v>
      </c>
      <c r="L6" s="9" t="s">
        <v>28</v>
      </c>
    </row>
    <row r="7" spans="1:12" ht="75" hidden="1">
      <c r="A7" s="6" t="s">
        <v>29</v>
      </c>
      <c r="B7" s="10" t="s">
        <v>30</v>
      </c>
      <c r="C7" s="9" t="s">
        <v>29</v>
      </c>
      <c r="D7" s="4" t="s">
        <v>14</v>
      </c>
      <c r="E7" s="5">
        <f>1/0.34</f>
        <v>2.9411764705882351</v>
      </c>
      <c r="F7" s="5">
        <f>1/0.63</f>
        <v>1.5873015873015872</v>
      </c>
      <c r="G7" s="5">
        <f>1/0.18</f>
        <v>5.5555555555555554</v>
      </c>
      <c r="H7" s="5"/>
      <c r="I7" s="5"/>
      <c r="J7" s="2">
        <v>1E-3</v>
      </c>
      <c r="K7" s="2" t="s">
        <v>27</v>
      </c>
      <c r="L7" s="6" t="s">
        <v>31</v>
      </c>
    </row>
    <row r="8" spans="1:12" ht="90" hidden="1">
      <c r="A8" s="2" t="s">
        <v>32</v>
      </c>
      <c r="B8" s="10" t="s">
        <v>30</v>
      </c>
      <c r="C8" s="9" t="s">
        <v>33</v>
      </c>
      <c r="D8" s="4" t="s">
        <v>34</v>
      </c>
      <c r="E8" s="5">
        <v>0.15</v>
      </c>
      <c r="F8" s="5">
        <v>0.02</v>
      </c>
      <c r="G8" s="5">
        <v>0.28000000000000003</v>
      </c>
      <c r="H8" s="5"/>
      <c r="I8" s="5"/>
      <c r="J8" s="9">
        <v>0.02</v>
      </c>
      <c r="K8" s="9" t="s">
        <v>27</v>
      </c>
      <c r="L8" s="9" t="s">
        <v>35</v>
      </c>
    </row>
    <row r="9" spans="1:12" ht="75" hidden="1">
      <c r="A9" s="2" t="s">
        <v>32</v>
      </c>
      <c r="B9" s="2" t="s">
        <v>36</v>
      </c>
      <c r="C9" s="2" t="s">
        <v>37</v>
      </c>
      <c r="D9" s="4" t="s">
        <v>14</v>
      </c>
      <c r="E9" s="5">
        <v>1.2350000000000001</v>
      </c>
      <c r="F9" s="5">
        <v>0.11</v>
      </c>
      <c r="G9" s="5">
        <v>13.99</v>
      </c>
      <c r="H9" s="5"/>
      <c r="I9" s="5"/>
      <c r="J9" s="2" t="s">
        <v>18</v>
      </c>
      <c r="K9" s="2" t="s">
        <v>38</v>
      </c>
      <c r="L9" s="6" t="s">
        <v>39</v>
      </c>
    </row>
    <row r="10" spans="1:12" ht="75" hidden="1">
      <c r="A10" s="2" t="s">
        <v>32</v>
      </c>
      <c r="B10" s="2" t="s">
        <v>40</v>
      </c>
      <c r="C10" s="2" t="s">
        <v>41</v>
      </c>
      <c r="D10" s="4" t="s">
        <v>14</v>
      </c>
      <c r="E10" s="5">
        <f>1/0.49</f>
        <v>2.0408163265306123</v>
      </c>
      <c r="F10" s="5">
        <f>1/1</f>
        <v>1</v>
      </c>
      <c r="G10" s="5">
        <f>1/0.24</f>
        <v>4.166666666666667</v>
      </c>
      <c r="H10" s="5"/>
      <c r="I10" s="5"/>
      <c r="J10" s="2">
        <v>0.05</v>
      </c>
      <c r="K10" s="2" t="s">
        <v>27</v>
      </c>
      <c r="L10" s="6" t="s">
        <v>42</v>
      </c>
    </row>
    <row r="11" spans="1:12" ht="105" hidden="1">
      <c r="A11" s="2" t="s">
        <v>32</v>
      </c>
      <c r="B11" s="10" t="s">
        <v>17</v>
      </c>
      <c r="C11" s="2" t="s">
        <v>32</v>
      </c>
      <c r="D11" s="4" t="s">
        <v>14</v>
      </c>
      <c r="E11" s="5">
        <v>10.634</v>
      </c>
      <c r="F11" s="5"/>
      <c r="G11" s="5"/>
      <c r="H11" s="5">
        <v>8.4009999999999998</v>
      </c>
      <c r="I11" s="5"/>
      <c r="J11" s="2">
        <v>0.01</v>
      </c>
      <c r="K11" s="8" t="s">
        <v>19</v>
      </c>
      <c r="L11" s="6" t="s">
        <v>20</v>
      </c>
    </row>
    <row r="12" spans="1:12" ht="135" hidden="1">
      <c r="A12" s="2" t="s">
        <v>32</v>
      </c>
      <c r="B12" s="2" t="s">
        <v>13</v>
      </c>
      <c r="C12" s="2" t="s">
        <v>32</v>
      </c>
      <c r="D12" s="4" t="s">
        <v>23</v>
      </c>
      <c r="E12" s="5">
        <f>0.456</f>
        <v>0.45600000000000002</v>
      </c>
      <c r="F12" s="5"/>
      <c r="G12" s="5"/>
      <c r="H12" s="5">
        <v>0.105</v>
      </c>
      <c r="I12" s="5"/>
      <c r="J12" s="2">
        <v>0.01</v>
      </c>
      <c r="K12" s="2" t="s">
        <v>24</v>
      </c>
      <c r="L12" s="11" t="s">
        <v>25</v>
      </c>
    </row>
    <row r="13" spans="1:12" ht="105" hidden="1">
      <c r="A13" s="2" t="s">
        <v>43</v>
      </c>
      <c r="B13" s="3" t="s">
        <v>30</v>
      </c>
      <c r="C13" s="9" t="s">
        <v>44</v>
      </c>
      <c r="D13" s="4" t="s">
        <v>14</v>
      </c>
      <c r="E13" s="5">
        <v>1.08</v>
      </c>
      <c r="F13" s="5">
        <v>0.54</v>
      </c>
      <c r="G13" s="5">
        <v>2.17</v>
      </c>
      <c r="H13" s="5"/>
      <c r="I13" s="5"/>
      <c r="J13" s="9" t="s">
        <v>18</v>
      </c>
      <c r="K13" s="9" t="s">
        <v>45</v>
      </c>
      <c r="L13" s="12" t="s">
        <v>46</v>
      </c>
    </row>
    <row r="14" spans="1:12" ht="105" hidden="1">
      <c r="A14" s="2" t="s">
        <v>47</v>
      </c>
      <c r="B14" s="3" t="s">
        <v>30</v>
      </c>
      <c r="C14" s="9" t="s">
        <v>48</v>
      </c>
      <c r="D14" s="4" t="s">
        <v>14</v>
      </c>
      <c r="E14" s="5">
        <v>0.7</v>
      </c>
      <c r="F14" s="5">
        <v>0.36</v>
      </c>
      <c r="G14" s="5">
        <v>1.38</v>
      </c>
      <c r="H14" s="5"/>
      <c r="I14" s="5"/>
      <c r="J14" s="9" t="s">
        <v>18</v>
      </c>
      <c r="K14" s="9" t="s">
        <v>45</v>
      </c>
      <c r="L14" s="12" t="s">
        <v>46</v>
      </c>
    </row>
    <row r="15" spans="1:12" ht="60" hidden="1">
      <c r="A15" s="13" t="s">
        <v>47</v>
      </c>
      <c r="B15" s="14" t="s">
        <v>49</v>
      </c>
      <c r="C15" s="13" t="s">
        <v>50</v>
      </c>
      <c r="D15" s="15" t="s">
        <v>23</v>
      </c>
      <c r="E15" s="16">
        <f>1/EXP(-1.204)</f>
        <v>3.3334239868128992</v>
      </c>
      <c r="F15" s="16">
        <f>1/EXP(0.941)</f>
        <v>0.39023740277199193</v>
      </c>
      <c r="G15" s="16">
        <f>1/EXP(-3.349)</f>
        <v>28.47424515674107</v>
      </c>
      <c r="H15" s="16"/>
      <c r="I15" s="16"/>
      <c r="J15" s="13">
        <v>0.27100000000000002</v>
      </c>
      <c r="K15" s="13" t="s">
        <v>21</v>
      </c>
      <c r="L15" s="17" t="s">
        <v>51</v>
      </c>
    </row>
    <row r="16" spans="1:12" ht="45" hidden="1">
      <c r="A16" s="18" t="s">
        <v>52</v>
      </c>
      <c r="B16" s="10" t="s">
        <v>30</v>
      </c>
      <c r="C16" s="2" t="s">
        <v>53</v>
      </c>
      <c r="D16" s="18" t="s">
        <v>14</v>
      </c>
      <c r="E16" s="19">
        <v>0.63</v>
      </c>
      <c r="F16" s="19">
        <v>0.26</v>
      </c>
      <c r="G16" s="19">
        <v>1.53</v>
      </c>
      <c r="H16" s="19"/>
      <c r="I16" s="19"/>
      <c r="J16" s="2" t="s">
        <v>18</v>
      </c>
      <c r="K16" s="2" t="s">
        <v>27</v>
      </c>
      <c r="L16" s="2" t="s">
        <v>54</v>
      </c>
    </row>
    <row r="17" spans="1:12" ht="45" hidden="1">
      <c r="A17" s="2" t="s">
        <v>55</v>
      </c>
      <c r="B17" s="18" t="s">
        <v>49</v>
      </c>
      <c r="C17" s="2" t="s">
        <v>55</v>
      </c>
      <c r="D17" s="18" t="s">
        <v>23</v>
      </c>
      <c r="E17" s="20">
        <f>1/EXP(1.939)</f>
        <v>0.14384772560341214</v>
      </c>
      <c r="F17" s="19">
        <f>1/EXP(5.911)</f>
        <v>2.7094760561407836E-3</v>
      </c>
      <c r="G17" s="19">
        <f>1/EXP(-2.033)</f>
        <v>7.6369629155340295</v>
      </c>
      <c r="H17" s="19"/>
      <c r="I17" s="19"/>
      <c r="J17" s="2">
        <v>0.33900000000000002</v>
      </c>
      <c r="K17" s="2" t="s">
        <v>21</v>
      </c>
      <c r="L17" s="6" t="s">
        <v>51</v>
      </c>
    </row>
    <row r="18" spans="1:12" ht="105" hidden="1">
      <c r="A18" s="18" t="s">
        <v>56</v>
      </c>
      <c r="B18" s="3" t="s">
        <v>30</v>
      </c>
      <c r="C18" s="9" t="s">
        <v>57</v>
      </c>
      <c r="D18" s="4" t="s">
        <v>14</v>
      </c>
      <c r="E18" s="5">
        <v>0.82</v>
      </c>
      <c r="F18" s="5">
        <v>0.23</v>
      </c>
      <c r="G18" s="5">
        <v>2.93</v>
      </c>
      <c r="H18" s="5"/>
      <c r="I18" s="5"/>
      <c r="J18" s="9" t="s">
        <v>18</v>
      </c>
      <c r="K18" s="9" t="s">
        <v>45</v>
      </c>
      <c r="L18" s="12" t="s">
        <v>46</v>
      </c>
    </row>
    <row r="19" spans="1:12" ht="105" hidden="1">
      <c r="A19" s="18" t="s">
        <v>56</v>
      </c>
      <c r="B19" s="3" t="s">
        <v>30</v>
      </c>
      <c r="C19" s="9" t="s">
        <v>58</v>
      </c>
      <c r="D19" s="4" t="s">
        <v>14</v>
      </c>
      <c r="E19" s="5">
        <v>1.5</v>
      </c>
      <c r="F19" s="5">
        <v>0.28000000000000003</v>
      </c>
      <c r="G19" s="5">
        <v>8.1300000000000008</v>
      </c>
      <c r="H19" s="5"/>
      <c r="I19" s="5"/>
      <c r="J19" s="9" t="s">
        <v>18</v>
      </c>
      <c r="K19" s="9" t="s">
        <v>45</v>
      </c>
      <c r="L19" s="12" t="s">
        <v>46</v>
      </c>
    </row>
    <row r="20" spans="1:12" ht="105" hidden="1">
      <c r="A20" s="18" t="s">
        <v>56</v>
      </c>
      <c r="B20" s="3" t="s">
        <v>30</v>
      </c>
      <c r="C20" s="9" t="s">
        <v>59</v>
      </c>
      <c r="D20" s="4" t="s">
        <v>14</v>
      </c>
      <c r="E20" s="5">
        <v>5.88</v>
      </c>
      <c r="F20" s="5">
        <v>1.51</v>
      </c>
      <c r="G20" s="5">
        <v>22.81</v>
      </c>
      <c r="H20" s="5"/>
      <c r="I20" s="5"/>
      <c r="J20" s="9">
        <v>0.05</v>
      </c>
      <c r="K20" s="9" t="s">
        <v>45</v>
      </c>
      <c r="L20" s="12" t="s">
        <v>46</v>
      </c>
    </row>
    <row r="21" spans="1:12" ht="105" hidden="1">
      <c r="A21" s="18" t="s">
        <v>56</v>
      </c>
      <c r="B21" s="3" t="s">
        <v>30</v>
      </c>
      <c r="C21" s="9" t="s">
        <v>60</v>
      </c>
      <c r="D21" s="4" t="s">
        <v>14</v>
      </c>
      <c r="E21" s="5">
        <v>7.71</v>
      </c>
      <c r="F21" s="5">
        <v>1.79</v>
      </c>
      <c r="G21" s="5">
        <v>33.31</v>
      </c>
      <c r="H21" s="5"/>
      <c r="I21" s="5"/>
      <c r="J21" s="9">
        <v>0.05</v>
      </c>
      <c r="K21" s="9" t="s">
        <v>45</v>
      </c>
      <c r="L21" s="12" t="s">
        <v>46</v>
      </c>
    </row>
    <row r="22" spans="1:12" ht="105" hidden="1">
      <c r="A22" s="18" t="s">
        <v>56</v>
      </c>
      <c r="B22" s="3" t="s">
        <v>30</v>
      </c>
      <c r="C22" s="9" t="s">
        <v>61</v>
      </c>
      <c r="D22" s="4" t="s">
        <v>14</v>
      </c>
      <c r="E22" s="5">
        <v>5.68</v>
      </c>
      <c r="F22" s="5">
        <v>1.88</v>
      </c>
      <c r="G22" s="5">
        <v>17.13</v>
      </c>
      <c r="H22" s="5"/>
      <c r="I22" s="5"/>
      <c r="J22" s="9">
        <v>0.05</v>
      </c>
      <c r="K22" s="9" t="s">
        <v>45</v>
      </c>
      <c r="L22" s="6" t="s">
        <v>46</v>
      </c>
    </row>
    <row r="23" spans="1:12" ht="105" hidden="1">
      <c r="A23" s="18" t="s">
        <v>56</v>
      </c>
      <c r="B23" s="3" t="s">
        <v>30</v>
      </c>
      <c r="C23" s="9" t="s">
        <v>62</v>
      </c>
      <c r="D23" s="4" t="s">
        <v>14</v>
      </c>
      <c r="E23" s="5">
        <v>15.61</v>
      </c>
      <c r="F23" s="5">
        <v>3.87</v>
      </c>
      <c r="G23" s="5">
        <v>62.94</v>
      </c>
      <c r="H23" s="5"/>
      <c r="I23" s="5"/>
      <c r="J23" s="9">
        <v>0.05</v>
      </c>
      <c r="K23" s="9" t="s">
        <v>45</v>
      </c>
      <c r="L23" s="12" t="s">
        <v>46</v>
      </c>
    </row>
    <row r="24" spans="1:12" ht="105" hidden="1">
      <c r="A24" s="18" t="s">
        <v>56</v>
      </c>
      <c r="B24" s="3" t="s">
        <v>30</v>
      </c>
      <c r="C24" s="9" t="s">
        <v>63</v>
      </c>
      <c r="D24" s="4" t="s">
        <v>14</v>
      </c>
      <c r="E24" s="5">
        <v>22.83</v>
      </c>
      <c r="F24" s="5">
        <v>8.07</v>
      </c>
      <c r="G24" s="5">
        <v>64.540000000000006</v>
      </c>
      <c r="H24" s="5"/>
      <c r="I24" s="5"/>
      <c r="J24" s="9">
        <v>0.05</v>
      </c>
      <c r="K24" s="9" t="s">
        <v>45</v>
      </c>
      <c r="L24" s="12" t="s">
        <v>46</v>
      </c>
    </row>
    <row r="25" spans="1:12" ht="105" hidden="1">
      <c r="A25" s="18" t="s">
        <v>56</v>
      </c>
      <c r="B25" s="3" t="s">
        <v>30</v>
      </c>
      <c r="C25" s="9" t="s">
        <v>64</v>
      </c>
      <c r="D25" s="4" t="s">
        <v>14</v>
      </c>
      <c r="E25" s="5">
        <v>43.35</v>
      </c>
      <c r="F25" s="5">
        <v>13</v>
      </c>
      <c r="G25" s="5">
        <v>144.53</v>
      </c>
      <c r="H25" s="5"/>
      <c r="I25" s="5"/>
      <c r="J25" s="9">
        <v>0.05</v>
      </c>
      <c r="K25" s="9" t="s">
        <v>45</v>
      </c>
      <c r="L25" s="12" t="s">
        <v>46</v>
      </c>
    </row>
    <row r="26" spans="1:12" ht="45" hidden="1">
      <c r="A26" s="18" t="s">
        <v>65</v>
      </c>
      <c r="B26" s="18" t="s">
        <v>13</v>
      </c>
      <c r="C26" s="2" t="s">
        <v>66</v>
      </c>
      <c r="D26" s="4" t="s">
        <v>23</v>
      </c>
      <c r="E26" s="5">
        <f>0.082</f>
        <v>8.2000000000000003E-2</v>
      </c>
      <c r="F26" s="5"/>
      <c r="G26" s="5"/>
      <c r="H26" s="5">
        <v>5.0999999999999997E-2</v>
      </c>
      <c r="I26" s="5"/>
      <c r="J26" s="2">
        <v>0.05</v>
      </c>
      <c r="K26" s="2" t="s">
        <v>67</v>
      </c>
      <c r="L26" s="6" t="s">
        <v>25</v>
      </c>
    </row>
    <row r="27" spans="1:12" ht="45" hidden="1">
      <c r="A27" s="18" t="s">
        <v>65</v>
      </c>
      <c r="B27" s="18" t="s">
        <v>13</v>
      </c>
      <c r="C27" s="2" t="s">
        <v>68</v>
      </c>
      <c r="D27" s="4" t="s">
        <v>23</v>
      </c>
      <c r="E27" s="5">
        <f>0.248</f>
        <v>0.248</v>
      </c>
      <c r="F27" s="5"/>
      <c r="G27" s="5"/>
      <c r="H27" s="5">
        <v>6.9000000000000006E-2</v>
      </c>
      <c r="I27" s="5"/>
      <c r="J27" s="2">
        <v>0.01</v>
      </c>
      <c r="K27" s="2" t="s">
        <v>69</v>
      </c>
      <c r="L27" s="6" t="s">
        <v>25</v>
      </c>
    </row>
    <row r="28" spans="1:12" ht="45" hidden="1">
      <c r="A28" s="18" t="s">
        <v>65</v>
      </c>
      <c r="B28" s="18" t="s">
        <v>13</v>
      </c>
      <c r="C28" s="2" t="s">
        <v>70</v>
      </c>
      <c r="D28" s="4" t="s">
        <v>23</v>
      </c>
      <c r="E28" s="5">
        <v>7.7320000000000002</v>
      </c>
      <c r="F28" s="5"/>
      <c r="G28" s="5"/>
      <c r="H28" s="5">
        <v>3.5670000000000002</v>
      </c>
      <c r="I28" s="5"/>
      <c r="J28" s="2">
        <v>0.01</v>
      </c>
      <c r="K28" s="2" t="s">
        <v>71</v>
      </c>
      <c r="L28" s="6" t="s">
        <v>25</v>
      </c>
    </row>
    <row r="29" spans="1:12" ht="45" hidden="1">
      <c r="A29" s="18" t="s">
        <v>65</v>
      </c>
      <c r="B29" s="18" t="s">
        <v>13</v>
      </c>
      <c r="C29" s="2" t="s">
        <v>72</v>
      </c>
      <c r="D29" s="4" t="s">
        <v>23</v>
      </c>
      <c r="E29" s="5">
        <f>2.45</f>
        <v>2.4500000000000002</v>
      </c>
      <c r="F29" s="5"/>
      <c r="G29" s="5"/>
      <c r="H29" s="5">
        <v>1.137</v>
      </c>
      <c r="I29" s="5"/>
      <c r="J29" s="2">
        <v>0.1</v>
      </c>
      <c r="K29" s="2" t="s">
        <v>73</v>
      </c>
      <c r="L29" s="6" t="s">
        <v>25</v>
      </c>
    </row>
    <row r="30" spans="1:12" ht="45" hidden="1">
      <c r="A30" s="18" t="s">
        <v>65</v>
      </c>
      <c r="B30" s="18" t="s">
        <v>13</v>
      </c>
      <c r="C30" s="2" t="s">
        <v>74</v>
      </c>
      <c r="D30" s="4" t="s">
        <v>23</v>
      </c>
      <c r="E30" s="5">
        <f>3.308</f>
        <v>3.3079999999999998</v>
      </c>
      <c r="F30" s="5"/>
      <c r="G30" s="5"/>
      <c r="H30" s="5">
        <v>0.52900000000000003</v>
      </c>
      <c r="I30" s="5"/>
      <c r="J30" s="2">
        <v>0.01</v>
      </c>
      <c r="K30" s="2" t="s">
        <v>75</v>
      </c>
      <c r="L30" s="6" t="s">
        <v>25</v>
      </c>
    </row>
    <row r="31" spans="1:12" ht="45" hidden="1">
      <c r="A31" s="18" t="s">
        <v>65</v>
      </c>
      <c r="B31" s="18" t="s">
        <v>13</v>
      </c>
      <c r="C31" s="2" t="s">
        <v>76</v>
      </c>
      <c r="D31" s="4" t="s">
        <v>23</v>
      </c>
      <c r="E31" s="5">
        <v>35.49</v>
      </c>
      <c r="F31" s="5"/>
      <c r="G31" s="5"/>
      <c r="H31" s="5">
        <v>28.5</v>
      </c>
      <c r="I31" s="5"/>
      <c r="J31" s="2">
        <v>0.01</v>
      </c>
      <c r="K31" s="2" t="s">
        <v>77</v>
      </c>
      <c r="L31" s="6" t="s">
        <v>25</v>
      </c>
    </row>
    <row r="32" spans="1:12" ht="45" hidden="1">
      <c r="A32" s="18" t="s">
        <v>65</v>
      </c>
      <c r="B32" s="18" t="s">
        <v>13</v>
      </c>
      <c r="C32" s="2" t="s">
        <v>78</v>
      </c>
      <c r="D32" s="4" t="s">
        <v>23</v>
      </c>
      <c r="E32" s="5">
        <v>0.219</v>
      </c>
      <c r="F32" s="5"/>
      <c r="G32" s="5"/>
      <c r="H32" s="5">
        <v>2.3E-2</v>
      </c>
      <c r="I32" s="5"/>
      <c r="J32" s="2">
        <v>0.01</v>
      </c>
      <c r="K32" s="2" t="s">
        <v>69</v>
      </c>
      <c r="L32" s="6" t="s">
        <v>25</v>
      </c>
    </row>
    <row r="33" spans="1:12" ht="45" hidden="1">
      <c r="A33" s="21" t="s">
        <v>79</v>
      </c>
      <c r="B33" s="21" t="s">
        <v>13</v>
      </c>
      <c r="C33" s="2" t="s">
        <v>80</v>
      </c>
      <c r="D33" s="4" t="s">
        <v>14</v>
      </c>
      <c r="E33" s="5">
        <v>0.83699999999999997</v>
      </c>
      <c r="F33" s="5">
        <v>0.29099999999999998</v>
      </c>
      <c r="G33" s="5">
        <v>2.4009999999999998</v>
      </c>
      <c r="H33" s="5"/>
      <c r="I33" s="5"/>
      <c r="J33" s="2" t="s">
        <v>18</v>
      </c>
      <c r="K33" s="2" t="s">
        <v>21</v>
      </c>
      <c r="L33" s="6" t="s">
        <v>22</v>
      </c>
    </row>
    <row r="34" spans="1:12" ht="60" hidden="1">
      <c r="A34" s="21" t="s">
        <v>79</v>
      </c>
      <c r="B34" s="21" t="s">
        <v>81</v>
      </c>
      <c r="C34" s="2" t="s">
        <v>80</v>
      </c>
      <c r="D34" s="4" t="s">
        <v>23</v>
      </c>
      <c r="E34" s="5">
        <f>1/EXP(0.82)</f>
        <v>0.4404316545059993</v>
      </c>
      <c r="F34" s="5">
        <f>1/EXP(2.51)</f>
        <v>8.1268239240891701E-2</v>
      </c>
      <c r="G34" s="5">
        <f>1/EXP(-0.86)</f>
        <v>2.3631606937057947</v>
      </c>
      <c r="H34" s="5"/>
      <c r="I34" s="5"/>
      <c r="J34" s="2">
        <v>0.33800000000000002</v>
      </c>
      <c r="K34" s="2" t="s">
        <v>82</v>
      </c>
      <c r="L34" s="6" t="s">
        <v>83</v>
      </c>
    </row>
    <row r="35" spans="1:12" ht="45" hidden="1">
      <c r="A35" s="21" t="s">
        <v>84</v>
      </c>
      <c r="B35" s="21" t="s">
        <v>13</v>
      </c>
      <c r="C35" s="9" t="s">
        <v>85</v>
      </c>
      <c r="D35" s="4" t="s">
        <v>14</v>
      </c>
      <c r="E35" s="5">
        <f>1/1.66</f>
        <v>0.60240963855421692</v>
      </c>
      <c r="F35" s="5">
        <f>1/1.03</f>
        <v>0.970873786407767</v>
      </c>
      <c r="G35" s="5">
        <f>1/2.68</f>
        <v>0.37313432835820892</v>
      </c>
      <c r="H35" s="5"/>
      <c r="I35" s="5"/>
      <c r="J35" s="9">
        <v>3.9E-2</v>
      </c>
      <c r="K35" s="9" t="s">
        <v>86</v>
      </c>
      <c r="L35" s="9" t="s">
        <v>87</v>
      </c>
    </row>
    <row r="36" spans="1:12" ht="45" hidden="1">
      <c r="A36" s="21" t="s">
        <v>88</v>
      </c>
      <c r="B36" s="21" t="s">
        <v>13</v>
      </c>
      <c r="C36" s="2" t="s">
        <v>89</v>
      </c>
      <c r="D36" s="4" t="s">
        <v>14</v>
      </c>
      <c r="E36" s="5">
        <v>0.41</v>
      </c>
      <c r="F36" s="5">
        <v>0.21</v>
      </c>
      <c r="G36" s="5">
        <v>0.79</v>
      </c>
      <c r="H36" s="5"/>
      <c r="I36" s="5"/>
      <c r="J36" s="2" t="s">
        <v>90</v>
      </c>
      <c r="K36" s="2" t="s">
        <v>86</v>
      </c>
      <c r="L36" s="6" t="s">
        <v>87</v>
      </c>
    </row>
    <row r="37" spans="1:12" ht="90" hidden="1">
      <c r="A37" s="21" t="s">
        <v>91</v>
      </c>
      <c r="B37" s="21" t="s">
        <v>81</v>
      </c>
      <c r="C37" s="2" t="s">
        <v>92</v>
      </c>
      <c r="D37" s="4" t="s">
        <v>23</v>
      </c>
      <c r="E37" s="5">
        <f>1/EXP(2.2)</f>
        <v>0.11080315836233387</v>
      </c>
      <c r="F37" s="5">
        <f>1/EXP(5.12)</f>
        <v>5.9760228950059427E-3</v>
      </c>
      <c r="G37" s="5">
        <f>1/EXP(-0.73)</f>
        <v>2.0750806076741224</v>
      </c>
      <c r="H37" s="5"/>
      <c r="I37" s="5"/>
      <c r="J37" s="2">
        <v>0.14099999999999999</v>
      </c>
      <c r="K37" s="2" t="s">
        <v>82</v>
      </c>
      <c r="L37" s="6" t="s">
        <v>83</v>
      </c>
    </row>
    <row r="38" spans="1:12" ht="45" hidden="1">
      <c r="A38" s="22" t="s">
        <v>93</v>
      </c>
      <c r="B38" s="21" t="s">
        <v>13</v>
      </c>
      <c r="C38" s="22" t="s">
        <v>93</v>
      </c>
      <c r="D38" s="4" t="s">
        <v>34</v>
      </c>
      <c r="E38" s="5">
        <v>0.77300000000000002</v>
      </c>
      <c r="F38" s="5">
        <f>E38-1.96*H38</f>
        <v>0.71811999999999998</v>
      </c>
      <c r="G38" s="5">
        <f>E38+1.96*H38</f>
        <v>0.82788000000000006</v>
      </c>
      <c r="H38" s="5">
        <v>2.8000000000000001E-2</v>
      </c>
      <c r="I38" s="5"/>
      <c r="J38" s="9">
        <v>0.01</v>
      </c>
      <c r="K38" s="2" t="s">
        <v>27</v>
      </c>
      <c r="L38" s="6" t="s">
        <v>25</v>
      </c>
    </row>
    <row r="39" spans="1:12" ht="45" hidden="1">
      <c r="A39" s="22" t="s">
        <v>93</v>
      </c>
      <c r="B39" s="21" t="s">
        <v>13</v>
      </c>
      <c r="C39" s="22" t="s">
        <v>93</v>
      </c>
      <c r="D39" s="4" t="s">
        <v>34</v>
      </c>
      <c r="E39" s="5">
        <v>0.06</v>
      </c>
      <c r="F39" s="5">
        <f t="shared" ref="F39:F45" si="0">E39-1.96*H39</f>
        <v>4.6280000000000002E-2</v>
      </c>
      <c r="G39" s="5">
        <f t="shared" ref="G39:G45" si="1">E39+1.96*H39</f>
        <v>7.3719999999999994E-2</v>
      </c>
      <c r="H39" s="5">
        <v>7.0000000000000001E-3</v>
      </c>
      <c r="I39" s="5"/>
      <c r="J39" s="9">
        <v>0.01</v>
      </c>
      <c r="K39" s="2" t="s">
        <v>94</v>
      </c>
      <c r="L39" s="6" t="s">
        <v>25</v>
      </c>
    </row>
    <row r="40" spans="1:12" ht="45" hidden="1">
      <c r="A40" s="22" t="s">
        <v>93</v>
      </c>
      <c r="B40" s="21" t="s">
        <v>13</v>
      </c>
      <c r="C40" s="22" t="s">
        <v>93</v>
      </c>
      <c r="D40" s="4" t="s">
        <v>34</v>
      </c>
      <c r="E40" s="5">
        <v>7.1999999999999995E-2</v>
      </c>
      <c r="F40" s="5">
        <f t="shared" si="0"/>
        <v>3.2799999999999996E-2</v>
      </c>
      <c r="G40" s="5">
        <f t="shared" si="1"/>
        <v>0.11119999999999999</v>
      </c>
      <c r="H40" s="5">
        <v>0.02</v>
      </c>
      <c r="I40" s="5"/>
      <c r="J40" s="9">
        <v>0.01</v>
      </c>
      <c r="K40" s="2" t="s">
        <v>95</v>
      </c>
      <c r="L40" s="6" t="s">
        <v>25</v>
      </c>
    </row>
    <row r="41" spans="1:12" ht="45" hidden="1">
      <c r="A41" s="22" t="s">
        <v>93</v>
      </c>
      <c r="B41" s="21" t="s">
        <v>13</v>
      </c>
      <c r="C41" s="22" t="s">
        <v>93</v>
      </c>
      <c r="D41" s="4" t="s">
        <v>34</v>
      </c>
      <c r="E41" s="5">
        <v>0.19800000000000001</v>
      </c>
      <c r="F41" s="5">
        <f t="shared" si="0"/>
        <v>0.10784000000000002</v>
      </c>
      <c r="G41" s="5">
        <f t="shared" si="1"/>
        <v>0.28815999999999997</v>
      </c>
      <c r="H41" s="5">
        <v>4.5999999999999999E-2</v>
      </c>
      <c r="I41" s="5"/>
      <c r="J41" s="9">
        <v>0.01</v>
      </c>
      <c r="K41" s="2" t="s">
        <v>96</v>
      </c>
      <c r="L41" s="6" t="s">
        <v>25</v>
      </c>
    </row>
    <row r="42" spans="1:12" ht="45" hidden="1">
      <c r="A42" s="22" t="s">
        <v>93</v>
      </c>
      <c r="B42" s="21" t="s">
        <v>13</v>
      </c>
      <c r="C42" s="22" t="s">
        <v>93</v>
      </c>
      <c r="D42" s="4" t="s">
        <v>34</v>
      </c>
      <c r="E42" s="5">
        <v>0.20100000000000001</v>
      </c>
      <c r="F42" s="5">
        <f t="shared" si="0"/>
        <v>0.10888000000000002</v>
      </c>
      <c r="G42" s="5">
        <f t="shared" si="1"/>
        <v>0.29311999999999999</v>
      </c>
      <c r="H42" s="5">
        <v>4.7E-2</v>
      </c>
      <c r="I42" s="5"/>
      <c r="J42" s="9">
        <v>0.01</v>
      </c>
      <c r="K42" s="2" t="s">
        <v>97</v>
      </c>
      <c r="L42" s="6" t="s">
        <v>25</v>
      </c>
    </row>
    <row r="43" spans="1:12" ht="45" hidden="1">
      <c r="A43" s="22" t="s">
        <v>93</v>
      </c>
      <c r="B43" s="21" t="s">
        <v>13</v>
      </c>
      <c r="C43" s="22" t="s">
        <v>93</v>
      </c>
      <c r="D43" s="4" t="s">
        <v>34</v>
      </c>
      <c r="E43" s="5">
        <v>0.64700000000000002</v>
      </c>
      <c r="F43" s="5">
        <f t="shared" si="0"/>
        <v>0.60387999999999997</v>
      </c>
      <c r="G43" s="5">
        <f t="shared" si="1"/>
        <v>0.69012000000000007</v>
      </c>
      <c r="H43" s="5">
        <v>2.1999999999999999E-2</v>
      </c>
      <c r="I43" s="5"/>
      <c r="J43" s="9">
        <v>0.01</v>
      </c>
      <c r="K43" s="2" t="s">
        <v>86</v>
      </c>
      <c r="L43" s="6" t="s">
        <v>25</v>
      </c>
    </row>
    <row r="44" spans="1:12" ht="45" hidden="1">
      <c r="A44" s="22" t="s">
        <v>93</v>
      </c>
      <c r="B44" s="21" t="s">
        <v>13</v>
      </c>
      <c r="C44" s="22" t="s">
        <v>93</v>
      </c>
      <c r="D44" s="4" t="s">
        <v>34</v>
      </c>
      <c r="E44" s="5">
        <v>0.29299999999999998</v>
      </c>
      <c r="F44" s="5">
        <f t="shared" si="0"/>
        <v>0.22047999999999998</v>
      </c>
      <c r="G44" s="5">
        <f t="shared" si="1"/>
        <v>0.36551999999999996</v>
      </c>
      <c r="H44" s="5">
        <v>3.6999999999999998E-2</v>
      </c>
      <c r="I44" s="5"/>
      <c r="J44" s="9">
        <v>0.01</v>
      </c>
      <c r="K44" s="2" t="s">
        <v>98</v>
      </c>
      <c r="L44" s="6" t="s">
        <v>25</v>
      </c>
    </row>
    <row r="45" spans="1:12" ht="45" hidden="1">
      <c r="A45" s="22" t="s">
        <v>93</v>
      </c>
      <c r="B45" s="21" t="s">
        <v>13</v>
      </c>
      <c r="C45" s="22" t="s">
        <v>93</v>
      </c>
      <c r="D45" s="4" t="s">
        <v>34</v>
      </c>
      <c r="E45" s="5">
        <v>3.7453183520599249</v>
      </c>
      <c r="F45" s="5">
        <f t="shared" si="0"/>
        <v>3.7021983520599249</v>
      </c>
      <c r="G45" s="5">
        <f t="shared" si="1"/>
        <v>3.788438352059925</v>
      </c>
      <c r="H45" s="5">
        <v>2.1999999999999999E-2</v>
      </c>
      <c r="I45" s="5"/>
      <c r="J45" s="9">
        <v>0.01</v>
      </c>
      <c r="K45" s="2" t="s">
        <v>86</v>
      </c>
      <c r="L45" s="6" t="s">
        <v>25</v>
      </c>
    </row>
    <row r="46" spans="1:12" ht="45" hidden="1">
      <c r="A46" s="18" t="s">
        <v>99</v>
      </c>
      <c r="B46" s="3" t="s">
        <v>30</v>
      </c>
      <c r="C46" s="2" t="s">
        <v>100</v>
      </c>
      <c r="D46" s="18" t="s">
        <v>34</v>
      </c>
      <c r="E46" s="19">
        <v>0.44</v>
      </c>
      <c r="F46" s="19">
        <v>0.18</v>
      </c>
      <c r="G46" s="19">
        <v>0.7</v>
      </c>
      <c r="H46" s="19"/>
      <c r="I46" s="19"/>
      <c r="J46" s="2">
        <v>0.01</v>
      </c>
      <c r="K46" s="2" t="s">
        <v>27</v>
      </c>
      <c r="L46" s="9" t="s">
        <v>35</v>
      </c>
    </row>
    <row r="47" spans="1:12" ht="45" hidden="1">
      <c r="A47" s="18" t="s">
        <v>99</v>
      </c>
      <c r="B47" s="18" t="s">
        <v>40</v>
      </c>
      <c r="C47" s="2" t="s">
        <v>101</v>
      </c>
      <c r="D47" s="18" t="s">
        <v>14</v>
      </c>
      <c r="E47" s="19">
        <v>3.18</v>
      </c>
      <c r="F47" s="19">
        <v>1</v>
      </c>
      <c r="G47" s="19">
        <v>10.11</v>
      </c>
      <c r="H47" s="19"/>
      <c r="I47" s="19"/>
      <c r="J47" s="2" t="s">
        <v>102</v>
      </c>
      <c r="K47" s="2" t="s">
        <v>27</v>
      </c>
      <c r="L47" s="9" t="s">
        <v>42</v>
      </c>
    </row>
    <row r="48" spans="1:12" ht="45" hidden="1">
      <c r="A48" s="18" t="s">
        <v>99</v>
      </c>
      <c r="B48" s="20" t="s">
        <v>103</v>
      </c>
      <c r="C48" s="2" t="s">
        <v>101</v>
      </c>
      <c r="D48" s="18" t="s">
        <v>14</v>
      </c>
      <c r="E48" s="19">
        <v>11.1442</v>
      </c>
      <c r="F48" s="19">
        <v>3.0124</v>
      </c>
      <c r="G48" s="19">
        <v>41.2271</v>
      </c>
      <c r="H48" s="19"/>
      <c r="I48" s="19"/>
      <c r="J48" s="2">
        <v>0.05</v>
      </c>
      <c r="K48" s="2" t="s">
        <v>104</v>
      </c>
      <c r="L48" s="9" t="s">
        <v>105</v>
      </c>
    </row>
    <row r="49" spans="1:12" ht="30" hidden="1">
      <c r="A49" s="18" t="s">
        <v>99</v>
      </c>
      <c r="B49" s="18" t="s">
        <v>36</v>
      </c>
      <c r="C49" s="2" t="s">
        <v>99</v>
      </c>
      <c r="D49" s="18" t="s">
        <v>14</v>
      </c>
      <c r="E49" s="19">
        <v>11.805</v>
      </c>
      <c r="F49" s="19">
        <v>0.81399999999999995</v>
      </c>
      <c r="G49" s="19">
        <v>168.209</v>
      </c>
      <c r="H49" s="19"/>
      <c r="I49" s="19"/>
      <c r="J49" s="2" t="s">
        <v>18</v>
      </c>
      <c r="K49" s="2" t="s">
        <v>38</v>
      </c>
      <c r="L49" s="9" t="s">
        <v>39</v>
      </c>
    </row>
    <row r="50" spans="1:12" ht="60" hidden="1">
      <c r="A50" s="18" t="s">
        <v>99</v>
      </c>
      <c r="B50" s="18" t="s">
        <v>106</v>
      </c>
      <c r="C50" s="2" t="s">
        <v>107</v>
      </c>
      <c r="D50" s="18" t="s">
        <v>14</v>
      </c>
      <c r="E50" s="19">
        <f>EXP(1.568)</f>
        <v>4.7970445042783547</v>
      </c>
      <c r="F50" s="19">
        <f>EXP(1.568-1.96*0.913)</f>
        <v>0.80133194862664214</v>
      </c>
      <c r="G50" s="19">
        <f>EXP(1.568+1.96*0.913)</f>
        <v>28.716733452928601</v>
      </c>
      <c r="H50" s="19"/>
      <c r="I50" s="19"/>
      <c r="J50" s="2">
        <v>0.1</v>
      </c>
      <c r="K50" s="2" t="s">
        <v>98</v>
      </c>
      <c r="L50" s="6" t="s">
        <v>108</v>
      </c>
    </row>
    <row r="51" spans="1:12" ht="90" hidden="1">
      <c r="A51" s="18" t="s">
        <v>99</v>
      </c>
      <c r="B51" s="18" t="s">
        <v>13</v>
      </c>
      <c r="C51" s="2" t="s">
        <v>109</v>
      </c>
      <c r="D51" s="18" t="s">
        <v>14</v>
      </c>
      <c r="E51" s="19">
        <v>2.9561000000000002</v>
      </c>
      <c r="F51" s="19">
        <v>0.3972</v>
      </c>
      <c r="G51" s="19">
        <v>22</v>
      </c>
      <c r="H51" s="19"/>
      <c r="I51" s="19"/>
      <c r="J51" s="2">
        <v>0.42559999999999998</v>
      </c>
      <c r="K51" s="2" t="s">
        <v>15</v>
      </c>
      <c r="L51" s="6" t="s">
        <v>16</v>
      </c>
    </row>
    <row r="52" spans="1:12" ht="60" hidden="1">
      <c r="A52" s="18" t="s">
        <v>99</v>
      </c>
      <c r="B52" s="18" t="s">
        <v>13</v>
      </c>
      <c r="C52" s="2" t="s">
        <v>110</v>
      </c>
      <c r="D52" s="18" t="s">
        <v>14</v>
      </c>
      <c r="E52" s="19">
        <v>1.383</v>
      </c>
      <c r="F52" s="19">
        <v>0.39500000000000002</v>
      </c>
      <c r="G52" s="19">
        <v>4.8419999999999996</v>
      </c>
      <c r="H52" s="19"/>
      <c r="I52" s="19"/>
      <c r="J52" s="2" t="s">
        <v>18</v>
      </c>
      <c r="K52" s="2" t="s">
        <v>21</v>
      </c>
      <c r="L52" s="6" t="s">
        <v>111</v>
      </c>
    </row>
    <row r="53" spans="1:12" ht="105" hidden="1">
      <c r="A53" s="43" t="s">
        <v>99</v>
      </c>
      <c r="B53" s="18" t="s">
        <v>17</v>
      </c>
      <c r="C53" s="44" t="s">
        <v>99</v>
      </c>
      <c r="D53" s="15" t="s">
        <v>14</v>
      </c>
      <c r="E53" s="16">
        <v>1.2749999999999999</v>
      </c>
      <c r="F53" s="16"/>
      <c r="G53" s="16"/>
      <c r="H53" s="16">
        <v>0.69</v>
      </c>
      <c r="I53" s="16"/>
      <c r="J53" s="13" t="s">
        <v>18</v>
      </c>
      <c r="K53" s="45" t="s">
        <v>19</v>
      </c>
      <c r="L53" s="17" t="s">
        <v>20</v>
      </c>
    </row>
    <row r="54" spans="1:12" ht="30" hidden="1">
      <c r="A54" s="23" t="s">
        <v>99</v>
      </c>
      <c r="B54" s="21"/>
      <c r="C54" s="22" t="s">
        <v>112</v>
      </c>
      <c r="D54" s="4" t="s">
        <v>14</v>
      </c>
      <c r="E54" s="5">
        <v>0.91190000000000004</v>
      </c>
      <c r="F54" s="5">
        <v>0.2858</v>
      </c>
      <c r="G54" s="5">
        <v>2.9097</v>
      </c>
      <c r="H54" s="5"/>
      <c r="I54" s="5"/>
      <c r="J54" s="2" t="s">
        <v>18</v>
      </c>
      <c r="K54" s="2" t="s">
        <v>113</v>
      </c>
      <c r="L54" s="6" t="s">
        <v>105</v>
      </c>
    </row>
    <row r="55" spans="1:12" ht="45" hidden="1">
      <c r="A55" s="23" t="s">
        <v>99</v>
      </c>
      <c r="B55" s="21" t="s">
        <v>13</v>
      </c>
      <c r="C55" s="22" t="s">
        <v>99</v>
      </c>
      <c r="D55" s="4" t="s">
        <v>14</v>
      </c>
      <c r="E55" s="5">
        <v>0.39700000000000002</v>
      </c>
      <c r="F55" s="5">
        <v>2.5000000000000001E-2</v>
      </c>
      <c r="G55" s="5">
        <v>6.3620000000000001</v>
      </c>
      <c r="H55" s="5"/>
      <c r="I55" s="5"/>
      <c r="J55" s="2" t="s">
        <v>18</v>
      </c>
      <c r="K55" s="2" t="s">
        <v>21</v>
      </c>
      <c r="L55" s="9" t="s">
        <v>22</v>
      </c>
    </row>
    <row r="56" spans="1:12" ht="60" hidden="1">
      <c r="A56" s="23" t="s">
        <v>114</v>
      </c>
      <c r="B56" s="21" t="s">
        <v>106</v>
      </c>
      <c r="C56" s="22" t="s">
        <v>115</v>
      </c>
      <c r="D56" s="4" t="s">
        <v>14</v>
      </c>
      <c r="E56" s="5">
        <v>0.68</v>
      </c>
      <c r="F56" s="5">
        <v>0.54</v>
      </c>
      <c r="G56" s="5">
        <v>0.85</v>
      </c>
      <c r="H56" s="5"/>
      <c r="I56" s="5"/>
      <c r="J56" s="2">
        <v>0.01</v>
      </c>
      <c r="K56" s="2" t="s">
        <v>116</v>
      </c>
      <c r="L56" s="6" t="s">
        <v>117</v>
      </c>
    </row>
    <row r="57" spans="1:12" ht="45" hidden="1">
      <c r="A57" s="23" t="s">
        <v>118</v>
      </c>
      <c r="B57" s="21" t="s">
        <v>13</v>
      </c>
      <c r="C57" s="22" t="s">
        <v>119</v>
      </c>
      <c r="D57" s="4" t="s">
        <v>14</v>
      </c>
      <c r="E57" s="5">
        <v>2.2090000000000001</v>
      </c>
      <c r="F57" s="5">
        <v>0.35899999999999999</v>
      </c>
      <c r="G57" s="5">
        <v>13.593999999999999</v>
      </c>
      <c r="H57" s="5"/>
      <c r="I57" s="5"/>
      <c r="J57" s="2" t="s">
        <v>18</v>
      </c>
      <c r="K57" s="2" t="s">
        <v>21</v>
      </c>
      <c r="L57" s="6" t="s">
        <v>22</v>
      </c>
    </row>
    <row r="58" spans="1:12" ht="45" hidden="1">
      <c r="A58" s="23" t="s">
        <v>120</v>
      </c>
      <c r="B58" s="21" t="s">
        <v>13</v>
      </c>
      <c r="C58" s="22" t="s">
        <v>121</v>
      </c>
      <c r="D58" s="4" t="s">
        <v>14</v>
      </c>
      <c r="E58" s="5">
        <v>5.7320000000000002</v>
      </c>
      <c r="F58" s="5">
        <v>1.615</v>
      </c>
      <c r="G58" s="5">
        <v>20.343</v>
      </c>
      <c r="H58" s="5"/>
      <c r="I58" s="5"/>
      <c r="J58" s="2">
        <v>0.05</v>
      </c>
      <c r="K58" s="2" t="s">
        <v>21</v>
      </c>
      <c r="L58" s="6" t="s">
        <v>22</v>
      </c>
    </row>
    <row r="59" spans="1:12" ht="45" hidden="1">
      <c r="A59" s="23" t="s">
        <v>122</v>
      </c>
      <c r="B59" s="21" t="s">
        <v>17</v>
      </c>
      <c r="C59" s="22" t="s">
        <v>123</v>
      </c>
      <c r="D59" s="4" t="s">
        <v>34</v>
      </c>
      <c r="E59" s="5">
        <v>0.104</v>
      </c>
      <c r="F59" s="5">
        <f>E59-1.96*H59</f>
        <v>-2.7319999999999997E-2</v>
      </c>
      <c r="G59" s="5">
        <f>E59+1.96*H59</f>
        <v>0.23531999999999997</v>
      </c>
      <c r="H59" s="5">
        <v>6.7000000000000004E-2</v>
      </c>
      <c r="I59" s="5"/>
      <c r="J59" s="2" t="s">
        <v>18</v>
      </c>
      <c r="K59" s="2" t="s">
        <v>94</v>
      </c>
      <c r="L59" s="6" t="s">
        <v>20</v>
      </c>
    </row>
    <row r="60" spans="1:12" ht="45" hidden="1">
      <c r="A60" s="23" t="s">
        <v>122</v>
      </c>
      <c r="B60" s="21" t="s">
        <v>17</v>
      </c>
      <c r="C60" s="22" t="s">
        <v>123</v>
      </c>
      <c r="D60" s="4" t="s">
        <v>34</v>
      </c>
      <c r="E60" s="5">
        <v>7.6999999999999999E-2</v>
      </c>
      <c r="F60" s="5">
        <f t="shared" ref="F60:F62" si="2">E60-1.96*H60</f>
        <v>-2.1000000000000005E-2</v>
      </c>
      <c r="G60" s="5">
        <f t="shared" ref="G60:G62" si="3">E60+1.96*H60</f>
        <v>0.17499999999999999</v>
      </c>
      <c r="H60" s="5">
        <v>0.05</v>
      </c>
      <c r="I60" s="5"/>
      <c r="J60" s="2" t="s">
        <v>18</v>
      </c>
      <c r="K60" s="2" t="s">
        <v>86</v>
      </c>
      <c r="L60" s="6" t="s">
        <v>20</v>
      </c>
    </row>
    <row r="61" spans="1:12" ht="45" hidden="1">
      <c r="A61" s="23" t="s">
        <v>122</v>
      </c>
      <c r="B61" s="21" t="s">
        <v>17</v>
      </c>
      <c r="C61" s="22" t="s">
        <v>123</v>
      </c>
      <c r="D61" s="4" t="s">
        <v>34</v>
      </c>
      <c r="E61" s="5">
        <v>0.06</v>
      </c>
      <c r="F61" s="5">
        <f t="shared" si="2"/>
        <v>-1.2520000000000003E-2</v>
      </c>
      <c r="G61" s="5">
        <f t="shared" si="3"/>
        <v>0.13252</v>
      </c>
      <c r="H61" s="5">
        <v>3.6999999999999998E-2</v>
      </c>
      <c r="I61" s="5"/>
      <c r="J61" s="2" t="s">
        <v>18</v>
      </c>
      <c r="K61" s="2" t="s">
        <v>21</v>
      </c>
      <c r="L61" s="6" t="s">
        <v>20</v>
      </c>
    </row>
    <row r="62" spans="1:12" ht="45" hidden="1">
      <c r="A62" s="23" t="s">
        <v>122</v>
      </c>
      <c r="B62" s="21" t="s">
        <v>17</v>
      </c>
      <c r="C62" s="22" t="s">
        <v>123</v>
      </c>
      <c r="D62" s="4" t="s">
        <v>34</v>
      </c>
      <c r="E62" s="5">
        <v>3.2000000000000001E-2</v>
      </c>
      <c r="F62" s="5">
        <f t="shared" si="2"/>
        <v>-1.7000000000000001E-2</v>
      </c>
      <c r="G62" s="5">
        <f t="shared" si="3"/>
        <v>8.1000000000000003E-2</v>
      </c>
      <c r="H62" s="5">
        <v>2.5000000000000001E-2</v>
      </c>
      <c r="I62" s="5"/>
      <c r="J62" s="2" t="s">
        <v>18</v>
      </c>
      <c r="K62" s="2" t="s">
        <v>124</v>
      </c>
      <c r="L62" s="6" t="s">
        <v>20</v>
      </c>
    </row>
    <row r="63" spans="1:12" ht="60" hidden="1">
      <c r="A63" s="23" t="s">
        <v>122</v>
      </c>
      <c r="B63" s="21" t="s">
        <v>81</v>
      </c>
      <c r="C63" s="22" t="s">
        <v>123</v>
      </c>
      <c r="D63" s="4" t="s">
        <v>23</v>
      </c>
      <c r="E63" s="5">
        <f>1/EXP(-0.7)</f>
        <v>2.0137527074704766</v>
      </c>
      <c r="F63" s="5">
        <f>1/EXP(0.31)</f>
        <v>0.73344695622428924</v>
      </c>
      <c r="G63" s="5">
        <f>1/EXP(-1.71)</f>
        <v>5.5289614776240033</v>
      </c>
      <c r="H63" s="5"/>
      <c r="I63" s="5"/>
      <c r="J63" s="2" t="s">
        <v>125</v>
      </c>
      <c r="K63" s="2" t="s">
        <v>82</v>
      </c>
      <c r="L63" s="6" t="s">
        <v>83</v>
      </c>
    </row>
    <row r="64" spans="1:12" ht="180" hidden="1">
      <c r="A64" s="23" t="s">
        <v>122</v>
      </c>
      <c r="B64" s="21" t="s">
        <v>17</v>
      </c>
      <c r="C64" s="22" t="s">
        <v>123</v>
      </c>
      <c r="D64" s="4" t="s">
        <v>14</v>
      </c>
      <c r="E64" s="5">
        <v>3.6280000000000001</v>
      </c>
      <c r="F64" s="5"/>
      <c r="G64" s="5"/>
      <c r="H64" s="5">
        <v>2.0609999999999999</v>
      </c>
      <c r="I64" s="5"/>
      <c r="J64" s="2">
        <v>0.05</v>
      </c>
      <c r="K64" s="2" t="s">
        <v>126</v>
      </c>
      <c r="L64" s="6" t="s">
        <v>20</v>
      </c>
    </row>
    <row r="65" spans="1:12" ht="45" hidden="1">
      <c r="A65" s="23" t="s">
        <v>122</v>
      </c>
      <c r="B65" s="21" t="s">
        <v>30</v>
      </c>
      <c r="C65" s="22" t="s">
        <v>123</v>
      </c>
      <c r="D65" s="4" t="s">
        <v>14</v>
      </c>
      <c r="E65" s="5">
        <v>0.63</v>
      </c>
      <c r="F65" s="5">
        <v>0.3</v>
      </c>
      <c r="G65" s="5">
        <v>1.33</v>
      </c>
      <c r="H65" s="5"/>
      <c r="I65" s="5"/>
      <c r="J65" s="2">
        <v>0.2</v>
      </c>
      <c r="K65" s="2" t="s">
        <v>27</v>
      </c>
      <c r="L65" s="6" t="s">
        <v>31</v>
      </c>
    </row>
    <row r="66" spans="1:12" ht="45" hidden="1">
      <c r="A66" s="23" t="s">
        <v>122</v>
      </c>
      <c r="B66" s="21" t="s">
        <v>13</v>
      </c>
      <c r="C66" s="22" t="s">
        <v>123</v>
      </c>
      <c r="D66" s="4" t="s">
        <v>14</v>
      </c>
      <c r="E66" s="5">
        <v>0.32200000000000001</v>
      </c>
      <c r="F66" s="5">
        <v>0.13400000000000001</v>
      </c>
      <c r="G66" s="5">
        <v>0.77800000000000002</v>
      </c>
      <c r="H66" s="5"/>
      <c r="I66" s="5"/>
      <c r="J66" s="2" t="s">
        <v>18</v>
      </c>
      <c r="K66" s="2" t="s">
        <v>21</v>
      </c>
      <c r="L66" s="6" t="s">
        <v>111</v>
      </c>
    </row>
    <row r="67" spans="1:12" ht="45" hidden="1">
      <c r="A67" s="23" t="s">
        <v>122</v>
      </c>
      <c r="B67" s="21" t="s">
        <v>13</v>
      </c>
      <c r="C67" s="22" t="s">
        <v>123</v>
      </c>
      <c r="D67" s="4" t="s">
        <v>34</v>
      </c>
      <c r="E67" s="5">
        <v>0.33</v>
      </c>
      <c r="F67" s="5">
        <f>E67-1.96*H67</f>
        <v>0.20456000000000002</v>
      </c>
      <c r="G67" s="5">
        <f>E67+1.96*H67</f>
        <v>0.45544000000000001</v>
      </c>
      <c r="H67" s="5">
        <v>6.4000000000000001E-2</v>
      </c>
      <c r="I67" s="5"/>
      <c r="J67" s="2">
        <v>0.01</v>
      </c>
      <c r="K67" s="2" t="s">
        <v>98</v>
      </c>
      <c r="L67" s="6" t="s">
        <v>25</v>
      </c>
    </row>
    <row r="68" spans="1:12" ht="45" hidden="1">
      <c r="A68" s="23" t="s">
        <v>122</v>
      </c>
      <c r="B68" s="21" t="s">
        <v>13</v>
      </c>
      <c r="C68" s="22" t="s">
        <v>123</v>
      </c>
      <c r="D68" s="4" t="s">
        <v>34</v>
      </c>
      <c r="E68" s="5">
        <v>0.30499999999999999</v>
      </c>
      <c r="F68" s="5">
        <f t="shared" ref="F68:F73" si="4">E68-1.96*H68</f>
        <v>0.17171999999999998</v>
      </c>
      <c r="G68" s="5">
        <f t="shared" ref="G68:G73" si="5">E68+1.96*H68</f>
        <v>0.43828</v>
      </c>
      <c r="H68" s="5">
        <v>6.8000000000000005E-2</v>
      </c>
      <c r="I68" s="5"/>
      <c r="J68" s="2">
        <v>0.01</v>
      </c>
      <c r="K68" s="2" t="s">
        <v>86</v>
      </c>
      <c r="L68" s="6" t="s">
        <v>25</v>
      </c>
    </row>
    <row r="69" spans="1:12" ht="45" hidden="1">
      <c r="A69" s="23" t="s">
        <v>122</v>
      </c>
      <c r="B69" s="21" t="s">
        <v>13</v>
      </c>
      <c r="C69" s="22" t="s">
        <v>123</v>
      </c>
      <c r="D69" s="4" t="s">
        <v>34</v>
      </c>
      <c r="E69" s="5">
        <v>0.23799999999999999</v>
      </c>
      <c r="F69" s="5">
        <f t="shared" si="4"/>
        <v>7.7279999999999988E-2</v>
      </c>
      <c r="G69" s="5">
        <f t="shared" si="5"/>
        <v>0.39871999999999996</v>
      </c>
      <c r="H69" s="5">
        <v>8.2000000000000003E-2</v>
      </c>
      <c r="I69" s="5"/>
      <c r="J69" s="2">
        <v>0.01</v>
      </c>
      <c r="K69" s="2" t="s">
        <v>97</v>
      </c>
      <c r="L69" s="6" t="s">
        <v>25</v>
      </c>
    </row>
    <row r="70" spans="1:12" ht="45" hidden="1">
      <c r="A70" s="23" t="s">
        <v>122</v>
      </c>
      <c r="B70" s="21" t="s">
        <v>13</v>
      </c>
      <c r="C70" s="22" t="s">
        <v>123</v>
      </c>
      <c r="D70" s="4" t="s">
        <v>34</v>
      </c>
      <c r="E70" s="5">
        <v>0.23699999999999999</v>
      </c>
      <c r="F70" s="5">
        <f t="shared" si="4"/>
        <v>0.14291999999999999</v>
      </c>
      <c r="G70" s="5">
        <f t="shared" si="5"/>
        <v>0.33107999999999999</v>
      </c>
      <c r="H70" s="5">
        <v>4.8000000000000001E-2</v>
      </c>
      <c r="I70" s="5"/>
      <c r="J70" s="2">
        <v>0.01</v>
      </c>
      <c r="K70" s="2" t="s">
        <v>96</v>
      </c>
      <c r="L70" s="6" t="s">
        <v>25</v>
      </c>
    </row>
    <row r="71" spans="1:12" ht="45" hidden="1">
      <c r="A71" s="23" t="s">
        <v>122</v>
      </c>
      <c r="B71" s="21" t="s">
        <v>13</v>
      </c>
      <c r="C71" s="22" t="s">
        <v>123</v>
      </c>
      <c r="D71" s="4" t="s">
        <v>34</v>
      </c>
      <c r="E71" s="5">
        <v>8.6999999999999994E-2</v>
      </c>
      <c r="F71" s="5">
        <f t="shared" si="4"/>
        <v>1.4479999999999993E-2</v>
      </c>
      <c r="G71" s="5">
        <f t="shared" si="5"/>
        <v>0.15952</v>
      </c>
      <c r="H71" s="5">
        <v>3.6999999999999998E-2</v>
      </c>
      <c r="I71" s="5"/>
      <c r="J71" s="2">
        <v>0.01</v>
      </c>
      <c r="K71" s="2" t="s">
        <v>95</v>
      </c>
      <c r="L71" s="6" t="s">
        <v>25</v>
      </c>
    </row>
    <row r="72" spans="1:12" ht="45" hidden="1">
      <c r="A72" s="23" t="s">
        <v>122</v>
      </c>
      <c r="B72" s="21" t="s">
        <v>13</v>
      </c>
      <c r="C72" s="22" t="s">
        <v>123</v>
      </c>
      <c r="D72" s="4" t="s">
        <v>34</v>
      </c>
      <c r="E72" s="5">
        <v>7.1999999999999995E-2</v>
      </c>
      <c r="F72" s="5">
        <f t="shared" si="4"/>
        <v>3.2799999999999996E-2</v>
      </c>
      <c r="G72" s="5">
        <f t="shared" si="5"/>
        <v>0.11119999999999999</v>
      </c>
      <c r="H72" s="5">
        <v>0.02</v>
      </c>
      <c r="I72" s="5"/>
      <c r="J72" s="2">
        <v>0.01</v>
      </c>
      <c r="K72" s="2" t="s">
        <v>94</v>
      </c>
      <c r="L72" s="6" t="s">
        <v>25</v>
      </c>
    </row>
    <row r="73" spans="1:12" ht="45" hidden="1">
      <c r="A73" s="23" t="s">
        <v>122</v>
      </c>
      <c r="B73" s="21" t="s">
        <v>13</v>
      </c>
      <c r="C73" s="22" t="s">
        <v>123</v>
      </c>
      <c r="D73" s="4" t="s">
        <v>34</v>
      </c>
      <c r="E73" s="5">
        <v>3.4000000000000002E-2</v>
      </c>
      <c r="F73" s="5">
        <f t="shared" si="4"/>
        <v>1.8320000000000003E-2</v>
      </c>
      <c r="G73" s="5">
        <f t="shared" si="5"/>
        <v>4.9680000000000002E-2</v>
      </c>
      <c r="H73" s="5">
        <v>8.0000000000000002E-3</v>
      </c>
      <c r="I73" s="5"/>
      <c r="J73" s="2">
        <v>0.01</v>
      </c>
      <c r="K73" s="2" t="s">
        <v>27</v>
      </c>
      <c r="L73" s="6" t="s">
        <v>25</v>
      </c>
    </row>
    <row r="74" spans="1:12" ht="180" hidden="1">
      <c r="A74" s="23" t="s">
        <v>122</v>
      </c>
      <c r="B74" s="21" t="s">
        <v>13</v>
      </c>
      <c r="C74" s="30" t="s">
        <v>123</v>
      </c>
      <c r="D74" s="4" t="s">
        <v>23</v>
      </c>
      <c r="E74" s="5">
        <v>0.77400000000000002</v>
      </c>
      <c r="F74" s="5"/>
      <c r="G74" s="5"/>
      <c r="H74" s="5">
        <v>0.33600000000000002</v>
      </c>
      <c r="I74" s="5"/>
      <c r="J74" s="31" t="s">
        <v>18</v>
      </c>
      <c r="K74" s="2" t="s">
        <v>126</v>
      </c>
      <c r="L74" s="11" t="s">
        <v>25</v>
      </c>
    </row>
    <row r="75" spans="1:12" ht="45" hidden="1">
      <c r="A75" s="23" t="s">
        <v>127</v>
      </c>
      <c r="B75" s="21" t="s">
        <v>17</v>
      </c>
      <c r="C75" s="22" t="s">
        <v>128</v>
      </c>
      <c r="D75" s="4" t="s">
        <v>34</v>
      </c>
      <c r="E75" s="5">
        <v>0.11799999999999999</v>
      </c>
      <c r="F75" s="5">
        <f>E75-1.96*H75</f>
        <v>4.3520000000000003E-2</v>
      </c>
      <c r="G75" s="5">
        <f>E75+1.96*H75</f>
        <v>0.19247999999999998</v>
      </c>
      <c r="H75" s="5">
        <v>3.7999999999999999E-2</v>
      </c>
      <c r="I75" s="5"/>
      <c r="J75" s="2">
        <v>0.01</v>
      </c>
      <c r="K75" s="2" t="s">
        <v>94</v>
      </c>
      <c r="L75" s="6" t="s">
        <v>20</v>
      </c>
    </row>
    <row r="76" spans="1:12" ht="45" hidden="1">
      <c r="A76" s="23" t="s">
        <v>127</v>
      </c>
      <c r="B76" s="21" t="s">
        <v>17</v>
      </c>
      <c r="C76" s="22" t="s">
        <v>128</v>
      </c>
      <c r="D76" s="4" t="s">
        <v>34</v>
      </c>
      <c r="E76" s="5">
        <v>0.111</v>
      </c>
      <c r="F76" s="5">
        <f t="shared" ref="F76:F77" si="6">E76-1.96*H76</f>
        <v>1.4960000000000001E-2</v>
      </c>
      <c r="G76" s="5">
        <f t="shared" ref="G76:G77" si="7">E76+1.96*H76</f>
        <v>0.20704</v>
      </c>
      <c r="H76" s="5">
        <v>4.9000000000000002E-2</v>
      </c>
      <c r="I76" s="5"/>
      <c r="J76" s="2">
        <v>0.05</v>
      </c>
      <c r="K76" s="2" t="s">
        <v>86</v>
      </c>
      <c r="L76" s="6" t="s">
        <v>20</v>
      </c>
    </row>
    <row r="77" spans="1:12" ht="45" hidden="1">
      <c r="A77" s="23" t="s">
        <v>127</v>
      </c>
      <c r="B77" s="21" t="s">
        <v>17</v>
      </c>
      <c r="C77" s="22" t="s">
        <v>128</v>
      </c>
      <c r="D77" s="4" t="s">
        <v>34</v>
      </c>
      <c r="E77" s="5">
        <v>2.8000000000000001E-2</v>
      </c>
      <c r="F77" s="5">
        <f t="shared" si="6"/>
        <v>-1.7079999999999994E-2</v>
      </c>
      <c r="G77" s="5">
        <f t="shared" si="7"/>
        <v>7.3079999999999992E-2</v>
      </c>
      <c r="H77" s="5">
        <v>2.3E-2</v>
      </c>
      <c r="I77" s="5"/>
      <c r="J77" s="2" t="s">
        <v>18</v>
      </c>
      <c r="K77" s="2" t="s">
        <v>124</v>
      </c>
      <c r="L77" s="6" t="s">
        <v>20</v>
      </c>
    </row>
    <row r="78" spans="1:12" ht="45" hidden="1">
      <c r="A78" s="23" t="s">
        <v>127</v>
      </c>
      <c r="B78" s="21" t="s">
        <v>40</v>
      </c>
      <c r="C78" s="22" t="s">
        <v>128</v>
      </c>
      <c r="D78" s="4" t="s">
        <v>34</v>
      </c>
      <c r="E78" s="5">
        <v>13.68</v>
      </c>
      <c r="F78" s="5">
        <v>-2.0099999999999998</v>
      </c>
      <c r="G78" s="5">
        <v>29.38</v>
      </c>
      <c r="H78" s="5"/>
      <c r="I78" s="5"/>
      <c r="J78" s="2">
        <v>0.86</v>
      </c>
      <c r="K78" s="2" t="s">
        <v>21</v>
      </c>
      <c r="L78" s="6" t="s">
        <v>129</v>
      </c>
    </row>
    <row r="79" spans="1:12" ht="45" hidden="1">
      <c r="A79" s="23" t="s">
        <v>127</v>
      </c>
      <c r="B79" s="21" t="s">
        <v>17</v>
      </c>
      <c r="C79" s="22" t="s">
        <v>128</v>
      </c>
      <c r="D79" s="4" t="s">
        <v>34</v>
      </c>
      <c r="E79" s="5">
        <v>9.4E-2</v>
      </c>
      <c r="F79" s="5">
        <f t="shared" ref="F79" si="8">E79-1.96*H79</f>
        <v>1.1679999999999996E-2</v>
      </c>
      <c r="G79" s="5">
        <f t="shared" ref="G79" si="9">E79+1.96*H79</f>
        <v>0.17632</v>
      </c>
      <c r="H79" s="5">
        <v>4.2000000000000003E-2</v>
      </c>
      <c r="I79" s="5"/>
      <c r="J79" s="2">
        <v>0.05</v>
      </c>
      <c r="K79" s="2" t="s">
        <v>21</v>
      </c>
      <c r="L79" s="6" t="s">
        <v>20</v>
      </c>
    </row>
    <row r="80" spans="1:12" ht="45" hidden="1">
      <c r="A80" s="23" t="s">
        <v>127</v>
      </c>
      <c r="B80" s="21" t="s">
        <v>40</v>
      </c>
      <c r="C80" s="22" t="s">
        <v>128</v>
      </c>
      <c r="D80" s="4" t="s">
        <v>34</v>
      </c>
      <c r="E80" s="5">
        <v>-4.7</v>
      </c>
      <c r="F80" s="5">
        <v>-31.33</v>
      </c>
      <c r="G80" s="5">
        <v>21.92</v>
      </c>
      <c r="H80" s="5"/>
      <c r="I80" s="5"/>
      <c r="J80" s="2">
        <v>0.72299999999999998</v>
      </c>
      <c r="K80" s="2" t="s">
        <v>130</v>
      </c>
      <c r="L80" s="6" t="s">
        <v>129</v>
      </c>
    </row>
    <row r="81" spans="1:12" ht="105" hidden="1">
      <c r="A81" s="23" t="s">
        <v>127</v>
      </c>
      <c r="B81" s="21" t="s">
        <v>17</v>
      </c>
      <c r="C81" s="22" t="s">
        <v>128</v>
      </c>
      <c r="D81" s="4" t="s">
        <v>14</v>
      </c>
      <c r="E81" s="5">
        <v>9.1189999999999998</v>
      </c>
      <c r="F81" s="5"/>
      <c r="G81" s="5"/>
      <c r="H81" s="5">
        <v>9.2739999999999991</v>
      </c>
      <c r="I81" s="5"/>
      <c r="J81" s="2">
        <v>0.05</v>
      </c>
      <c r="K81" s="2" t="s">
        <v>19</v>
      </c>
      <c r="L81" s="6" t="s">
        <v>20</v>
      </c>
    </row>
    <row r="82" spans="1:12" ht="45" hidden="1">
      <c r="A82" s="23" t="s">
        <v>127</v>
      </c>
      <c r="B82" s="21" t="s">
        <v>13</v>
      </c>
      <c r="C82" s="22" t="s">
        <v>128</v>
      </c>
      <c r="D82" s="4" t="s">
        <v>14</v>
      </c>
      <c r="E82" s="5">
        <v>0.63</v>
      </c>
      <c r="F82" s="5">
        <v>0.14399999999999999</v>
      </c>
      <c r="G82" s="5">
        <v>2.7589999999999999</v>
      </c>
      <c r="H82" s="5"/>
      <c r="I82" s="5"/>
      <c r="J82" s="2" t="s">
        <v>18</v>
      </c>
      <c r="K82" s="2" t="s">
        <v>21</v>
      </c>
      <c r="L82" s="6" t="s">
        <v>22</v>
      </c>
    </row>
    <row r="83" spans="1:12" ht="45" hidden="1">
      <c r="A83" s="23" t="s">
        <v>127</v>
      </c>
      <c r="B83" s="21" t="s">
        <v>17</v>
      </c>
      <c r="C83" s="22" t="s">
        <v>128</v>
      </c>
      <c r="D83" s="4" t="s">
        <v>14</v>
      </c>
      <c r="E83" s="5">
        <v>0.51</v>
      </c>
      <c r="F83" s="5">
        <v>0.13</v>
      </c>
      <c r="G83" s="5">
        <v>1.99</v>
      </c>
      <c r="H83" s="5"/>
      <c r="I83" s="5"/>
      <c r="J83" s="2">
        <v>0.33700000000000002</v>
      </c>
      <c r="K83" s="2" t="s">
        <v>131</v>
      </c>
      <c r="L83" s="6" t="s">
        <v>132</v>
      </c>
    </row>
    <row r="84" spans="1:12" ht="45" hidden="1">
      <c r="A84" s="23" t="s">
        <v>127</v>
      </c>
      <c r="B84" s="21" t="s">
        <v>13</v>
      </c>
      <c r="C84" s="22" t="s">
        <v>128</v>
      </c>
      <c r="D84" s="4" t="s">
        <v>34</v>
      </c>
      <c r="E84" s="5">
        <v>0.28999999999999998</v>
      </c>
      <c r="F84" s="5">
        <f>E84-1.96*H84</f>
        <v>0.14887999999999998</v>
      </c>
      <c r="G84" s="5">
        <f>E84+1.96*H84</f>
        <v>0.43111999999999995</v>
      </c>
      <c r="H84" s="5">
        <v>7.1999999999999995E-2</v>
      </c>
      <c r="I84" s="5"/>
      <c r="J84" s="2">
        <v>0.01</v>
      </c>
      <c r="K84" s="2" t="s">
        <v>98</v>
      </c>
      <c r="L84" s="6" t="s">
        <v>25</v>
      </c>
    </row>
    <row r="85" spans="1:12" ht="45" hidden="1">
      <c r="A85" s="23" t="s">
        <v>127</v>
      </c>
      <c r="B85" s="21" t="s">
        <v>13</v>
      </c>
      <c r="C85" s="22" t="s">
        <v>128</v>
      </c>
      <c r="D85" s="4" t="s">
        <v>34</v>
      </c>
      <c r="E85" s="5">
        <v>0.28999999999999998</v>
      </c>
      <c r="F85" s="5">
        <f>E85-1.96*H85</f>
        <v>0.14887999999999998</v>
      </c>
      <c r="G85" s="5">
        <f>E85+1.96*H85</f>
        <v>0.43111999999999995</v>
      </c>
      <c r="H85" s="5">
        <v>7.1999999999999995E-2</v>
      </c>
      <c r="I85" s="5"/>
      <c r="J85" s="2">
        <v>0.01</v>
      </c>
      <c r="K85" s="2" t="s">
        <v>86</v>
      </c>
      <c r="L85" s="6" t="s">
        <v>25</v>
      </c>
    </row>
    <row r="86" spans="1:12" ht="45" hidden="1">
      <c r="A86" s="23" t="s">
        <v>127</v>
      </c>
      <c r="B86" s="21" t="s">
        <v>13</v>
      </c>
      <c r="C86" s="22" t="s">
        <v>128</v>
      </c>
      <c r="D86" s="4" t="s">
        <v>34</v>
      </c>
      <c r="E86" s="5">
        <v>2.7E-2</v>
      </c>
      <c r="F86" s="32">
        <f t="shared" ref="F86:F87" si="10">E86-1.96*H86</f>
        <v>-4.3999999999999942E-4</v>
      </c>
      <c r="G86" s="5">
        <f t="shared" ref="G86:G87" si="11">E86+1.96*H86</f>
        <v>5.4440000000000002E-2</v>
      </c>
      <c r="H86" s="5">
        <v>1.4E-2</v>
      </c>
      <c r="I86" s="5"/>
      <c r="J86" s="9">
        <v>0.01</v>
      </c>
      <c r="K86" s="2" t="s">
        <v>27</v>
      </c>
      <c r="L86" s="6" t="s">
        <v>25</v>
      </c>
    </row>
    <row r="87" spans="1:12" ht="45" hidden="1">
      <c r="A87" s="23" t="s">
        <v>127</v>
      </c>
      <c r="B87" s="21" t="s">
        <v>13</v>
      </c>
      <c r="C87" s="22" t="s">
        <v>128</v>
      </c>
      <c r="D87" s="4" t="s">
        <v>34</v>
      </c>
      <c r="E87" s="5">
        <v>0.20899999999999999</v>
      </c>
      <c r="F87" s="5">
        <f t="shared" si="10"/>
        <v>7.3759999999999992E-2</v>
      </c>
      <c r="G87" s="5">
        <f t="shared" si="11"/>
        <v>0.34423999999999999</v>
      </c>
      <c r="H87" s="5">
        <v>6.9000000000000006E-2</v>
      </c>
      <c r="I87" s="5"/>
      <c r="J87" s="2">
        <v>0.01</v>
      </c>
      <c r="K87" s="2" t="s">
        <v>97</v>
      </c>
      <c r="L87" s="6" t="s">
        <v>25</v>
      </c>
    </row>
    <row r="88" spans="1:12" ht="45" hidden="1">
      <c r="A88" s="23" t="s">
        <v>127</v>
      </c>
      <c r="B88" s="21" t="s">
        <v>13</v>
      </c>
      <c r="C88" s="22" t="s">
        <v>128</v>
      </c>
      <c r="D88" s="4" t="s">
        <v>34</v>
      </c>
      <c r="E88" s="5">
        <v>0.20899999999999999</v>
      </c>
      <c r="F88" s="5">
        <f t="shared" ref="F88:F90" si="12">E88-1.96*H88</f>
        <v>2.0839999999999997E-2</v>
      </c>
      <c r="G88" s="5">
        <f t="shared" ref="G88:G90" si="13">E88+1.96*H88</f>
        <v>0.39715999999999996</v>
      </c>
      <c r="H88" s="5">
        <v>9.6000000000000002E-2</v>
      </c>
      <c r="I88" s="5"/>
      <c r="J88" s="9">
        <v>0.01</v>
      </c>
      <c r="K88" s="2" t="s">
        <v>96</v>
      </c>
      <c r="L88" s="6" t="s">
        <v>25</v>
      </c>
    </row>
    <row r="89" spans="1:12" ht="45" hidden="1">
      <c r="A89" s="23" t="s">
        <v>127</v>
      </c>
      <c r="B89" s="21" t="s">
        <v>13</v>
      </c>
      <c r="C89" s="22" t="s">
        <v>128</v>
      </c>
      <c r="D89" s="4" t="s">
        <v>34</v>
      </c>
      <c r="E89" s="5">
        <v>7.2999999999999995E-2</v>
      </c>
      <c r="F89" s="5">
        <f t="shared" si="12"/>
        <v>2.9879999999999997E-2</v>
      </c>
      <c r="G89" s="5">
        <f t="shared" si="13"/>
        <v>0.11612</v>
      </c>
      <c r="H89" s="5">
        <v>2.1999999999999999E-2</v>
      </c>
      <c r="I89" s="5"/>
      <c r="J89" s="2">
        <v>0.01</v>
      </c>
      <c r="K89" s="2" t="s">
        <v>95</v>
      </c>
      <c r="L89" s="6" t="s">
        <v>25</v>
      </c>
    </row>
    <row r="90" spans="1:12" ht="45" hidden="1">
      <c r="A90" s="23" t="s">
        <v>127</v>
      </c>
      <c r="B90" s="21" t="s">
        <v>13</v>
      </c>
      <c r="C90" s="22" t="s">
        <v>128</v>
      </c>
      <c r="D90" s="4" t="s">
        <v>34</v>
      </c>
      <c r="E90" s="5">
        <v>0.128</v>
      </c>
      <c r="F90" s="5">
        <f t="shared" si="12"/>
        <v>3.7840000000000013E-2</v>
      </c>
      <c r="G90" s="5">
        <f t="shared" si="13"/>
        <v>0.21815999999999999</v>
      </c>
      <c r="H90" s="5">
        <v>4.5999999999999999E-2</v>
      </c>
      <c r="I90" s="5"/>
      <c r="J90" s="2">
        <v>0.01</v>
      </c>
      <c r="K90" s="2" t="s">
        <v>133</v>
      </c>
      <c r="L90" s="6" t="s">
        <v>25</v>
      </c>
    </row>
    <row r="91" spans="1:12" ht="45" hidden="1">
      <c r="A91" s="23" t="s">
        <v>127</v>
      </c>
      <c r="B91" s="21" t="s">
        <v>13</v>
      </c>
      <c r="C91" s="22" t="s">
        <v>128</v>
      </c>
      <c r="D91" s="4" t="s">
        <v>34</v>
      </c>
      <c r="E91" s="5">
        <v>0.06</v>
      </c>
      <c r="F91" s="5">
        <f>E91-1.96*H91</f>
        <v>1.6879999999999999E-2</v>
      </c>
      <c r="G91" s="5">
        <f>E91+1.96*H91</f>
        <v>0.10311999999999999</v>
      </c>
      <c r="H91" s="5">
        <v>2.1999999999999999E-2</v>
      </c>
      <c r="I91" s="5"/>
      <c r="J91" s="9">
        <v>0.01</v>
      </c>
      <c r="K91" s="2" t="s">
        <v>134</v>
      </c>
      <c r="L91" s="6" t="s">
        <v>25</v>
      </c>
    </row>
    <row r="92" spans="1:12" ht="180" hidden="1">
      <c r="A92" s="23" t="s">
        <v>127</v>
      </c>
      <c r="B92" s="21" t="s">
        <v>13</v>
      </c>
      <c r="C92" s="30" t="s">
        <v>128</v>
      </c>
      <c r="D92" s="4" t="s">
        <v>23</v>
      </c>
      <c r="E92" s="5">
        <v>0.33600000000000002</v>
      </c>
      <c r="F92" s="5"/>
      <c r="G92" s="5"/>
      <c r="H92" s="5">
        <v>0.249</v>
      </c>
      <c r="I92" s="5"/>
      <c r="J92" s="31" t="s">
        <v>18</v>
      </c>
      <c r="K92" s="2" t="s">
        <v>126</v>
      </c>
      <c r="L92" s="11" t="s">
        <v>25</v>
      </c>
    </row>
    <row r="93" spans="1:12" ht="45" hidden="1">
      <c r="A93" s="23" t="s">
        <v>135</v>
      </c>
      <c r="B93" s="21" t="s">
        <v>13</v>
      </c>
      <c r="C93" s="22" t="s">
        <v>136</v>
      </c>
      <c r="D93" s="4" t="s">
        <v>14</v>
      </c>
      <c r="E93" s="5">
        <v>4.0970000000000004</v>
      </c>
      <c r="F93" s="5">
        <v>0.98399999999999999</v>
      </c>
      <c r="G93" s="5">
        <v>43.74</v>
      </c>
      <c r="H93" s="5"/>
      <c r="I93" s="5"/>
      <c r="J93" s="2" t="s">
        <v>18</v>
      </c>
      <c r="K93" s="2" t="s">
        <v>21</v>
      </c>
      <c r="L93" s="6" t="s">
        <v>22</v>
      </c>
    </row>
    <row r="94" spans="1:12" ht="45" hidden="1">
      <c r="A94" s="23" t="s">
        <v>137</v>
      </c>
      <c r="B94" s="33" t="s">
        <v>30</v>
      </c>
      <c r="C94" s="34" t="s">
        <v>138</v>
      </c>
      <c r="D94" s="4" t="s">
        <v>14</v>
      </c>
      <c r="E94" s="5" t="s">
        <v>139</v>
      </c>
      <c r="F94" s="5">
        <f>1/7.14</f>
        <v>0.14005602240896359</v>
      </c>
      <c r="G94" s="5">
        <f>1/1</f>
        <v>1</v>
      </c>
      <c r="H94" s="5"/>
      <c r="I94" s="5"/>
      <c r="J94" s="2" t="s">
        <v>102</v>
      </c>
      <c r="K94" s="2" t="s">
        <v>27</v>
      </c>
      <c r="L94" s="6" t="s">
        <v>140</v>
      </c>
    </row>
    <row r="95" spans="1:12" ht="60" hidden="1">
      <c r="A95" s="23" t="s">
        <v>141</v>
      </c>
      <c r="B95" s="21" t="s">
        <v>81</v>
      </c>
      <c r="C95" s="22" t="s">
        <v>142</v>
      </c>
      <c r="D95" s="4" t="s">
        <v>23</v>
      </c>
      <c r="E95" s="5">
        <f>1/EXP(1.79)</f>
        <v>0.16696016966704069</v>
      </c>
      <c r="F95" s="5">
        <v>0.03</v>
      </c>
      <c r="G95" s="5">
        <v>0.85</v>
      </c>
      <c r="H95" s="5"/>
      <c r="I95" s="5"/>
      <c r="J95" s="2">
        <v>3.2000000000000001E-2</v>
      </c>
      <c r="K95" s="2" t="s">
        <v>82</v>
      </c>
      <c r="L95" s="6" t="s">
        <v>83</v>
      </c>
    </row>
    <row r="96" spans="1:12" ht="45" hidden="1">
      <c r="A96" s="23" t="s">
        <v>141</v>
      </c>
      <c r="B96" s="21" t="s">
        <v>49</v>
      </c>
      <c r="C96" s="22" t="s">
        <v>142</v>
      </c>
      <c r="D96" s="4" t="s">
        <v>23</v>
      </c>
      <c r="E96" s="5">
        <f>1/EXP(-1.555)</f>
        <v>4.7350865251594234</v>
      </c>
      <c r="F96" s="5">
        <v>0.22</v>
      </c>
      <c r="G96" s="5">
        <v>12</v>
      </c>
      <c r="H96" s="5"/>
      <c r="I96" s="5"/>
      <c r="J96" s="2">
        <v>0.32</v>
      </c>
      <c r="K96" s="2" t="s">
        <v>21</v>
      </c>
      <c r="L96" s="6" t="s">
        <v>51</v>
      </c>
    </row>
    <row r="97" spans="1:12" ht="45" hidden="1">
      <c r="A97" s="23" t="s">
        <v>141</v>
      </c>
      <c r="B97" s="21" t="s">
        <v>13</v>
      </c>
      <c r="C97" s="22" t="s">
        <v>142</v>
      </c>
      <c r="D97" s="4" t="s">
        <v>14</v>
      </c>
      <c r="E97" s="5">
        <v>0.4093</v>
      </c>
      <c r="F97" s="5">
        <v>1.43E-2</v>
      </c>
      <c r="G97" s="5">
        <v>11.741099999999999</v>
      </c>
      <c r="H97" s="5"/>
      <c r="I97" s="5"/>
      <c r="J97" s="2">
        <v>0.60189999999999999</v>
      </c>
      <c r="K97" s="2" t="s">
        <v>15</v>
      </c>
      <c r="L97" s="6" t="s">
        <v>16</v>
      </c>
    </row>
    <row r="98" spans="1:12" ht="45" hidden="1">
      <c r="A98" s="35" t="s">
        <v>143</v>
      </c>
      <c r="B98" s="9" t="s">
        <v>13</v>
      </c>
      <c r="C98" s="36" t="s">
        <v>143</v>
      </c>
      <c r="D98" s="4" t="s">
        <v>14</v>
      </c>
      <c r="E98" s="5">
        <f>EXP(-0.423)</f>
        <v>0.65507863311180625</v>
      </c>
      <c r="F98" s="5">
        <f>EXP(-3.215)</f>
        <v>4.0155333823624025E-2</v>
      </c>
      <c r="G98" s="5">
        <f>EXP(2.369)</f>
        <v>10.686700238740633</v>
      </c>
      <c r="H98" s="5"/>
      <c r="I98" s="5"/>
      <c r="J98" s="9">
        <v>0.76700000000000002</v>
      </c>
      <c r="K98" s="9" t="s">
        <v>27</v>
      </c>
      <c r="L98" s="9" t="s">
        <v>28</v>
      </c>
    </row>
    <row r="99" spans="1:12" ht="30" hidden="1">
      <c r="A99" s="23" t="s">
        <v>144</v>
      </c>
      <c r="B99" s="20" t="s">
        <v>145</v>
      </c>
      <c r="C99" s="34" t="s">
        <v>144</v>
      </c>
      <c r="D99" s="4" t="s">
        <v>14</v>
      </c>
      <c r="E99" s="5">
        <v>4.6899999999999997E-2</v>
      </c>
      <c r="F99" s="5">
        <v>8.6999999999999994E-3</v>
      </c>
      <c r="G99" s="5">
        <v>0.25190000000000001</v>
      </c>
      <c r="H99" s="5"/>
      <c r="I99" s="5"/>
      <c r="J99" s="2">
        <v>0.01</v>
      </c>
      <c r="K99" s="2" t="s">
        <v>113</v>
      </c>
      <c r="L99" s="9" t="s">
        <v>105</v>
      </c>
    </row>
    <row r="100" spans="1:12" ht="30" hidden="1">
      <c r="A100" s="23" t="s">
        <v>146</v>
      </c>
      <c r="B100" s="20" t="s">
        <v>145</v>
      </c>
      <c r="C100" s="34" t="s">
        <v>147</v>
      </c>
      <c r="D100" s="4" t="s">
        <v>14</v>
      </c>
      <c r="E100" s="5">
        <v>3.0718000000000001</v>
      </c>
      <c r="F100" s="5">
        <v>0.99839999999999995</v>
      </c>
      <c r="G100" s="5">
        <v>9.4511000000000003</v>
      </c>
      <c r="H100" s="5"/>
      <c r="I100" s="5"/>
      <c r="J100" s="2" t="s">
        <v>18</v>
      </c>
      <c r="K100" s="2" t="s">
        <v>113</v>
      </c>
      <c r="L100" s="9" t="s">
        <v>105</v>
      </c>
    </row>
    <row r="101" spans="1:12" ht="45" hidden="1">
      <c r="A101" s="23" t="s">
        <v>148</v>
      </c>
      <c r="B101" s="21" t="s">
        <v>13</v>
      </c>
      <c r="C101" s="22" t="s">
        <v>149</v>
      </c>
      <c r="D101" s="4" t="s">
        <v>14</v>
      </c>
      <c r="E101" s="5">
        <v>0.28799999999999998</v>
      </c>
      <c r="F101" s="5">
        <v>8.8999999999999996E-2</v>
      </c>
      <c r="G101" s="5">
        <v>0.92700000000000005</v>
      </c>
      <c r="H101" s="5"/>
      <c r="I101" s="5"/>
      <c r="J101" s="2">
        <v>0.05</v>
      </c>
      <c r="K101" s="2" t="s">
        <v>21</v>
      </c>
      <c r="L101" s="6" t="s">
        <v>22</v>
      </c>
    </row>
    <row r="102" spans="1:12" ht="105" hidden="1">
      <c r="A102" s="23" t="s">
        <v>150</v>
      </c>
      <c r="B102" s="21" t="s">
        <v>17</v>
      </c>
      <c r="C102" s="22" t="s">
        <v>151</v>
      </c>
      <c r="D102" s="4" t="s">
        <v>14</v>
      </c>
      <c r="E102" s="5">
        <v>4.0510000000000002</v>
      </c>
      <c r="F102" s="5"/>
      <c r="G102" s="5"/>
      <c r="H102" s="5">
        <v>3.9350000000000001</v>
      </c>
      <c r="I102" s="5"/>
      <c r="J102" s="2" t="s">
        <v>18</v>
      </c>
      <c r="K102" s="2" t="s">
        <v>19</v>
      </c>
      <c r="L102" s="6" t="s">
        <v>20</v>
      </c>
    </row>
    <row r="103" spans="1:12" ht="30" hidden="1">
      <c r="A103" s="23" t="s">
        <v>152</v>
      </c>
      <c r="B103" s="20" t="s">
        <v>145</v>
      </c>
      <c r="C103" s="34" t="s">
        <v>152</v>
      </c>
      <c r="D103" s="4" t="s">
        <v>14</v>
      </c>
      <c r="E103" s="5">
        <v>4.6399999999999997E-2</v>
      </c>
      <c r="F103" s="5">
        <v>1.3299999999999999E-2</v>
      </c>
      <c r="G103" s="5">
        <v>0.1623</v>
      </c>
      <c r="H103" s="5"/>
      <c r="I103" s="5"/>
      <c r="J103" s="2">
        <v>0.01</v>
      </c>
      <c r="K103" s="2" t="s">
        <v>113</v>
      </c>
      <c r="L103" s="9" t="s">
        <v>105</v>
      </c>
    </row>
    <row r="104" spans="1:12" ht="60" hidden="1">
      <c r="A104" s="23" t="s">
        <v>153</v>
      </c>
      <c r="B104" s="21" t="s">
        <v>13</v>
      </c>
      <c r="C104" s="22" t="s">
        <v>154</v>
      </c>
      <c r="D104" s="4" t="s">
        <v>14</v>
      </c>
      <c r="E104" s="5">
        <v>3.4542000000000002</v>
      </c>
      <c r="F104" s="5">
        <v>0.16370000000000001</v>
      </c>
      <c r="G104" s="5">
        <v>72.882000000000005</v>
      </c>
      <c r="H104" s="5"/>
      <c r="I104" s="5"/>
      <c r="J104" s="2">
        <v>0.42559999999999998</v>
      </c>
      <c r="K104" s="2" t="s">
        <v>15</v>
      </c>
      <c r="L104" s="6" t="s">
        <v>16</v>
      </c>
    </row>
    <row r="105" spans="1:12" ht="45" hidden="1">
      <c r="A105" s="23" t="s">
        <v>155</v>
      </c>
      <c r="B105" s="21" t="s">
        <v>40</v>
      </c>
      <c r="C105" s="36" t="s">
        <v>155</v>
      </c>
      <c r="D105" s="4" t="s">
        <v>34</v>
      </c>
      <c r="E105" s="5">
        <v>8.98</v>
      </c>
      <c r="F105" s="5">
        <v>-11.45</v>
      </c>
      <c r="G105" s="5">
        <v>29.41</v>
      </c>
      <c r="H105" s="5"/>
      <c r="I105" s="5"/>
      <c r="J105" s="9">
        <v>0.38100000000000001</v>
      </c>
      <c r="K105" s="9" t="s">
        <v>21</v>
      </c>
      <c r="L105" s="9" t="s">
        <v>129</v>
      </c>
    </row>
    <row r="106" spans="1:12" ht="45" hidden="1">
      <c r="A106" s="23" t="s">
        <v>155</v>
      </c>
      <c r="B106" s="21" t="s">
        <v>40</v>
      </c>
      <c r="C106" s="22" t="s">
        <v>155</v>
      </c>
      <c r="D106" s="4" t="s">
        <v>34</v>
      </c>
      <c r="E106" s="5">
        <v>-13.48</v>
      </c>
      <c r="F106" s="5">
        <v>-67.59</v>
      </c>
      <c r="G106" s="5">
        <v>40.630000000000003</v>
      </c>
      <c r="H106" s="5"/>
      <c r="I106" s="5"/>
      <c r="J106" s="2">
        <v>0.61799999999999999</v>
      </c>
      <c r="K106" s="2" t="s">
        <v>130</v>
      </c>
      <c r="L106" s="6" t="s">
        <v>129</v>
      </c>
    </row>
    <row r="107" spans="1:12" ht="30" hidden="1">
      <c r="A107" s="37" t="s">
        <v>155</v>
      </c>
      <c r="B107" s="18" t="s">
        <v>36</v>
      </c>
      <c r="C107" s="22" t="s">
        <v>156</v>
      </c>
      <c r="D107" s="4" t="s">
        <v>14</v>
      </c>
      <c r="E107" s="5">
        <v>25.552</v>
      </c>
      <c r="F107" s="5">
        <v>1.4390000000000001</v>
      </c>
      <c r="G107" s="5">
        <v>453.59100000000001</v>
      </c>
      <c r="H107" s="5"/>
      <c r="I107" s="5"/>
      <c r="J107" s="2">
        <v>0.05</v>
      </c>
      <c r="K107" s="2" t="s">
        <v>38</v>
      </c>
      <c r="L107" s="9" t="s">
        <v>39</v>
      </c>
    </row>
    <row r="108" spans="1:12" ht="45" hidden="1">
      <c r="A108" s="23" t="s">
        <v>155</v>
      </c>
      <c r="B108" s="21" t="s">
        <v>13</v>
      </c>
      <c r="C108" s="22" t="s">
        <v>157</v>
      </c>
      <c r="D108" s="4" t="s">
        <v>14</v>
      </c>
      <c r="E108" s="5">
        <v>4.2789999999999999</v>
      </c>
      <c r="F108" s="5">
        <v>0.69599999999999995</v>
      </c>
      <c r="G108" s="5">
        <v>26.297000000000001</v>
      </c>
      <c r="H108" s="5"/>
      <c r="I108" s="5"/>
      <c r="J108" s="2" t="s">
        <v>18</v>
      </c>
      <c r="K108" s="2" t="s">
        <v>21</v>
      </c>
      <c r="L108" s="6" t="s">
        <v>22</v>
      </c>
    </row>
    <row r="109" spans="1:12" ht="30" hidden="1">
      <c r="A109" s="23" t="s">
        <v>155</v>
      </c>
      <c r="B109" s="20" t="s">
        <v>145</v>
      </c>
      <c r="C109" s="22" t="s">
        <v>158</v>
      </c>
      <c r="D109" s="4" t="s">
        <v>14</v>
      </c>
      <c r="E109" s="5">
        <f>1/1.0069</f>
        <v>0.99314728374217909</v>
      </c>
      <c r="F109" s="5">
        <f>1/3.3396</f>
        <v>0.29943705833033896</v>
      </c>
      <c r="G109" s="5">
        <f>1/0.3036</f>
        <v>3.293807641633729</v>
      </c>
      <c r="H109" s="38"/>
      <c r="I109" s="5"/>
      <c r="J109" s="2" t="s">
        <v>18</v>
      </c>
      <c r="K109" s="2" t="s">
        <v>113</v>
      </c>
      <c r="L109" s="9" t="s">
        <v>105</v>
      </c>
    </row>
    <row r="110" spans="1:12" ht="45" hidden="1">
      <c r="A110" s="23" t="s">
        <v>155</v>
      </c>
      <c r="B110" s="20" t="s">
        <v>159</v>
      </c>
      <c r="C110" s="22" t="s">
        <v>158</v>
      </c>
      <c r="D110" s="4" t="s">
        <v>14</v>
      </c>
      <c r="E110" s="5">
        <f>1/1.0575</f>
        <v>0.94562647754137108</v>
      </c>
      <c r="F110" s="5">
        <f>1/3.5039</f>
        <v>0.28539627272467821</v>
      </c>
      <c r="G110" s="5">
        <f>1/0.3162</f>
        <v>3.1625553447185326</v>
      </c>
      <c r="H110" s="38"/>
      <c r="I110" s="5"/>
      <c r="J110" s="2" t="s">
        <v>18</v>
      </c>
      <c r="K110" s="2" t="s">
        <v>104</v>
      </c>
      <c r="L110" s="9" t="s">
        <v>105</v>
      </c>
    </row>
    <row r="111" spans="1:12" ht="45" hidden="1">
      <c r="A111" s="23" t="s">
        <v>155</v>
      </c>
      <c r="B111" s="21" t="s">
        <v>49</v>
      </c>
      <c r="C111" s="22" t="s">
        <v>158</v>
      </c>
      <c r="D111" s="4" t="s">
        <v>23</v>
      </c>
      <c r="E111" s="5">
        <f>1/EXP(-0.417)</f>
        <v>1.5174025129350845</v>
      </c>
      <c r="F111" s="5">
        <f>1/EXP(0.941)</f>
        <v>0.39023740277199193</v>
      </c>
      <c r="G111" s="5">
        <f>1/EXP(-3.043)</f>
        <v>20.968053132536788</v>
      </c>
      <c r="H111" s="5"/>
      <c r="I111" s="5"/>
      <c r="J111" s="2" t="s">
        <v>18</v>
      </c>
      <c r="K111" s="2" t="s">
        <v>21</v>
      </c>
      <c r="L111" s="9" t="s">
        <v>51</v>
      </c>
    </row>
    <row r="112" spans="1:12" ht="60" hidden="1">
      <c r="A112" s="23" t="s">
        <v>155</v>
      </c>
      <c r="B112" s="21" t="s">
        <v>17</v>
      </c>
      <c r="C112" s="22" t="s">
        <v>155</v>
      </c>
      <c r="D112" s="4" t="s">
        <v>14</v>
      </c>
      <c r="E112" s="5">
        <v>0.33700000000000002</v>
      </c>
      <c r="F112" s="5"/>
      <c r="G112" s="5"/>
      <c r="H112" s="5">
        <v>0.20300000000000001</v>
      </c>
      <c r="I112" s="5"/>
      <c r="J112" s="2" t="s">
        <v>18</v>
      </c>
      <c r="K112" s="2" t="s">
        <v>160</v>
      </c>
      <c r="L112" s="6" t="s">
        <v>20</v>
      </c>
    </row>
    <row r="113" spans="1:12" ht="180" hidden="1">
      <c r="A113" s="23" t="s">
        <v>155</v>
      </c>
      <c r="B113" s="21" t="s">
        <v>13</v>
      </c>
      <c r="C113" s="30" t="s">
        <v>155</v>
      </c>
      <c r="D113" s="4" t="s">
        <v>23</v>
      </c>
      <c r="E113" s="5">
        <v>0.96299999999999997</v>
      </c>
      <c r="F113" s="5"/>
      <c r="G113" s="5"/>
      <c r="H113" s="5">
        <v>0.33900000000000002</v>
      </c>
      <c r="I113" s="5"/>
      <c r="J113" s="31" t="s">
        <v>18</v>
      </c>
      <c r="K113" s="2" t="s">
        <v>126</v>
      </c>
      <c r="L113" s="11" t="s">
        <v>25</v>
      </c>
    </row>
    <row r="114" spans="1:12" ht="45" hidden="1">
      <c r="A114" s="23" t="s">
        <v>161</v>
      </c>
      <c r="B114" s="33" t="s">
        <v>30</v>
      </c>
      <c r="C114" s="22" t="s">
        <v>162</v>
      </c>
      <c r="D114" s="4" t="s">
        <v>14</v>
      </c>
      <c r="E114" s="5">
        <v>14.188000000000001</v>
      </c>
      <c r="F114" s="5">
        <v>1.0820000000000001</v>
      </c>
      <c r="G114" s="5">
        <v>186.02799999999999</v>
      </c>
      <c r="H114" s="5"/>
      <c r="I114" s="5"/>
      <c r="J114" s="2">
        <v>4.2999999999999997E-2</v>
      </c>
      <c r="K114" s="2" t="s">
        <v>163</v>
      </c>
      <c r="L114" s="9" t="s">
        <v>164</v>
      </c>
    </row>
    <row r="115" spans="1:12" ht="225" hidden="1">
      <c r="A115" s="23" t="s">
        <v>127</v>
      </c>
      <c r="B115" s="33" t="s">
        <v>30</v>
      </c>
      <c r="C115" s="22" t="s">
        <v>165</v>
      </c>
      <c r="D115" s="4" t="s">
        <v>14</v>
      </c>
      <c r="E115" s="5">
        <v>8.61</v>
      </c>
      <c r="F115" s="5">
        <v>1.03</v>
      </c>
      <c r="G115" s="5">
        <v>72.94</v>
      </c>
      <c r="H115" s="5"/>
      <c r="I115" s="5"/>
      <c r="J115" s="2" t="s">
        <v>166</v>
      </c>
      <c r="K115" s="2" t="s">
        <v>167</v>
      </c>
      <c r="L115" s="6" t="s">
        <v>168</v>
      </c>
    </row>
    <row r="116" spans="1:12" ht="45" hidden="1">
      <c r="A116" s="39"/>
      <c r="B116" s="33" t="s">
        <v>30</v>
      </c>
      <c r="C116" s="22" t="s">
        <v>169</v>
      </c>
      <c r="D116" s="4" t="s">
        <v>14</v>
      </c>
      <c r="E116" s="5">
        <v>2.08</v>
      </c>
      <c r="F116" s="5">
        <v>0.86</v>
      </c>
      <c r="G116" s="5">
        <v>5.0599999999999996</v>
      </c>
      <c r="H116" s="5"/>
      <c r="I116" s="5"/>
      <c r="J116" s="2" t="s">
        <v>18</v>
      </c>
      <c r="K116" s="2" t="s">
        <v>27</v>
      </c>
      <c r="L116" s="6" t="s">
        <v>54</v>
      </c>
    </row>
    <row r="117" spans="1:12" ht="30" hidden="1">
      <c r="A117" s="39"/>
      <c r="B117" s="21" t="s">
        <v>36</v>
      </c>
      <c r="C117" s="22" t="s">
        <v>170</v>
      </c>
      <c r="D117" s="4" t="s">
        <v>14</v>
      </c>
      <c r="E117" s="5">
        <v>1.996</v>
      </c>
      <c r="F117" s="5">
        <v>0.193</v>
      </c>
      <c r="G117" s="5">
        <v>20.635999999999999</v>
      </c>
      <c r="H117" s="5"/>
      <c r="I117" s="5"/>
      <c r="J117" s="2" t="s">
        <v>18</v>
      </c>
      <c r="K117" s="2" t="s">
        <v>38</v>
      </c>
      <c r="L117" s="9" t="s">
        <v>39</v>
      </c>
    </row>
    <row r="118" spans="1:12" ht="60" hidden="1">
      <c r="A118" s="39"/>
      <c r="B118" s="21" t="s">
        <v>13</v>
      </c>
      <c r="C118" s="36" t="s">
        <v>171</v>
      </c>
      <c r="D118" s="4" t="s">
        <v>14</v>
      </c>
      <c r="E118" s="5">
        <f>EXP(2.872)</f>
        <v>17.67232753380118</v>
      </c>
      <c r="F118" s="5">
        <f>EXP(-0.166)</f>
        <v>0.84704623418939962</v>
      </c>
      <c r="G118" s="5">
        <f>EXP(5.909)</f>
        <v>368.3376335455896</v>
      </c>
      <c r="H118" s="5"/>
      <c r="I118" s="5"/>
      <c r="J118" s="9">
        <v>6.4000000000000001E-2</v>
      </c>
      <c r="K118" s="9" t="s">
        <v>27</v>
      </c>
      <c r="L118" s="9" t="s">
        <v>28</v>
      </c>
    </row>
    <row r="119" spans="1:12" ht="45" hidden="1">
      <c r="A119" s="40" t="s">
        <v>155</v>
      </c>
      <c r="B119" s="10" t="s">
        <v>30</v>
      </c>
      <c r="C119" s="24" t="s">
        <v>172</v>
      </c>
      <c r="D119" s="25" t="s">
        <v>34</v>
      </c>
      <c r="E119" s="26">
        <v>-0.05</v>
      </c>
      <c r="F119" s="26">
        <v>-0.23</v>
      </c>
      <c r="G119" s="26">
        <v>0.13</v>
      </c>
      <c r="H119" s="26"/>
      <c r="I119" s="26"/>
      <c r="J119" s="28">
        <v>0.59</v>
      </c>
      <c r="K119" s="28" t="s">
        <v>27</v>
      </c>
      <c r="L119" s="27" t="s">
        <v>35</v>
      </c>
    </row>
    <row r="120" spans="1:12" ht="45" hidden="1">
      <c r="A120" s="41" t="s">
        <v>122</v>
      </c>
      <c r="B120" s="18" t="s">
        <v>13</v>
      </c>
      <c r="C120" s="42" t="s">
        <v>173</v>
      </c>
      <c r="D120" s="18" t="s">
        <v>14</v>
      </c>
      <c r="E120" s="19">
        <v>3.0630000000000002</v>
      </c>
      <c r="F120" s="19">
        <v>1.119</v>
      </c>
      <c r="G120" s="19">
        <v>8.3829999999999991</v>
      </c>
      <c r="H120" s="18"/>
      <c r="I120" s="18"/>
      <c r="J120" s="19">
        <v>0.05</v>
      </c>
      <c r="K120" s="18" t="s">
        <v>21</v>
      </c>
      <c r="L120" s="18" t="s">
        <v>22</v>
      </c>
    </row>
    <row r="121" spans="1:12" ht="45" hidden="1">
      <c r="A121" s="41" t="s">
        <v>141</v>
      </c>
      <c r="B121" s="18" t="s">
        <v>13</v>
      </c>
      <c r="C121" s="22" t="s">
        <v>174</v>
      </c>
      <c r="D121" s="4" t="s">
        <v>14</v>
      </c>
      <c r="E121" s="4">
        <v>1.119</v>
      </c>
      <c r="F121" s="4">
        <v>0.13200000000000001</v>
      </c>
      <c r="G121" s="4">
        <v>9.4979999999999993</v>
      </c>
      <c r="H121" s="4"/>
      <c r="I121" s="4"/>
      <c r="J121" s="4" t="s">
        <v>18</v>
      </c>
      <c r="K121" s="4" t="s">
        <v>21</v>
      </c>
      <c r="L121" s="18" t="s">
        <v>22</v>
      </c>
    </row>
    <row r="122" spans="1:12" ht="45" hidden="1">
      <c r="A122" s="37" t="s">
        <v>122</v>
      </c>
      <c r="B122" s="21" t="s">
        <v>17</v>
      </c>
      <c r="C122" s="22" t="s">
        <v>123</v>
      </c>
      <c r="D122" s="4" t="s">
        <v>34</v>
      </c>
      <c r="E122" s="5">
        <v>0.13</v>
      </c>
      <c r="F122" s="5">
        <f>E122-1.96*H122</f>
        <v>-9.1599999999999737E-3</v>
      </c>
      <c r="G122" s="5">
        <f>E122+1.96*H122</f>
        <v>0.26915999999999995</v>
      </c>
      <c r="H122" s="5">
        <v>7.0999999999999994E-2</v>
      </c>
      <c r="I122" s="5"/>
      <c r="J122" s="2">
        <v>0.1</v>
      </c>
      <c r="K122" s="2" t="s">
        <v>175</v>
      </c>
      <c r="L122" s="6" t="s">
        <v>20</v>
      </c>
    </row>
    <row r="123" spans="1:12" ht="45" hidden="1">
      <c r="A123" s="37" t="s">
        <v>127</v>
      </c>
      <c r="B123" s="21" t="s">
        <v>17</v>
      </c>
      <c r="C123" s="22" t="s">
        <v>128</v>
      </c>
      <c r="D123" s="4" t="s">
        <v>34</v>
      </c>
      <c r="E123" s="5">
        <v>0.217</v>
      </c>
      <c r="F123" s="5">
        <f>E123-1.96*H123</f>
        <v>5.6279999999999997E-2</v>
      </c>
      <c r="G123" s="5">
        <f>E123+1.96*H123</f>
        <v>0.37772</v>
      </c>
      <c r="H123" s="5">
        <v>8.2000000000000003E-2</v>
      </c>
      <c r="I123" s="5"/>
      <c r="J123" s="2">
        <v>0.01</v>
      </c>
      <c r="K123" s="2" t="s">
        <v>175</v>
      </c>
      <c r="L123" s="6" t="s">
        <v>20</v>
      </c>
    </row>
    <row r="124" spans="1:12" ht="45" hidden="1">
      <c r="A124" s="37" t="s">
        <v>122</v>
      </c>
      <c r="B124" s="21" t="s">
        <v>13</v>
      </c>
      <c r="C124" s="22" t="s">
        <v>123</v>
      </c>
      <c r="D124" s="4" t="s">
        <v>34</v>
      </c>
      <c r="E124" s="5">
        <v>0.159</v>
      </c>
      <c r="F124" s="5">
        <f t="shared" ref="F124" si="14">E124-1.96*H124</f>
        <v>0.10412</v>
      </c>
      <c r="G124" s="5">
        <f t="shared" ref="G124" si="15">E124+1.96*H124</f>
        <v>0.21388000000000001</v>
      </c>
      <c r="H124" s="5">
        <v>2.8000000000000001E-2</v>
      </c>
      <c r="I124" s="5"/>
      <c r="J124" s="2">
        <v>0.01</v>
      </c>
      <c r="K124" s="2" t="s">
        <v>175</v>
      </c>
      <c r="L124" s="6" t="s">
        <v>25</v>
      </c>
    </row>
    <row r="125" spans="1:12" ht="180" hidden="1">
      <c r="A125" s="46" t="s">
        <v>176</v>
      </c>
      <c r="B125" s="18" t="s">
        <v>13</v>
      </c>
      <c r="C125" s="2" t="s">
        <v>176</v>
      </c>
      <c r="D125" s="4" t="s">
        <v>23</v>
      </c>
      <c r="E125" s="5">
        <v>0.65900000000000003</v>
      </c>
      <c r="F125" s="5"/>
      <c r="G125" s="5"/>
      <c r="H125" s="5">
        <v>0.12</v>
      </c>
      <c r="I125" s="5"/>
      <c r="J125" s="31">
        <v>0.05</v>
      </c>
      <c r="K125" s="2" t="s">
        <v>126</v>
      </c>
      <c r="L125" s="11" t="s">
        <v>25</v>
      </c>
    </row>
    <row r="126" spans="1:12" ht="45" hidden="1">
      <c r="A126" s="46" t="s">
        <v>176</v>
      </c>
      <c r="B126" s="18" t="s">
        <v>13</v>
      </c>
      <c r="C126" s="2" t="s">
        <v>176</v>
      </c>
      <c r="D126" s="4" t="s">
        <v>14</v>
      </c>
      <c r="E126" s="5">
        <v>1.1339999999999999</v>
      </c>
      <c r="F126" s="5">
        <v>0.94699999999999995</v>
      </c>
      <c r="G126" s="5">
        <v>1.357</v>
      </c>
      <c r="H126" s="5"/>
      <c r="I126" s="5"/>
      <c r="J126" s="2" t="s">
        <v>18</v>
      </c>
      <c r="K126" s="2" t="s">
        <v>21</v>
      </c>
      <c r="L126" s="6" t="s">
        <v>22</v>
      </c>
    </row>
    <row r="127" spans="1:12" ht="60" hidden="1">
      <c r="A127" s="46" t="s">
        <v>176</v>
      </c>
      <c r="B127" s="18" t="s">
        <v>81</v>
      </c>
      <c r="C127" s="28" t="s">
        <v>177</v>
      </c>
      <c r="D127" s="25" t="s">
        <v>23</v>
      </c>
      <c r="E127" s="26">
        <f>1/EXP(0.67)</f>
        <v>0.51170857778654244</v>
      </c>
      <c r="F127" s="26">
        <f>1/EXP(1.27)</f>
        <v>0.28083162177837978</v>
      </c>
      <c r="G127" s="26">
        <f>1/EXP(0.07)</f>
        <v>0.93239381990594816</v>
      </c>
      <c r="H127" s="26"/>
      <c r="I127" s="26"/>
      <c r="J127" s="28">
        <v>0.03</v>
      </c>
      <c r="K127" s="28" t="s">
        <v>21</v>
      </c>
      <c r="L127" s="29" t="s">
        <v>178</v>
      </c>
    </row>
    <row r="128" spans="1:12" ht="45" hidden="1">
      <c r="A128" s="41" t="s">
        <v>176</v>
      </c>
      <c r="B128" s="18" t="s">
        <v>49</v>
      </c>
      <c r="C128" s="2" t="s">
        <v>176</v>
      </c>
      <c r="D128" s="4" t="s">
        <v>23</v>
      </c>
      <c r="E128" s="5">
        <f>1/EXP(-0.029)</f>
        <v>1.0294245944751308</v>
      </c>
      <c r="F128" s="5">
        <f>1/EXP(0.05)</f>
        <v>0.9512294245007139</v>
      </c>
      <c r="G128" s="5">
        <f>1/EXP(-0.108)</f>
        <v>1.1140477453864677</v>
      </c>
      <c r="H128" s="5"/>
      <c r="I128" s="5"/>
      <c r="J128" s="2">
        <v>0.47699999999999998</v>
      </c>
      <c r="K128" s="2" t="s">
        <v>21</v>
      </c>
      <c r="L128" s="6" t="s">
        <v>51</v>
      </c>
    </row>
    <row r="129" spans="1:12" ht="45" hidden="1">
      <c r="A129" s="46" t="s">
        <v>176</v>
      </c>
      <c r="B129" s="33" t="s">
        <v>30</v>
      </c>
      <c r="C129" s="13" t="s">
        <v>179</v>
      </c>
      <c r="D129" s="15" t="s">
        <v>14</v>
      </c>
      <c r="E129" s="16">
        <v>0.28199999999999997</v>
      </c>
      <c r="F129" s="16"/>
      <c r="G129" s="16"/>
      <c r="H129" s="16"/>
      <c r="I129" s="16"/>
      <c r="J129" s="47">
        <v>0.01</v>
      </c>
      <c r="K129" s="13" t="s">
        <v>180</v>
      </c>
      <c r="L129" s="48" t="s">
        <v>181</v>
      </c>
    </row>
    <row r="130" spans="1:12" ht="45" hidden="1">
      <c r="A130" s="46" t="s">
        <v>176</v>
      </c>
      <c r="B130" s="33" t="s">
        <v>30</v>
      </c>
      <c r="C130" s="2" t="s">
        <v>182</v>
      </c>
      <c r="D130" s="4" t="s">
        <v>14</v>
      </c>
      <c r="E130" s="5">
        <v>0.33</v>
      </c>
      <c r="F130" s="5"/>
      <c r="G130" s="5"/>
      <c r="H130" s="5"/>
      <c r="I130" s="5"/>
      <c r="J130" s="31">
        <v>0.05</v>
      </c>
      <c r="K130" s="2" t="s">
        <v>180</v>
      </c>
      <c r="L130" s="11" t="s">
        <v>181</v>
      </c>
    </row>
    <row r="131" spans="1:12" ht="45" hidden="1">
      <c r="A131" s="46" t="s">
        <v>176</v>
      </c>
      <c r="B131" s="33" t="s">
        <v>30</v>
      </c>
      <c r="C131" s="28" t="s">
        <v>183</v>
      </c>
      <c r="D131" s="25" t="s">
        <v>14</v>
      </c>
      <c r="E131" s="26">
        <v>0.26200000000000001</v>
      </c>
      <c r="F131" s="26"/>
      <c r="G131" s="26"/>
      <c r="H131" s="26"/>
      <c r="I131" s="26"/>
      <c r="J131" s="49">
        <v>0.05</v>
      </c>
      <c r="K131" s="28" t="s">
        <v>180</v>
      </c>
      <c r="L131" s="50" t="s">
        <v>181</v>
      </c>
    </row>
    <row r="132" spans="1:12" ht="105" hidden="1">
      <c r="A132" s="41" t="s">
        <v>176</v>
      </c>
      <c r="B132" s="33" t="s">
        <v>30</v>
      </c>
      <c r="C132" s="9" t="s">
        <v>184</v>
      </c>
      <c r="D132" s="4" t="s">
        <v>14</v>
      </c>
      <c r="E132" s="5">
        <v>0.36</v>
      </c>
      <c r="F132" s="5">
        <v>0.2</v>
      </c>
      <c r="G132" s="5">
        <v>0.65</v>
      </c>
      <c r="H132" s="5"/>
      <c r="I132" s="5"/>
      <c r="J132" s="9">
        <v>0.05</v>
      </c>
      <c r="K132" s="9" t="s">
        <v>45</v>
      </c>
      <c r="L132" s="6" t="s">
        <v>46</v>
      </c>
    </row>
    <row r="133" spans="1:12" ht="90" hidden="1">
      <c r="A133" s="51" t="s">
        <v>185</v>
      </c>
      <c r="B133" s="20" t="s">
        <v>36</v>
      </c>
      <c r="C133" s="2" t="s">
        <v>186</v>
      </c>
      <c r="D133" s="4" t="s">
        <v>14</v>
      </c>
      <c r="E133" s="5">
        <v>0.41099999999999998</v>
      </c>
      <c r="F133" s="5">
        <v>1.2999999999999999E-2</v>
      </c>
      <c r="G133" s="5">
        <v>12.925000000000001</v>
      </c>
      <c r="H133" s="5"/>
      <c r="I133" s="5"/>
      <c r="J133" s="2" t="s">
        <v>18</v>
      </c>
      <c r="K133" s="2" t="s">
        <v>187</v>
      </c>
      <c r="L133" s="6" t="s">
        <v>39</v>
      </c>
    </row>
    <row r="134" spans="1:12" ht="105" hidden="1">
      <c r="A134" s="41" t="s">
        <v>188</v>
      </c>
      <c r="B134" s="3" t="s">
        <v>30</v>
      </c>
      <c r="C134" s="9" t="s">
        <v>189</v>
      </c>
      <c r="D134" s="4" t="s">
        <v>14</v>
      </c>
      <c r="E134" s="5">
        <v>0.96</v>
      </c>
      <c r="F134" s="5">
        <v>0.38</v>
      </c>
      <c r="G134" s="5">
        <v>2.41</v>
      </c>
      <c r="H134" s="5"/>
      <c r="I134" s="5"/>
      <c r="J134" s="9" t="s">
        <v>18</v>
      </c>
      <c r="K134" s="9" t="s">
        <v>45</v>
      </c>
      <c r="L134" s="12" t="s">
        <v>46</v>
      </c>
    </row>
    <row r="135" spans="1:12" ht="105" hidden="1">
      <c r="A135" s="41" t="s">
        <v>188</v>
      </c>
      <c r="B135" s="3" t="s">
        <v>30</v>
      </c>
      <c r="C135" s="9" t="s">
        <v>190</v>
      </c>
      <c r="D135" s="4" t="s">
        <v>14</v>
      </c>
      <c r="E135" s="5">
        <v>0.71</v>
      </c>
      <c r="F135" s="5">
        <v>0.28000000000000003</v>
      </c>
      <c r="G135" s="5">
        <v>1.84</v>
      </c>
      <c r="H135" s="5"/>
      <c r="I135" s="5"/>
      <c r="J135" s="9" t="s">
        <v>18</v>
      </c>
      <c r="K135" s="9" t="s">
        <v>45</v>
      </c>
      <c r="L135" s="12" t="s">
        <v>46</v>
      </c>
    </row>
    <row r="136" spans="1:12" ht="45" hidden="1">
      <c r="A136" s="41" t="s">
        <v>191</v>
      </c>
      <c r="B136" s="3" t="s">
        <v>192</v>
      </c>
      <c r="C136" s="2" t="s">
        <v>193</v>
      </c>
      <c r="D136" s="4" t="s">
        <v>14</v>
      </c>
      <c r="E136" s="5">
        <v>1.43</v>
      </c>
      <c r="F136" s="5">
        <v>0.84</v>
      </c>
      <c r="G136" s="5">
        <v>2.46</v>
      </c>
      <c r="H136" s="5"/>
      <c r="I136" s="5"/>
      <c r="J136" s="2">
        <v>0.192</v>
      </c>
      <c r="K136" s="2" t="s">
        <v>194</v>
      </c>
      <c r="L136" s="6" t="s">
        <v>195</v>
      </c>
    </row>
    <row r="137" spans="1:12" ht="25.5" hidden="1">
      <c r="A137" s="52" t="s">
        <v>196</v>
      </c>
      <c r="B137" s="4" t="s">
        <v>13</v>
      </c>
      <c r="C137" s="9" t="s">
        <v>196</v>
      </c>
      <c r="D137" s="4" t="s">
        <v>14</v>
      </c>
      <c r="E137" s="5">
        <f>EXP(1.0631)</f>
        <v>2.8953326226897187</v>
      </c>
      <c r="F137" s="5">
        <f>EXP(-0.817)</f>
        <v>0.44175493339539235</v>
      </c>
      <c r="G137" s="5">
        <f>EXP(2.939)</f>
        <v>18.89693992071409</v>
      </c>
      <c r="H137" s="5"/>
      <c r="I137" s="5"/>
      <c r="J137" s="9">
        <v>0.26800000000000002</v>
      </c>
      <c r="K137" s="9" t="s">
        <v>27</v>
      </c>
      <c r="L137" s="53" t="s">
        <v>28</v>
      </c>
    </row>
    <row r="138" spans="1:12" ht="45" hidden="1">
      <c r="A138" s="54" t="s">
        <v>197</v>
      </c>
      <c r="B138" s="2" t="s">
        <v>13</v>
      </c>
      <c r="C138" s="2" t="s">
        <v>197</v>
      </c>
      <c r="D138" s="4" t="s">
        <v>14</v>
      </c>
      <c r="E138" s="5">
        <v>2.83</v>
      </c>
      <c r="F138" s="5">
        <v>1.68</v>
      </c>
      <c r="G138" s="5">
        <v>4.79</v>
      </c>
      <c r="H138" s="5"/>
      <c r="I138" s="5"/>
      <c r="J138" s="2">
        <v>1E-3</v>
      </c>
      <c r="K138" s="2" t="s">
        <v>86</v>
      </c>
      <c r="L138" s="6" t="s">
        <v>87</v>
      </c>
    </row>
    <row r="139" spans="1:12" ht="45" hidden="1">
      <c r="A139" s="46" t="s">
        <v>198</v>
      </c>
      <c r="B139" s="18" t="s">
        <v>40</v>
      </c>
      <c r="C139" s="2" t="s">
        <v>199</v>
      </c>
      <c r="D139" s="4" t="s">
        <v>14</v>
      </c>
      <c r="E139" s="5">
        <v>1.1200000000000001</v>
      </c>
      <c r="F139" s="5">
        <v>0.47</v>
      </c>
      <c r="G139" s="5">
        <v>2.57</v>
      </c>
      <c r="H139" s="5"/>
      <c r="I139" s="5"/>
      <c r="J139" s="2">
        <v>0.79</v>
      </c>
      <c r="K139" s="2" t="s">
        <v>27</v>
      </c>
      <c r="L139" s="6" t="s">
        <v>42</v>
      </c>
    </row>
    <row r="140" spans="1:12" ht="105" hidden="1">
      <c r="A140" s="55" t="s">
        <v>200</v>
      </c>
      <c r="B140" s="33" t="s">
        <v>30</v>
      </c>
      <c r="C140" s="9" t="s">
        <v>201</v>
      </c>
      <c r="D140" s="4" t="s">
        <v>14</v>
      </c>
      <c r="E140" s="5">
        <v>1.38</v>
      </c>
      <c r="F140" s="5">
        <v>1.07</v>
      </c>
      <c r="G140" s="5">
        <v>1.78</v>
      </c>
      <c r="H140" s="5"/>
      <c r="I140" s="5"/>
      <c r="J140" s="56">
        <v>0.05</v>
      </c>
      <c r="K140" s="9" t="s">
        <v>45</v>
      </c>
      <c r="L140" s="6" t="s">
        <v>46</v>
      </c>
    </row>
    <row r="141" spans="1:12" ht="105" hidden="1">
      <c r="A141" s="55" t="s">
        <v>202</v>
      </c>
      <c r="B141" s="33" t="s">
        <v>30</v>
      </c>
      <c r="C141" s="9" t="s">
        <v>203</v>
      </c>
      <c r="D141" s="4" t="s">
        <v>14</v>
      </c>
      <c r="E141" s="5">
        <v>1.17</v>
      </c>
      <c r="F141" s="5">
        <v>0.95</v>
      </c>
      <c r="G141" s="5">
        <v>1.44</v>
      </c>
      <c r="H141" s="5"/>
      <c r="I141" s="5"/>
      <c r="J141" s="56" t="s">
        <v>18</v>
      </c>
      <c r="K141" s="9" t="s">
        <v>45</v>
      </c>
      <c r="L141" s="6" t="s">
        <v>46</v>
      </c>
    </row>
    <row r="142" spans="1:12" ht="105" hidden="1">
      <c r="A142" s="55" t="s">
        <v>204</v>
      </c>
      <c r="B142" s="33" t="s">
        <v>30</v>
      </c>
      <c r="C142" s="9" t="s">
        <v>205</v>
      </c>
      <c r="D142" s="4" t="s">
        <v>14</v>
      </c>
      <c r="E142" s="5">
        <v>1.22</v>
      </c>
      <c r="F142" s="5">
        <v>1.01</v>
      </c>
      <c r="G142" s="5">
        <v>1.46</v>
      </c>
      <c r="H142" s="5"/>
      <c r="I142" s="5"/>
      <c r="J142" s="56">
        <v>0.05</v>
      </c>
      <c r="K142" s="9" t="s">
        <v>45</v>
      </c>
      <c r="L142" s="6" t="s">
        <v>46</v>
      </c>
    </row>
    <row r="143" spans="1:12" ht="45" hidden="1">
      <c r="A143" s="54" t="s">
        <v>206</v>
      </c>
      <c r="B143" s="2" t="s">
        <v>207</v>
      </c>
      <c r="C143" s="2" t="s">
        <v>206</v>
      </c>
      <c r="D143" s="4" t="s">
        <v>14</v>
      </c>
      <c r="E143" s="5">
        <v>0.05</v>
      </c>
      <c r="F143" s="5">
        <v>0.02</v>
      </c>
      <c r="G143" s="5">
        <v>0.11</v>
      </c>
      <c r="H143" s="5"/>
      <c r="I143" s="5"/>
      <c r="J143" s="2">
        <v>1E-3</v>
      </c>
      <c r="K143" s="2" t="s">
        <v>208</v>
      </c>
      <c r="L143" s="6" t="s">
        <v>209</v>
      </c>
    </row>
    <row r="144" spans="1:12" ht="105" hidden="1">
      <c r="A144" s="55" t="s">
        <v>210</v>
      </c>
      <c r="B144" s="3" t="s">
        <v>30</v>
      </c>
      <c r="C144" s="9" t="s">
        <v>211</v>
      </c>
      <c r="D144" s="4" t="s">
        <v>14</v>
      </c>
      <c r="E144" s="5">
        <v>1.25</v>
      </c>
      <c r="F144" s="5">
        <v>0.97</v>
      </c>
      <c r="G144" s="5">
        <v>1.61</v>
      </c>
      <c r="H144" s="5"/>
      <c r="I144" s="5"/>
      <c r="J144" s="56">
        <v>0.05</v>
      </c>
      <c r="K144" s="9" t="s">
        <v>45</v>
      </c>
      <c r="L144" s="6" t="s">
        <v>46</v>
      </c>
    </row>
    <row r="145" spans="1:12" ht="45" hidden="1">
      <c r="A145" s="54" t="s">
        <v>212</v>
      </c>
      <c r="B145" s="2" t="s">
        <v>13</v>
      </c>
      <c r="C145" s="2" t="s">
        <v>212</v>
      </c>
      <c r="D145" s="4" t="s">
        <v>14</v>
      </c>
      <c r="E145" s="5">
        <v>0.42599999999999999</v>
      </c>
      <c r="F145" s="5">
        <v>0.185</v>
      </c>
      <c r="G145" s="5">
        <v>0.97499999999999998</v>
      </c>
      <c r="H145" s="5"/>
      <c r="I145" s="5"/>
      <c r="J145" s="2">
        <v>0.05</v>
      </c>
      <c r="K145" s="2" t="s">
        <v>21</v>
      </c>
      <c r="L145" s="6" t="s">
        <v>22</v>
      </c>
    </row>
    <row r="146" spans="1:12" ht="45" hidden="1">
      <c r="A146" s="41" t="s">
        <v>176</v>
      </c>
      <c r="B146" s="18" t="s">
        <v>17</v>
      </c>
      <c r="C146" s="2" t="s">
        <v>213</v>
      </c>
      <c r="D146" s="4" t="s">
        <v>14</v>
      </c>
      <c r="E146" s="5">
        <v>0.28999999999999998</v>
      </c>
      <c r="F146" s="5">
        <v>0.06</v>
      </c>
      <c r="G146" s="5">
        <v>1.31</v>
      </c>
      <c r="H146" s="38"/>
      <c r="I146" s="38"/>
      <c r="J146" s="2">
        <v>0.109</v>
      </c>
      <c r="K146" s="2" t="s">
        <v>131</v>
      </c>
      <c r="L146" s="6" t="s">
        <v>132</v>
      </c>
    </row>
    <row r="147" spans="1:12" ht="75" hidden="1">
      <c r="A147" s="18" t="s">
        <v>214</v>
      </c>
      <c r="B147" s="18" t="s">
        <v>40</v>
      </c>
      <c r="C147" s="6" t="s">
        <v>215</v>
      </c>
      <c r="D147" s="18" t="s">
        <v>14</v>
      </c>
      <c r="E147" s="19">
        <v>6.3</v>
      </c>
      <c r="F147" s="19">
        <v>3.07</v>
      </c>
      <c r="G147" s="19">
        <v>12.92</v>
      </c>
      <c r="H147" s="19"/>
      <c r="I147" s="19"/>
      <c r="J147" s="2">
        <v>0.05</v>
      </c>
      <c r="K147" s="2" t="s">
        <v>27</v>
      </c>
      <c r="L147" s="6" t="s">
        <v>42</v>
      </c>
    </row>
    <row r="148" spans="1:12" ht="30" hidden="1">
      <c r="A148" s="18" t="s">
        <v>214</v>
      </c>
      <c r="B148" s="18" t="s">
        <v>145</v>
      </c>
      <c r="C148" s="6" t="s">
        <v>216</v>
      </c>
      <c r="D148" s="18" t="s">
        <v>14</v>
      </c>
      <c r="E148" s="19">
        <v>51.601100000000002</v>
      </c>
      <c r="F148" s="19">
        <v>3.9748000000000001</v>
      </c>
      <c r="G148" s="19">
        <v>669.89380000000006</v>
      </c>
      <c r="H148" s="19"/>
      <c r="I148" s="19"/>
      <c r="J148" s="2">
        <v>0.05</v>
      </c>
      <c r="K148" s="2" t="s">
        <v>113</v>
      </c>
      <c r="L148" s="6" t="s">
        <v>105</v>
      </c>
    </row>
    <row r="149" spans="1:12" ht="45" hidden="1">
      <c r="A149" s="21" t="s">
        <v>214</v>
      </c>
      <c r="B149" s="57" t="s">
        <v>217</v>
      </c>
      <c r="C149" s="9" t="s">
        <v>218</v>
      </c>
      <c r="D149" s="4" t="s">
        <v>14</v>
      </c>
      <c r="E149" s="5">
        <v>125.3938</v>
      </c>
      <c r="F149" s="5">
        <v>24.2545</v>
      </c>
      <c r="G149" s="5">
        <v>2307.0645</v>
      </c>
      <c r="H149" s="5"/>
      <c r="I149" s="5"/>
      <c r="J149" s="9">
        <v>1E-4</v>
      </c>
      <c r="K149" s="9" t="s">
        <v>131</v>
      </c>
      <c r="L149" s="9" t="s">
        <v>219</v>
      </c>
    </row>
    <row r="150" spans="1:12" ht="45" hidden="1">
      <c r="A150" s="21" t="s">
        <v>214</v>
      </c>
      <c r="B150" s="57" t="s">
        <v>17</v>
      </c>
      <c r="C150" s="9" t="s">
        <v>220</v>
      </c>
      <c r="D150" s="4" t="s">
        <v>14</v>
      </c>
      <c r="E150" s="5">
        <v>12.29</v>
      </c>
      <c r="F150" s="5"/>
      <c r="G150" s="5"/>
      <c r="H150" s="5"/>
      <c r="I150" s="5"/>
      <c r="J150" s="9">
        <v>5.0000000000000001E-3</v>
      </c>
      <c r="K150" s="9" t="s">
        <v>131</v>
      </c>
      <c r="L150" s="9" t="s">
        <v>221</v>
      </c>
    </row>
    <row r="151" spans="1:12" ht="45" hidden="1">
      <c r="A151" s="21" t="s">
        <v>222</v>
      </c>
      <c r="B151" s="57" t="s">
        <v>217</v>
      </c>
      <c r="C151" s="9" t="s">
        <v>223</v>
      </c>
      <c r="D151" s="4" t="s">
        <v>14</v>
      </c>
      <c r="E151" s="5">
        <v>45.98</v>
      </c>
      <c r="F151" s="5">
        <v>7.76</v>
      </c>
      <c r="G151" s="5">
        <v>890.45</v>
      </c>
      <c r="H151" s="5"/>
      <c r="I151" s="5"/>
      <c r="J151" s="9">
        <v>1E-4</v>
      </c>
      <c r="K151" s="9" t="s">
        <v>131</v>
      </c>
      <c r="L151" s="9" t="s">
        <v>219</v>
      </c>
    </row>
    <row r="152" spans="1:12" ht="45" hidden="1">
      <c r="A152" s="21" t="s">
        <v>222</v>
      </c>
      <c r="B152" s="57" t="s">
        <v>17</v>
      </c>
      <c r="C152" s="9" t="s">
        <v>223</v>
      </c>
      <c r="D152" s="4" t="s">
        <v>14</v>
      </c>
      <c r="E152" s="5">
        <v>3.89</v>
      </c>
      <c r="F152" s="5">
        <v>0.99</v>
      </c>
      <c r="G152" s="5">
        <v>15.26</v>
      </c>
      <c r="H152" s="5"/>
      <c r="I152" s="5"/>
      <c r="J152" s="9" t="s">
        <v>224</v>
      </c>
      <c r="K152" s="9" t="s">
        <v>131</v>
      </c>
      <c r="L152" s="9" t="s">
        <v>132</v>
      </c>
    </row>
    <row r="153" spans="1:12" ht="90" hidden="1">
      <c r="A153" s="21" t="s">
        <v>222</v>
      </c>
      <c r="B153" s="18" t="s">
        <v>17</v>
      </c>
      <c r="C153" s="9" t="s">
        <v>225</v>
      </c>
      <c r="D153" s="4" t="s">
        <v>14</v>
      </c>
      <c r="E153" s="5">
        <f>1/0.170623</f>
        <v>5.8608745597017986</v>
      </c>
      <c r="F153" s="5"/>
      <c r="G153" s="5"/>
      <c r="H153" s="5"/>
      <c r="I153" s="5"/>
      <c r="J153" s="9">
        <v>5.0000000000000001E-3</v>
      </c>
      <c r="K153" s="9" t="s">
        <v>131</v>
      </c>
      <c r="L153" s="9" t="s">
        <v>221</v>
      </c>
    </row>
    <row r="154" spans="1:12" ht="45" hidden="1">
      <c r="A154" s="21" t="s">
        <v>226</v>
      </c>
      <c r="B154" s="18" t="s">
        <v>103</v>
      </c>
      <c r="C154" s="2" t="s">
        <v>227</v>
      </c>
      <c r="D154" s="4" t="s">
        <v>14</v>
      </c>
      <c r="E154" s="5">
        <v>1.6256999999999999</v>
      </c>
      <c r="F154" s="5">
        <v>1.2697000000000001</v>
      </c>
      <c r="G154" s="5">
        <v>2.0815000000000001</v>
      </c>
      <c r="H154" s="5"/>
      <c r="I154" s="5"/>
      <c r="J154" s="2">
        <v>0.05</v>
      </c>
      <c r="K154" s="2" t="s">
        <v>104</v>
      </c>
      <c r="L154" s="6" t="s">
        <v>105</v>
      </c>
    </row>
    <row r="155" spans="1:12" ht="105" hidden="1">
      <c r="A155" s="4" t="s">
        <v>226</v>
      </c>
      <c r="B155" s="18" t="s">
        <v>17</v>
      </c>
      <c r="C155" s="58" t="s">
        <v>228</v>
      </c>
      <c r="D155" s="4" t="s">
        <v>14</v>
      </c>
      <c r="E155" s="5">
        <v>1.4370000000000001</v>
      </c>
      <c r="F155" s="5"/>
      <c r="G155" s="5"/>
      <c r="H155" s="5"/>
      <c r="I155" s="5">
        <v>0.81399999999999995</v>
      </c>
      <c r="J155" s="58" t="s">
        <v>18</v>
      </c>
      <c r="K155" s="2" t="s">
        <v>19</v>
      </c>
      <c r="L155" s="59" t="s">
        <v>20</v>
      </c>
    </row>
    <row r="156" spans="1:12" ht="60" hidden="1">
      <c r="A156" s="31" t="s">
        <v>229</v>
      </c>
      <c r="B156" s="60" t="s">
        <v>17</v>
      </c>
      <c r="C156" s="2" t="s">
        <v>230</v>
      </c>
      <c r="D156" s="4" t="s">
        <v>14</v>
      </c>
      <c r="E156" s="5">
        <v>5.32</v>
      </c>
      <c r="F156" s="5">
        <v>1.08</v>
      </c>
      <c r="G156" s="5">
        <v>26.23</v>
      </c>
      <c r="H156" s="5"/>
      <c r="I156" s="5"/>
      <c r="J156" s="2" t="s">
        <v>231</v>
      </c>
      <c r="K156" s="2" t="s">
        <v>131</v>
      </c>
      <c r="L156" s="6" t="s">
        <v>132</v>
      </c>
    </row>
    <row r="157" spans="1:12" ht="60" hidden="1">
      <c r="A157" s="31" t="s">
        <v>229</v>
      </c>
      <c r="B157" s="60" t="s">
        <v>217</v>
      </c>
      <c r="C157" s="2" t="s">
        <v>230</v>
      </c>
      <c r="D157" s="4" t="s">
        <v>14</v>
      </c>
      <c r="E157" s="5">
        <v>11.9368</v>
      </c>
      <c r="F157" s="5">
        <v>4.8226000000000004</v>
      </c>
      <c r="G157" s="5">
        <v>32.11</v>
      </c>
      <c r="H157" s="5"/>
      <c r="I157" s="5"/>
      <c r="J157" s="2">
        <v>1E-4</v>
      </c>
      <c r="K157" s="2" t="s">
        <v>131</v>
      </c>
      <c r="L157" s="6" t="s">
        <v>219</v>
      </c>
    </row>
    <row r="158" spans="1:12" ht="30" hidden="1">
      <c r="A158" s="61" t="s">
        <v>232</v>
      </c>
      <c r="B158" s="57" t="s">
        <v>145</v>
      </c>
      <c r="C158" s="6" t="s">
        <v>233</v>
      </c>
      <c r="D158" s="4" t="s">
        <v>14</v>
      </c>
      <c r="E158" s="5">
        <v>8330.5949999999993</v>
      </c>
      <c r="F158" s="5">
        <v>130.9538</v>
      </c>
      <c r="G158" s="5">
        <v>529948.80000000005</v>
      </c>
      <c r="H158" s="5"/>
      <c r="I158" s="16"/>
      <c r="J158" s="13">
        <v>0.01</v>
      </c>
      <c r="K158" s="13" t="s">
        <v>113</v>
      </c>
      <c r="L158" s="17" t="s">
        <v>105</v>
      </c>
    </row>
    <row r="159" spans="1:12" ht="45" hidden="1">
      <c r="A159" s="23" t="s">
        <v>234</v>
      </c>
      <c r="B159" s="21" t="s">
        <v>17</v>
      </c>
      <c r="C159" s="34" t="s">
        <v>235</v>
      </c>
      <c r="D159" s="4" t="s">
        <v>14</v>
      </c>
      <c r="E159" s="5">
        <f>EXP(0.998)</f>
        <v>2.7128506977432196</v>
      </c>
      <c r="F159" s="5">
        <f>EXP(0.998-1.96*2.406)</f>
        <v>2.4288312777265401E-2</v>
      </c>
      <c r="G159" s="5">
        <f>EXP(0.998+1.96*2.406)</f>
        <v>303.00824004270271</v>
      </c>
      <c r="H159" s="5"/>
      <c r="I159" s="5"/>
      <c r="J159" s="2" t="s">
        <v>18</v>
      </c>
      <c r="K159" s="2" t="s">
        <v>21</v>
      </c>
      <c r="L159" s="6" t="s">
        <v>236</v>
      </c>
    </row>
    <row r="160" spans="1:12" ht="45" hidden="1">
      <c r="A160" s="62" t="s">
        <v>234</v>
      </c>
      <c r="B160" s="63" t="s">
        <v>30</v>
      </c>
      <c r="C160" s="64" t="s">
        <v>237</v>
      </c>
      <c r="D160" s="25" t="s">
        <v>34</v>
      </c>
      <c r="E160" s="26">
        <v>0.28000000000000003</v>
      </c>
      <c r="F160" s="26">
        <v>0.09</v>
      </c>
      <c r="G160" s="26">
        <v>0.47</v>
      </c>
      <c r="H160" s="26"/>
      <c r="I160" s="26"/>
      <c r="J160" s="28">
        <v>1E-3</v>
      </c>
      <c r="K160" s="28" t="s">
        <v>27</v>
      </c>
      <c r="L160" s="29" t="s">
        <v>35</v>
      </c>
    </row>
    <row r="161" spans="1:12" ht="90" hidden="1">
      <c r="A161" s="21" t="s">
        <v>234</v>
      </c>
      <c r="B161" s="21" t="s">
        <v>17</v>
      </c>
      <c r="C161" s="2" t="s">
        <v>238</v>
      </c>
      <c r="D161" s="4" t="s">
        <v>14</v>
      </c>
      <c r="E161" s="5">
        <f>EXP(6.263)</f>
        <v>524.79095376980729</v>
      </c>
      <c r="F161" s="5">
        <f>EXP(6.263-1.96*1.227)</f>
        <v>47.374305326395415</v>
      </c>
      <c r="G161" s="5">
        <v>600</v>
      </c>
      <c r="H161" s="5"/>
      <c r="I161" s="5"/>
      <c r="J161" s="2">
        <v>0.01</v>
      </c>
      <c r="K161" s="2" t="s">
        <v>96</v>
      </c>
      <c r="L161" s="6" t="s">
        <v>236</v>
      </c>
    </row>
    <row r="162" spans="1:12" ht="45" hidden="1">
      <c r="A162" s="21" t="s">
        <v>234</v>
      </c>
      <c r="B162" s="21" t="s">
        <v>217</v>
      </c>
      <c r="C162" s="2" t="s">
        <v>239</v>
      </c>
      <c r="D162" s="4" t="s">
        <v>14</v>
      </c>
      <c r="E162" s="5">
        <v>2.2469999999999999</v>
      </c>
      <c r="F162" s="5">
        <v>0.95499999999999996</v>
      </c>
      <c r="G162" s="5">
        <v>5.3120000000000003</v>
      </c>
      <c r="H162" s="5"/>
      <c r="I162" s="5"/>
      <c r="J162" s="2" t="s">
        <v>240</v>
      </c>
      <c r="K162" s="2" t="s">
        <v>131</v>
      </c>
      <c r="L162" s="6" t="s">
        <v>219</v>
      </c>
    </row>
    <row r="163" spans="1:12" ht="45" hidden="1">
      <c r="A163" s="21" t="s">
        <v>234</v>
      </c>
      <c r="B163" s="21" t="s">
        <v>13</v>
      </c>
      <c r="C163" s="9" t="s">
        <v>239</v>
      </c>
      <c r="D163" s="4" t="s">
        <v>14</v>
      </c>
      <c r="E163" s="5">
        <f>EXP(0.125)</f>
        <v>1.1331484530668263</v>
      </c>
      <c r="F163" s="5">
        <f>EXP(-2.376)</f>
        <v>9.2921521213198896E-2</v>
      </c>
      <c r="G163" s="5">
        <f>EXP(2.625)</f>
        <v>13.804574186067095</v>
      </c>
      <c r="H163" s="5"/>
      <c r="I163" s="5"/>
      <c r="J163" s="9">
        <v>0.92200000000000004</v>
      </c>
      <c r="K163" s="9" t="s">
        <v>27</v>
      </c>
      <c r="L163" s="9" t="s">
        <v>28</v>
      </c>
    </row>
    <row r="164" spans="1:12" ht="45" hidden="1">
      <c r="A164" s="21" t="s">
        <v>234</v>
      </c>
      <c r="B164" s="2" t="s">
        <v>49</v>
      </c>
      <c r="C164" s="6" t="s">
        <v>234</v>
      </c>
      <c r="D164" s="4" t="s">
        <v>23</v>
      </c>
      <c r="E164" s="5">
        <f>1/0.425</f>
        <v>2.3529411764705883</v>
      </c>
      <c r="F164" s="5">
        <f>1/8.259</f>
        <v>0.12108003390240948</v>
      </c>
      <c r="G164" s="5">
        <f>1/0.0218</f>
        <v>45.871559633027523</v>
      </c>
      <c r="H164" s="5"/>
      <c r="I164" s="5"/>
      <c r="J164" s="2">
        <v>0.57199999999999995</v>
      </c>
      <c r="K164" s="2" t="s">
        <v>21</v>
      </c>
      <c r="L164" s="6" t="s">
        <v>51</v>
      </c>
    </row>
    <row r="165" spans="1:12" ht="60" hidden="1">
      <c r="A165" s="21" t="s">
        <v>234</v>
      </c>
      <c r="B165" s="21" t="s">
        <v>81</v>
      </c>
      <c r="C165" s="9" t="s">
        <v>241</v>
      </c>
      <c r="D165" s="4" t="s">
        <v>23</v>
      </c>
      <c r="E165" s="5">
        <f>1/EXP(-2.01)</f>
        <v>7.4633173473191929</v>
      </c>
      <c r="F165" s="5">
        <f>1/EXP(-0.38)</f>
        <v>1.4622845894342247</v>
      </c>
      <c r="G165" s="5">
        <f>1/EXP(-3.64)</f>
        <v>38.09183672539902</v>
      </c>
      <c r="H165" s="5"/>
      <c r="I165" s="5"/>
      <c r="J165" s="9">
        <v>0.02</v>
      </c>
      <c r="K165" s="9" t="s">
        <v>21</v>
      </c>
      <c r="L165" s="6" t="s">
        <v>178</v>
      </c>
    </row>
    <row r="166" spans="1:12" ht="60" hidden="1">
      <c r="A166" s="21" t="s">
        <v>234</v>
      </c>
      <c r="B166" s="21" t="s">
        <v>81</v>
      </c>
      <c r="C166" s="9" t="s">
        <v>241</v>
      </c>
      <c r="D166" s="4" t="s">
        <v>23</v>
      </c>
      <c r="E166" s="5">
        <f>1/EXP(-1.85)</f>
        <v>6.3598195226018319</v>
      </c>
      <c r="F166" s="5">
        <f>1/EXP(-0.89)</f>
        <v>2.4351296512898744</v>
      </c>
      <c r="G166" s="5">
        <f>1/EXP(-2.82)</f>
        <v>16.776850672139869</v>
      </c>
      <c r="H166" s="5"/>
      <c r="I166" s="5"/>
      <c r="J166" s="9">
        <v>1E-3</v>
      </c>
      <c r="K166" s="9" t="s">
        <v>82</v>
      </c>
      <c r="L166" s="6" t="s">
        <v>83</v>
      </c>
    </row>
    <row r="167" spans="1:12" ht="45" hidden="1">
      <c r="A167" s="43" t="s">
        <v>242</v>
      </c>
      <c r="B167" s="65" t="s">
        <v>13</v>
      </c>
      <c r="C167" s="66" t="s">
        <v>243</v>
      </c>
      <c r="D167" s="15" t="s">
        <v>14</v>
      </c>
      <c r="E167" s="16">
        <f>EXP(2.821)</f>
        <v>16.793635914034194</v>
      </c>
      <c r="F167" s="16">
        <f>EXP(-0.478)</f>
        <v>0.62002219698199401</v>
      </c>
      <c r="G167" s="16">
        <f>EXP(6.12)</f>
        <v>454.864694499525</v>
      </c>
      <c r="H167" s="16"/>
      <c r="I167" s="16"/>
      <c r="J167" s="67">
        <v>9.4E-2</v>
      </c>
      <c r="K167" s="67" t="s">
        <v>27</v>
      </c>
      <c r="L167" s="67" t="s">
        <v>28</v>
      </c>
    </row>
    <row r="168" spans="1:12" ht="30" hidden="1">
      <c r="A168" s="68" t="s">
        <v>244</v>
      </c>
      <c r="B168" s="4" t="s">
        <v>17</v>
      </c>
      <c r="C168" s="22" t="s">
        <v>244</v>
      </c>
      <c r="D168" s="4" t="s">
        <v>34</v>
      </c>
      <c r="E168" s="5">
        <v>4.2000000000000003E-2</v>
      </c>
      <c r="F168" s="5">
        <f>E168-1.96*H168</f>
        <v>-2.6600000000000006E-2</v>
      </c>
      <c r="G168" s="5">
        <f>E168+1.96*H168</f>
        <v>0.1106</v>
      </c>
      <c r="H168" s="5">
        <v>3.5000000000000003E-2</v>
      </c>
      <c r="I168" s="5"/>
      <c r="J168" s="2" t="s">
        <v>18</v>
      </c>
      <c r="K168" s="2" t="s">
        <v>124</v>
      </c>
      <c r="L168" s="6" t="s">
        <v>20</v>
      </c>
    </row>
    <row r="169" spans="1:12" ht="30" hidden="1">
      <c r="A169" s="68" t="s">
        <v>244</v>
      </c>
      <c r="B169" s="4" t="s">
        <v>17</v>
      </c>
      <c r="C169" s="22" t="s">
        <v>244</v>
      </c>
      <c r="D169" s="4" t="s">
        <v>34</v>
      </c>
      <c r="E169" s="5">
        <v>7.6999999999999999E-2</v>
      </c>
      <c r="F169" s="5">
        <f t="shared" ref="F169:F171" si="16">E169-1.96*H169</f>
        <v>-5.3200000000000053E-3</v>
      </c>
      <c r="G169" s="5">
        <f t="shared" ref="G169:G171" si="17">E169+1.96*H169</f>
        <v>0.15932000000000002</v>
      </c>
      <c r="H169" s="5">
        <v>4.2000000000000003E-2</v>
      </c>
      <c r="I169" s="5"/>
      <c r="J169" s="2">
        <v>0.1</v>
      </c>
      <c r="K169" s="2" t="s">
        <v>21</v>
      </c>
      <c r="L169" s="6" t="s">
        <v>20</v>
      </c>
    </row>
    <row r="170" spans="1:12" ht="30" hidden="1">
      <c r="A170" s="68" t="s">
        <v>244</v>
      </c>
      <c r="B170" s="4" t="s">
        <v>17</v>
      </c>
      <c r="C170" s="22" t="s">
        <v>244</v>
      </c>
      <c r="D170" s="4" t="s">
        <v>34</v>
      </c>
      <c r="E170" s="5">
        <v>9.7000000000000003E-2</v>
      </c>
      <c r="F170" s="5">
        <f t="shared" si="16"/>
        <v>-2.0599999999999993E-2</v>
      </c>
      <c r="G170" s="5">
        <f t="shared" si="17"/>
        <v>0.21460000000000001</v>
      </c>
      <c r="H170" s="5">
        <v>0.06</v>
      </c>
      <c r="I170" s="5"/>
      <c r="J170" s="2" t="s">
        <v>18</v>
      </c>
      <c r="K170" s="2" t="s">
        <v>86</v>
      </c>
      <c r="L170" s="6" t="s">
        <v>20</v>
      </c>
    </row>
    <row r="171" spans="1:12" ht="30" hidden="1">
      <c r="A171" s="68" t="s">
        <v>244</v>
      </c>
      <c r="B171" s="4" t="s">
        <v>17</v>
      </c>
      <c r="C171" s="22" t="s">
        <v>244</v>
      </c>
      <c r="D171" s="4" t="s">
        <v>34</v>
      </c>
      <c r="E171" s="5">
        <v>0.13600000000000001</v>
      </c>
      <c r="F171" s="5">
        <f t="shared" si="16"/>
        <v>-1.6879999999999978E-2</v>
      </c>
      <c r="G171" s="5">
        <f t="shared" si="17"/>
        <v>0.28888000000000003</v>
      </c>
      <c r="H171" s="5">
        <v>7.8E-2</v>
      </c>
      <c r="I171" s="5"/>
      <c r="J171" s="2">
        <v>0.1</v>
      </c>
      <c r="K171" s="2" t="s">
        <v>94</v>
      </c>
      <c r="L171" s="6" t="s">
        <v>20</v>
      </c>
    </row>
    <row r="172" spans="1:12" ht="105" hidden="1">
      <c r="A172" s="68" t="s">
        <v>244</v>
      </c>
      <c r="B172" s="4" t="s">
        <v>17</v>
      </c>
      <c r="C172" s="22" t="s">
        <v>244</v>
      </c>
      <c r="D172" s="4" t="s">
        <v>14</v>
      </c>
      <c r="E172" s="5">
        <v>3.528</v>
      </c>
      <c r="F172" s="5"/>
      <c r="G172" s="5"/>
      <c r="H172" s="5">
        <v>2.3839999999999999</v>
      </c>
      <c r="I172" s="5"/>
      <c r="J172" s="2">
        <v>0.1</v>
      </c>
      <c r="K172" s="2" t="s">
        <v>19</v>
      </c>
      <c r="L172" s="6" t="s">
        <v>20</v>
      </c>
    </row>
    <row r="173" spans="1:12" ht="45" hidden="1">
      <c r="A173" s="69" t="s">
        <v>245</v>
      </c>
      <c r="B173" s="70" t="s">
        <v>17</v>
      </c>
      <c r="C173" s="34" t="s">
        <v>246</v>
      </c>
      <c r="D173" s="4" t="s">
        <v>14</v>
      </c>
      <c r="E173" s="5">
        <f>EXP(-0.379)</f>
        <v>0.68454561266627822</v>
      </c>
      <c r="F173" s="5">
        <f>EXP(-0.379-1.96*2.425)</f>
        <v>5.9047391779706374E-3</v>
      </c>
      <c r="G173" s="5">
        <f>EXP(-0.379+1.96*2.425)</f>
        <v>79.36043941939208</v>
      </c>
      <c r="H173" s="5"/>
      <c r="I173" s="5"/>
      <c r="J173" s="2" t="s">
        <v>18</v>
      </c>
      <c r="K173" s="2" t="s">
        <v>21</v>
      </c>
      <c r="L173" s="6" t="s">
        <v>236</v>
      </c>
    </row>
    <row r="174" spans="1:12" ht="195" hidden="1">
      <c r="A174" s="71" t="s">
        <v>232</v>
      </c>
      <c r="B174" s="33" t="s">
        <v>30</v>
      </c>
      <c r="C174" s="2" t="s">
        <v>247</v>
      </c>
      <c r="D174" s="4" t="s">
        <v>14</v>
      </c>
      <c r="E174" s="5">
        <v>2.2999999999999998</v>
      </c>
      <c r="F174" s="5">
        <v>0.51</v>
      </c>
      <c r="G174" s="5">
        <v>10.45</v>
      </c>
      <c r="H174" s="5"/>
      <c r="I174" s="5"/>
      <c r="J174" s="2">
        <v>0.28000000000000003</v>
      </c>
      <c r="K174" s="2" t="s">
        <v>248</v>
      </c>
      <c r="L174" s="6" t="s">
        <v>168</v>
      </c>
    </row>
    <row r="175" spans="1:12" ht="45" hidden="1">
      <c r="A175" s="71" t="s">
        <v>245</v>
      </c>
      <c r="B175" s="71" t="s">
        <v>17</v>
      </c>
      <c r="C175" s="6" t="s">
        <v>249</v>
      </c>
      <c r="D175" s="4" t="s">
        <v>14</v>
      </c>
      <c r="E175" s="5">
        <v>18.25</v>
      </c>
      <c r="F175" s="5">
        <v>2.77</v>
      </c>
      <c r="G175" s="5">
        <v>120.25</v>
      </c>
      <c r="H175" s="5"/>
      <c r="I175" s="5"/>
      <c r="J175" s="2" t="s">
        <v>250</v>
      </c>
      <c r="K175" s="2" t="s">
        <v>131</v>
      </c>
      <c r="L175" s="6" t="s">
        <v>132</v>
      </c>
    </row>
    <row r="176" spans="1:12" ht="45" hidden="1">
      <c r="A176" s="71" t="s">
        <v>234</v>
      </c>
      <c r="B176" s="71" t="s">
        <v>17</v>
      </c>
      <c r="C176" s="6" t="s">
        <v>251</v>
      </c>
      <c r="D176" s="4" t="s">
        <v>14</v>
      </c>
      <c r="E176" s="5">
        <v>45.3</v>
      </c>
      <c r="F176" s="5">
        <v>6.69</v>
      </c>
      <c r="G176" s="5">
        <v>306.64</v>
      </c>
      <c r="H176" s="5"/>
      <c r="I176" s="5"/>
      <c r="J176" s="2" t="s">
        <v>252</v>
      </c>
      <c r="K176" s="2" t="s">
        <v>131</v>
      </c>
      <c r="L176" s="6" t="s">
        <v>132</v>
      </c>
    </row>
    <row r="177" spans="1:12" ht="45" hidden="1">
      <c r="A177" s="71" t="s">
        <v>234</v>
      </c>
      <c r="B177" s="33" t="s">
        <v>30</v>
      </c>
      <c r="C177" s="6" t="s">
        <v>253</v>
      </c>
      <c r="D177" s="4" t="s">
        <v>14</v>
      </c>
      <c r="E177" s="5">
        <v>41.478000000000002</v>
      </c>
      <c r="F177" s="5">
        <v>22.963000000000001</v>
      </c>
      <c r="G177" s="5">
        <v>580.66999999999996</v>
      </c>
      <c r="H177" s="5"/>
      <c r="I177" s="5"/>
      <c r="J177" s="2" t="s">
        <v>254</v>
      </c>
      <c r="K177" s="2" t="s">
        <v>163</v>
      </c>
      <c r="L177" s="6" t="s">
        <v>164</v>
      </c>
    </row>
    <row r="178" spans="1:12" ht="45" hidden="1">
      <c r="A178" s="71" t="s">
        <v>234</v>
      </c>
      <c r="B178" s="71" t="s">
        <v>255</v>
      </c>
      <c r="C178" s="6" t="s">
        <v>253</v>
      </c>
      <c r="D178" s="4" t="s">
        <v>14</v>
      </c>
      <c r="E178" s="5">
        <v>28.012</v>
      </c>
      <c r="F178" s="5">
        <v>1.9650000000000001</v>
      </c>
      <c r="G178" s="5">
        <v>399.387</v>
      </c>
      <c r="H178" s="5"/>
      <c r="I178" s="5"/>
      <c r="J178" s="2" t="s">
        <v>256</v>
      </c>
      <c r="K178" s="2" t="s">
        <v>38</v>
      </c>
      <c r="L178" s="6" t="s">
        <v>257</v>
      </c>
    </row>
    <row r="179" spans="1:12" ht="45" hidden="1">
      <c r="A179" s="71" t="s">
        <v>234</v>
      </c>
      <c r="B179" s="33" t="s">
        <v>40</v>
      </c>
      <c r="C179" s="9" t="s">
        <v>258</v>
      </c>
      <c r="D179" s="4" t="s">
        <v>34</v>
      </c>
      <c r="E179" s="5">
        <v>-7.91</v>
      </c>
      <c r="F179" s="5">
        <v>-23.67</v>
      </c>
      <c r="G179" s="5">
        <v>7.85</v>
      </c>
      <c r="H179" s="5"/>
      <c r="I179" s="5"/>
      <c r="J179" s="9">
        <v>0.318</v>
      </c>
      <c r="K179" s="9" t="s">
        <v>21</v>
      </c>
      <c r="L179" s="9" t="s">
        <v>129</v>
      </c>
    </row>
    <row r="180" spans="1:12" ht="45" hidden="1">
      <c r="A180" s="71" t="s">
        <v>234</v>
      </c>
      <c r="B180" s="33" t="s">
        <v>40</v>
      </c>
      <c r="C180" s="9" t="s">
        <v>258</v>
      </c>
      <c r="D180" s="4" t="s">
        <v>34</v>
      </c>
      <c r="E180" s="5">
        <v>-4.3099999999999996</v>
      </c>
      <c r="F180" s="5">
        <v>29.69</v>
      </c>
      <c r="G180" s="5">
        <v>21.07</v>
      </c>
      <c r="H180" s="5"/>
      <c r="I180" s="5"/>
      <c r="J180" s="9">
        <v>0.73299999999999998</v>
      </c>
      <c r="K180" s="9" t="s">
        <v>130</v>
      </c>
      <c r="L180" s="9" t="s">
        <v>129</v>
      </c>
    </row>
    <row r="181" spans="1:12" ht="75" hidden="1">
      <c r="A181" s="31" t="s">
        <v>229</v>
      </c>
      <c r="B181" s="31" t="s">
        <v>255</v>
      </c>
      <c r="C181" s="2" t="s">
        <v>259</v>
      </c>
      <c r="D181" s="4" t="s">
        <v>14</v>
      </c>
      <c r="E181" s="5">
        <v>4.0999999999999996</v>
      </c>
      <c r="F181" s="5">
        <v>1.016</v>
      </c>
      <c r="G181" s="5">
        <v>16.539000000000001</v>
      </c>
      <c r="H181" s="5"/>
      <c r="I181" s="5"/>
      <c r="J181" s="2" t="s">
        <v>256</v>
      </c>
      <c r="K181" s="2" t="s">
        <v>38</v>
      </c>
      <c r="L181" s="6" t="s">
        <v>257</v>
      </c>
    </row>
    <row r="182" spans="1:12" ht="30" hidden="1">
      <c r="A182" s="31" t="s">
        <v>244</v>
      </c>
      <c r="B182" s="72" t="s">
        <v>17</v>
      </c>
      <c r="C182" s="2" t="s">
        <v>244</v>
      </c>
      <c r="D182" s="4" t="s">
        <v>34</v>
      </c>
      <c r="E182" s="5">
        <v>0.16700000000000001</v>
      </c>
      <c r="F182" s="5">
        <f t="shared" ref="F182" si="18">E182-1.96*H182</f>
        <v>4.3199999999999905E-3</v>
      </c>
      <c r="G182" s="5">
        <f t="shared" ref="G182" si="19">E182+1.96*H182</f>
        <v>0.32968000000000003</v>
      </c>
      <c r="H182" s="5">
        <v>8.3000000000000004E-2</v>
      </c>
      <c r="I182" s="5"/>
      <c r="J182" s="2">
        <v>0.05</v>
      </c>
      <c r="K182" s="2" t="s">
        <v>175</v>
      </c>
      <c r="L182" s="6" t="s">
        <v>20</v>
      </c>
    </row>
    <row r="183" spans="1:12" ht="45" hidden="1">
      <c r="A183" s="6" t="s">
        <v>260</v>
      </c>
      <c r="B183" s="6" t="s">
        <v>40</v>
      </c>
      <c r="C183" s="6" t="s">
        <v>260</v>
      </c>
      <c r="D183" s="4" t="s">
        <v>34</v>
      </c>
      <c r="E183" s="5">
        <v>0.46</v>
      </c>
      <c r="F183" s="5">
        <v>-0.08</v>
      </c>
      <c r="G183" s="5">
        <v>0.19</v>
      </c>
      <c r="H183" s="5"/>
      <c r="I183" s="5"/>
      <c r="J183" s="2">
        <v>0.46</v>
      </c>
      <c r="K183" s="2" t="s">
        <v>27</v>
      </c>
      <c r="L183" s="6" t="s">
        <v>35</v>
      </c>
    </row>
    <row r="184" spans="1:12" ht="45" hidden="1">
      <c r="A184" s="6" t="s">
        <v>260</v>
      </c>
      <c r="B184" s="6" t="s">
        <v>17</v>
      </c>
      <c r="C184" s="6" t="s">
        <v>260</v>
      </c>
      <c r="D184" s="4" t="s">
        <v>14</v>
      </c>
      <c r="E184" s="5">
        <f>EXP(2.901)</f>
        <v>18.192328604914966</v>
      </c>
      <c r="F184" s="5">
        <f>EXP(2.901-1.96*0.83)</f>
        <v>3.5758395938526277</v>
      </c>
      <c r="G184" s="5">
        <f>EXP(2.901+1.96*0.83)</f>
        <v>92.554716558923801</v>
      </c>
      <c r="H184" s="5"/>
      <c r="I184" s="5"/>
      <c r="J184" s="2">
        <v>0.01</v>
      </c>
      <c r="K184" s="2" t="s">
        <v>96</v>
      </c>
      <c r="L184" s="6" t="s">
        <v>236</v>
      </c>
    </row>
    <row r="185" spans="1:12" ht="45" hidden="1">
      <c r="A185" s="6" t="s">
        <v>260</v>
      </c>
      <c r="B185" s="6" t="s">
        <v>17</v>
      </c>
      <c r="C185" s="6" t="s">
        <v>260</v>
      </c>
      <c r="D185" s="4" t="s">
        <v>14</v>
      </c>
      <c r="E185" s="5">
        <f>EXP(0.462)</f>
        <v>1.587245303225596</v>
      </c>
      <c r="F185" s="5">
        <f>1/EXP(0.462+1.96*0.873)</f>
        <v>0.11382649086244243</v>
      </c>
      <c r="G185" s="5">
        <f>1/EXP(0.462-1.96*0.873)</f>
        <v>3.4871333186012383</v>
      </c>
      <c r="H185" s="5"/>
      <c r="I185" s="5"/>
      <c r="J185" s="2" t="s">
        <v>18</v>
      </c>
      <c r="K185" s="2" t="s">
        <v>21</v>
      </c>
      <c r="L185" s="6" t="s">
        <v>236</v>
      </c>
    </row>
    <row r="186" spans="1:12" ht="45" hidden="1">
      <c r="A186" s="6" t="s">
        <v>260</v>
      </c>
      <c r="B186" s="6" t="s">
        <v>261</v>
      </c>
      <c r="C186" s="6" t="s">
        <v>260</v>
      </c>
      <c r="D186" s="4" t="s">
        <v>14</v>
      </c>
      <c r="E186" s="5">
        <f>EXP(-0.135)</f>
        <v>0.87371591168803442</v>
      </c>
      <c r="F186" s="5">
        <f>EXP(-0.135-1.96*0.084)</f>
        <v>0.74108496325194506</v>
      </c>
      <c r="G186" s="5">
        <f>EXP(-0.135+1.96*0.084)</f>
        <v>1.0300836370867352</v>
      </c>
      <c r="H186" s="5"/>
      <c r="I186" s="5"/>
      <c r="J186" s="2" t="s">
        <v>18</v>
      </c>
      <c r="K186" s="2" t="s">
        <v>98</v>
      </c>
      <c r="L186" s="6" t="s">
        <v>262</v>
      </c>
    </row>
    <row r="187" spans="1:12" ht="45" hidden="1">
      <c r="A187" s="6" t="s">
        <v>260</v>
      </c>
      <c r="B187" s="6" t="s">
        <v>40</v>
      </c>
      <c r="C187" s="6" t="s">
        <v>260</v>
      </c>
      <c r="D187" s="4" t="s">
        <v>14</v>
      </c>
      <c r="E187" s="5">
        <v>3.97</v>
      </c>
      <c r="F187" s="5">
        <v>1</v>
      </c>
      <c r="G187" s="5">
        <v>15.82</v>
      </c>
      <c r="H187" s="5"/>
      <c r="I187" s="5"/>
      <c r="J187" s="2" t="s">
        <v>102</v>
      </c>
      <c r="K187" s="2" t="s">
        <v>27</v>
      </c>
      <c r="L187" s="6" t="s">
        <v>42</v>
      </c>
    </row>
    <row r="188" spans="1:12" ht="45" hidden="1">
      <c r="A188" s="6" t="s">
        <v>260</v>
      </c>
      <c r="B188" s="6" t="s">
        <v>49</v>
      </c>
      <c r="C188" s="6" t="s">
        <v>260</v>
      </c>
      <c r="D188" s="4" t="s">
        <v>23</v>
      </c>
      <c r="E188" s="73">
        <f>1/0.9717</f>
        <v>1.0291242152927857</v>
      </c>
      <c r="F188" s="5">
        <f>1/1.0516</f>
        <v>0.95093191327500948</v>
      </c>
      <c r="G188" s="5">
        <f>1/0.8979</f>
        <v>1.1137097672346585</v>
      </c>
      <c r="H188" s="5"/>
      <c r="I188" s="73"/>
      <c r="J188" s="2">
        <v>0.47699999999999998</v>
      </c>
      <c r="K188" s="2" t="s">
        <v>95</v>
      </c>
      <c r="L188" s="6" t="s">
        <v>51</v>
      </c>
    </row>
    <row r="189" spans="1:12" ht="60" hidden="1">
      <c r="A189" s="6" t="s">
        <v>263</v>
      </c>
      <c r="B189" s="6" t="s">
        <v>40</v>
      </c>
      <c r="C189" s="6" t="s">
        <v>263</v>
      </c>
      <c r="D189" s="4" t="s">
        <v>14</v>
      </c>
      <c r="E189" s="5">
        <v>8.0299999999999994</v>
      </c>
      <c r="F189" s="5">
        <v>1.47</v>
      </c>
      <c r="G189" s="5">
        <v>43.73</v>
      </c>
      <c r="H189" s="5"/>
      <c r="I189" s="5"/>
      <c r="J189" s="2">
        <v>0.02</v>
      </c>
      <c r="K189" s="2" t="s">
        <v>27</v>
      </c>
      <c r="L189" s="6" t="s">
        <v>42</v>
      </c>
    </row>
    <row r="190" spans="1:12" ht="165" hidden="1">
      <c r="A190" s="18" t="s">
        <v>260</v>
      </c>
      <c r="B190" s="3" t="s">
        <v>30</v>
      </c>
      <c r="C190" s="6" t="s">
        <v>264</v>
      </c>
      <c r="D190" s="4" t="s">
        <v>14</v>
      </c>
      <c r="E190" s="5">
        <v>0.32</v>
      </c>
      <c r="F190" s="5">
        <v>7.0000000000000007E-2</v>
      </c>
      <c r="G190" s="5">
        <v>1.37</v>
      </c>
      <c r="H190" s="5"/>
      <c r="I190" s="5"/>
      <c r="J190" s="2">
        <v>0.12</v>
      </c>
      <c r="K190" s="2" t="s">
        <v>265</v>
      </c>
      <c r="L190" s="6" t="s">
        <v>168</v>
      </c>
    </row>
    <row r="191" spans="1:12" ht="45" hidden="1">
      <c r="A191" s="6" t="s">
        <v>266</v>
      </c>
      <c r="B191" s="6" t="s">
        <v>40</v>
      </c>
      <c r="C191" s="6" t="s">
        <v>266</v>
      </c>
      <c r="D191" s="4" t="s">
        <v>14</v>
      </c>
      <c r="E191" s="5">
        <v>5.95</v>
      </c>
      <c r="F191" s="5">
        <v>1.35</v>
      </c>
      <c r="G191" s="5">
        <v>5.47</v>
      </c>
      <c r="H191" s="5"/>
      <c r="I191" s="5"/>
      <c r="J191" s="2">
        <v>0.01</v>
      </c>
      <c r="K191" s="2" t="s">
        <v>27</v>
      </c>
      <c r="L191" s="6" t="s">
        <v>42</v>
      </c>
    </row>
    <row r="192" spans="1:12" ht="180">
      <c r="A192" s="2" t="s">
        <v>267</v>
      </c>
      <c r="B192" s="2" t="s">
        <v>13</v>
      </c>
      <c r="C192" s="2" t="s">
        <v>267</v>
      </c>
      <c r="D192" s="4" t="s">
        <v>23</v>
      </c>
      <c r="E192" s="5">
        <v>4.55</v>
      </c>
      <c r="F192" s="32"/>
      <c r="G192" s="5"/>
      <c r="H192" s="5">
        <v>2.1560000000000001</v>
      </c>
      <c r="I192" s="5"/>
      <c r="J192" s="2">
        <v>0.01</v>
      </c>
      <c r="K192" s="2" t="s">
        <v>126</v>
      </c>
      <c r="L192" s="6" t="s">
        <v>25</v>
      </c>
    </row>
    <row r="193" spans="1:12" ht="45" hidden="1">
      <c r="A193" s="2" t="s">
        <v>267</v>
      </c>
      <c r="B193" s="2" t="s">
        <v>13</v>
      </c>
      <c r="C193" s="2" t="s">
        <v>267</v>
      </c>
      <c r="D193" s="4" t="s">
        <v>34</v>
      </c>
      <c r="E193" s="32">
        <v>9.2999999999999999E-2</v>
      </c>
      <c r="F193" s="5">
        <f t="shared" ref="F193:F194" si="20">E193-1.96*H193</f>
        <v>6.5560000000000007E-2</v>
      </c>
      <c r="G193" s="5">
        <f t="shared" ref="G193:G194" si="21">E193+1.96*H193</f>
        <v>0.12043999999999999</v>
      </c>
      <c r="H193" s="5">
        <v>1.4E-2</v>
      </c>
      <c r="I193" s="5"/>
      <c r="J193" s="2">
        <v>0.01</v>
      </c>
      <c r="K193" s="2" t="s">
        <v>94</v>
      </c>
      <c r="L193" s="6" t="s">
        <v>25</v>
      </c>
    </row>
    <row r="194" spans="1:12" ht="45" hidden="1">
      <c r="A194" s="2" t="s">
        <v>267</v>
      </c>
      <c r="B194" s="2" t="s">
        <v>13</v>
      </c>
      <c r="C194" s="2" t="s">
        <v>267</v>
      </c>
      <c r="D194" s="4" t="s">
        <v>34</v>
      </c>
      <c r="E194" s="5">
        <v>0.27800000000000002</v>
      </c>
      <c r="F194" s="5">
        <f t="shared" si="20"/>
        <v>0.15256000000000003</v>
      </c>
      <c r="G194" s="5">
        <f t="shared" si="21"/>
        <v>0.40344000000000002</v>
      </c>
      <c r="H194" s="5">
        <v>6.4000000000000001E-2</v>
      </c>
      <c r="I194" s="5"/>
      <c r="J194" s="2">
        <v>0.01</v>
      </c>
      <c r="K194" s="2" t="s">
        <v>268</v>
      </c>
      <c r="L194" s="6" t="s">
        <v>25</v>
      </c>
    </row>
    <row r="195" spans="1:12" ht="45" hidden="1">
      <c r="A195" s="2" t="s">
        <v>267</v>
      </c>
      <c r="B195" s="2" t="s">
        <v>13</v>
      </c>
      <c r="C195" s="2" t="s">
        <v>267</v>
      </c>
      <c r="D195" s="4" t="s">
        <v>34</v>
      </c>
      <c r="E195" s="5">
        <v>0.27200000000000002</v>
      </c>
      <c r="F195" s="5">
        <f>E195-1.96*H195</f>
        <v>0.15244000000000002</v>
      </c>
      <c r="G195" s="5">
        <f>E195+1.96*H195</f>
        <v>0.39156000000000002</v>
      </c>
      <c r="H195" s="5">
        <v>6.0999999999999999E-2</v>
      </c>
      <c r="I195" s="5"/>
      <c r="J195" s="2">
        <v>0.01</v>
      </c>
      <c r="K195" s="2" t="s">
        <v>96</v>
      </c>
      <c r="L195" s="6" t="s">
        <v>25</v>
      </c>
    </row>
    <row r="196" spans="1:12" ht="45" hidden="1">
      <c r="A196" s="2" t="s">
        <v>267</v>
      </c>
      <c r="B196" s="2" t="s">
        <v>13</v>
      </c>
      <c r="C196" s="2" t="s">
        <v>267</v>
      </c>
      <c r="D196" s="4" t="s">
        <v>34</v>
      </c>
      <c r="E196" s="5">
        <v>0.11</v>
      </c>
      <c r="F196" s="5">
        <f t="shared" ref="F196:F200" si="22">E196-1.96*H196</f>
        <v>3.1600000000000003E-2</v>
      </c>
      <c r="G196" s="5">
        <f t="shared" ref="G196:G200" si="23">E196+1.96*H196</f>
        <v>0.18840000000000001</v>
      </c>
      <c r="H196" s="5">
        <v>0.04</v>
      </c>
      <c r="I196" s="5"/>
      <c r="J196" s="2">
        <v>0.01</v>
      </c>
      <c r="K196" s="2" t="s">
        <v>95</v>
      </c>
      <c r="L196" s="6" t="s">
        <v>25</v>
      </c>
    </row>
    <row r="197" spans="1:12" ht="45" hidden="1">
      <c r="A197" s="2" t="s">
        <v>267</v>
      </c>
      <c r="B197" s="2" t="s">
        <v>13</v>
      </c>
      <c r="C197" s="2" t="s">
        <v>267</v>
      </c>
      <c r="D197" s="4" t="s">
        <v>34</v>
      </c>
      <c r="E197" s="5">
        <v>4.5999999999999999E-2</v>
      </c>
      <c r="F197" s="5">
        <f t="shared" si="22"/>
        <v>2.052E-2</v>
      </c>
      <c r="G197" s="5">
        <f t="shared" si="23"/>
        <v>7.1480000000000002E-2</v>
      </c>
      <c r="H197" s="5">
        <v>1.2999999999999999E-2</v>
      </c>
      <c r="I197" s="5"/>
      <c r="J197" s="2">
        <v>0.01</v>
      </c>
      <c r="K197" s="2" t="s">
        <v>27</v>
      </c>
      <c r="L197" s="6" t="s">
        <v>25</v>
      </c>
    </row>
    <row r="198" spans="1:12" ht="45" hidden="1">
      <c r="A198" s="2" t="s">
        <v>267</v>
      </c>
      <c r="B198" s="2" t="s">
        <v>13</v>
      </c>
      <c r="C198" s="2" t="s">
        <v>267</v>
      </c>
      <c r="D198" s="4" t="s">
        <v>34</v>
      </c>
      <c r="E198" s="5">
        <v>0.36599999999999999</v>
      </c>
      <c r="F198" s="5">
        <f t="shared" si="22"/>
        <v>0.26604</v>
      </c>
      <c r="G198" s="5">
        <f t="shared" si="23"/>
        <v>0.46595999999999999</v>
      </c>
      <c r="H198" s="5">
        <v>5.0999999999999997E-2</v>
      </c>
      <c r="I198" s="5"/>
      <c r="J198" s="2">
        <v>0.01</v>
      </c>
      <c r="K198" s="2" t="s">
        <v>86</v>
      </c>
      <c r="L198" s="6" t="s">
        <v>25</v>
      </c>
    </row>
    <row r="199" spans="1:12" ht="45" hidden="1">
      <c r="A199" s="2" t="s">
        <v>267</v>
      </c>
      <c r="B199" s="2" t="s">
        <v>13</v>
      </c>
      <c r="C199" s="2" t="s">
        <v>267</v>
      </c>
      <c r="D199" s="4" t="s">
        <v>34</v>
      </c>
      <c r="E199" s="5">
        <v>0.40100000000000002</v>
      </c>
      <c r="F199" s="5">
        <f t="shared" si="22"/>
        <v>0.26576</v>
      </c>
      <c r="G199" s="5">
        <f t="shared" si="23"/>
        <v>0.53624000000000005</v>
      </c>
      <c r="H199" s="5">
        <v>6.9000000000000006E-2</v>
      </c>
      <c r="I199" s="5"/>
      <c r="J199" s="2">
        <v>0.01</v>
      </c>
      <c r="K199" s="2" t="s">
        <v>98</v>
      </c>
      <c r="L199" s="6" t="s">
        <v>25</v>
      </c>
    </row>
    <row r="200" spans="1:12" ht="45" hidden="1">
      <c r="A200" s="2" t="s">
        <v>267</v>
      </c>
      <c r="B200" s="2" t="s">
        <v>13</v>
      </c>
      <c r="C200" s="2" t="s">
        <v>267</v>
      </c>
      <c r="D200" s="4" t="s">
        <v>34</v>
      </c>
      <c r="E200" s="32">
        <v>0.23499999999999999</v>
      </c>
      <c r="F200" s="5">
        <f t="shared" si="22"/>
        <v>0.16639999999999999</v>
      </c>
      <c r="G200" s="5">
        <f t="shared" si="23"/>
        <v>0.30359999999999998</v>
      </c>
      <c r="H200" s="5">
        <v>3.5000000000000003E-2</v>
      </c>
      <c r="I200" s="5"/>
      <c r="J200" s="2">
        <v>0.01</v>
      </c>
      <c r="K200" s="2" t="s">
        <v>269</v>
      </c>
      <c r="L200" s="6" t="s">
        <v>25</v>
      </c>
    </row>
    <row r="201" spans="1:12" ht="45">
      <c r="A201" s="2" t="s">
        <v>267</v>
      </c>
      <c r="B201" s="2" t="s">
        <v>217</v>
      </c>
      <c r="C201" s="2" t="s">
        <v>267</v>
      </c>
      <c r="D201" s="4" t="s">
        <v>14</v>
      </c>
      <c r="E201" s="5">
        <v>5.3128000000000002</v>
      </c>
      <c r="F201" s="5">
        <v>2.7</v>
      </c>
      <c r="G201" s="5">
        <v>10.85</v>
      </c>
      <c r="H201" s="5"/>
      <c r="I201" s="5"/>
      <c r="J201" s="2">
        <v>1E-4</v>
      </c>
      <c r="K201" s="2" t="s">
        <v>131</v>
      </c>
      <c r="L201" s="6" t="s">
        <v>219</v>
      </c>
    </row>
    <row r="202" spans="1:12" ht="45">
      <c r="A202" s="2" t="s">
        <v>267</v>
      </c>
      <c r="B202" s="33" t="s">
        <v>30</v>
      </c>
      <c r="C202" s="2" t="s">
        <v>267</v>
      </c>
      <c r="D202" s="4" t="s">
        <v>14</v>
      </c>
      <c r="E202" s="5">
        <f>1/0.94</f>
        <v>1.0638297872340425</v>
      </c>
      <c r="F202" s="5">
        <f>1/2.15</f>
        <v>0.46511627906976744</v>
      </c>
      <c r="G202" s="5">
        <f>1/0.41</f>
        <v>2.4390243902439024</v>
      </c>
      <c r="H202" s="5"/>
      <c r="I202" s="5"/>
      <c r="J202" s="2" t="s">
        <v>18</v>
      </c>
      <c r="K202" s="2" t="s">
        <v>27</v>
      </c>
      <c r="L202" s="6" t="s">
        <v>54</v>
      </c>
    </row>
    <row r="203" spans="1:12" ht="165">
      <c r="A203" s="2" t="s">
        <v>267</v>
      </c>
      <c r="B203" s="2" t="s">
        <v>13</v>
      </c>
      <c r="C203" s="2" t="s">
        <v>270</v>
      </c>
      <c r="D203" s="4" t="s">
        <v>14</v>
      </c>
      <c r="E203" s="5">
        <v>6.9900000000000004E-2</v>
      </c>
      <c r="F203" s="5">
        <v>8.8000000000000005E-3</v>
      </c>
      <c r="G203" s="5">
        <v>0.55459999999999998</v>
      </c>
      <c r="H203" s="5"/>
      <c r="I203" s="5"/>
      <c r="J203" s="2">
        <v>1.18E-2</v>
      </c>
      <c r="K203" s="2" t="s">
        <v>271</v>
      </c>
      <c r="L203" s="6" t="s">
        <v>16</v>
      </c>
    </row>
    <row r="204" spans="1:12" ht="45">
      <c r="A204" s="2" t="s">
        <v>267</v>
      </c>
      <c r="B204" s="2" t="s">
        <v>49</v>
      </c>
      <c r="C204" s="2" t="s">
        <v>272</v>
      </c>
      <c r="D204" s="4" t="s">
        <v>23</v>
      </c>
      <c r="E204" s="5">
        <f>1/0.8986</f>
        <v>1.1128421989761852</v>
      </c>
      <c r="F204" s="5">
        <f>1/0.9582</f>
        <v>1.0436234606553956</v>
      </c>
      <c r="G204" s="5">
        <f>1/0.8427</f>
        <v>1.1866619200189865</v>
      </c>
      <c r="H204" s="5"/>
      <c r="I204" s="5"/>
      <c r="J204" s="2">
        <v>1E-3</v>
      </c>
      <c r="K204" s="2" t="s">
        <v>21</v>
      </c>
      <c r="L204" s="6" t="s">
        <v>51</v>
      </c>
    </row>
    <row r="205" spans="1:12" ht="75">
      <c r="A205" s="2" t="s">
        <v>267</v>
      </c>
      <c r="B205" s="2" t="s">
        <v>13</v>
      </c>
      <c r="C205" s="2" t="s">
        <v>273</v>
      </c>
      <c r="D205" s="4" t="s">
        <v>14</v>
      </c>
      <c r="E205" s="5">
        <v>2.464</v>
      </c>
      <c r="F205" s="5">
        <v>1.0860000000000001</v>
      </c>
      <c r="G205" s="5">
        <v>5.593</v>
      </c>
      <c r="H205" s="5"/>
      <c r="I205" s="5"/>
      <c r="J205" s="2">
        <v>0.05</v>
      </c>
      <c r="K205" s="2" t="s">
        <v>21</v>
      </c>
      <c r="L205" s="6" t="s">
        <v>111</v>
      </c>
    </row>
    <row r="206" spans="1:12" ht="30">
      <c r="A206" s="2" t="s">
        <v>267</v>
      </c>
      <c r="B206" s="2" t="s">
        <v>17</v>
      </c>
      <c r="C206" s="9" t="s">
        <v>274</v>
      </c>
      <c r="D206" s="4" t="s">
        <v>14</v>
      </c>
      <c r="E206" s="5">
        <f>EXP(4.53)</f>
        <v>92.758561082111768</v>
      </c>
      <c r="F206" s="5">
        <f>EXP(4.53-1.96*1.19)</f>
        <v>9.0033794382931998</v>
      </c>
      <c r="G206" s="5">
        <v>100</v>
      </c>
      <c r="H206" s="5"/>
      <c r="I206" s="5"/>
      <c r="J206" s="9">
        <v>0.05</v>
      </c>
      <c r="K206" s="9" t="s">
        <v>275</v>
      </c>
      <c r="L206" s="53" t="s">
        <v>276</v>
      </c>
    </row>
    <row r="207" spans="1:12" ht="75">
      <c r="A207" s="2" t="s">
        <v>267</v>
      </c>
      <c r="B207" s="2" t="s">
        <v>17</v>
      </c>
      <c r="C207" s="2" t="s">
        <v>277</v>
      </c>
      <c r="D207" s="4" t="s">
        <v>14</v>
      </c>
      <c r="E207" s="5">
        <f>1/0.755</f>
        <v>1.3245033112582782</v>
      </c>
      <c r="F207" s="5">
        <f>1/4.237</f>
        <v>0.23601604909133819</v>
      </c>
      <c r="G207" s="5">
        <f>1/0.135</f>
        <v>7.4074074074074066</v>
      </c>
      <c r="H207" s="5"/>
      <c r="I207" s="5"/>
      <c r="J207" s="2" t="s">
        <v>18</v>
      </c>
      <c r="K207" s="2" t="s">
        <v>27</v>
      </c>
      <c r="L207" s="6" t="s">
        <v>278</v>
      </c>
    </row>
    <row r="208" spans="1:12" ht="60" hidden="1">
      <c r="A208" s="2" t="s">
        <v>267</v>
      </c>
      <c r="B208" s="33" t="s">
        <v>30</v>
      </c>
      <c r="C208" s="2" t="s">
        <v>279</v>
      </c>
      <c r="D208" s="4" t="s">
        <v>34</v>
      </c>
      <c r="E208" s="5">
        <v>0.04</v>
      </c>
      <c r="F208" s="5">
        <v>-0.09</v>
      </c>
      <c r="G208" s="5">
        <v>0.17</v>
      </c>
      <c r="H208" s="5"/>
      <c r="I208" s="5"/>
      <c r="J208" s="2">
        <v>0.53</v>
      </c>
      <c r="K208" s="2" t="s">
        <v>27</v>
      </c>
      <c r="L208" s="6" t="s">
        <v>35</v>
      </c>
    </row>
    <row r="209" spans="1:12" ht="45" hidden="1">
      <c r="A209" s="9" t="s">
        <v>280</v>
      </c>
      <c r="B209" s="9" t="s">
        <v>261</v>
      </c>
      <c r="C209" s="2" t="s">
        <v>281</v>
      </c>
      <c r="D209" s="4" t="s">
        <v>14</v>
      </c>
      <c r="E209" s="5">
        <f>1/(EXP(-0.034))</f>
        <v>1.0345846067281179</v>
      </c>
      <c r="F209" s="5">
        <f>EXP(-0.034-1.96*0.068)</f>
        <v>0.84596270861394285</v>
      </c>
      <c r="G209" s="5">
        <f>EXP(-0.034+1.96*0.068)</f>
        <v>1.104375481406197</v>
      </c>
      <c r="H209" s="5"/>
      <c r="I209" s="5"/>
      <c r="J209" s="2" t="s">
        <v>18</v>
      </c>
      <c r="K209" s="2" t="s">
        <v>98</v>
      </c>
      <c r="L209" s="6" t="s">
        <v>262</v>
      </c>
    </row>
    <row r="210" spans="1:12" ht="45" hidden="1">
      <c r="A210" s="2" t="s">
        <v>282</v>
      </c>
      <c r="B210" s="2" t="s">
        <v>17</v>
      </c>
      <c r="C210" s="2" t="s">
        <v>282</v>
      </c>
      <c r="D210" s="4" t="s">
        <v>14</v>
      </c>
      <c r="E210" s="5">
        <v>5.44</v>
      </c>
      <c r="F210" s="5">
        <v>1.5</v>
      </c>
      <c r="G210" s="5">
        <v>19.760000000000002</v>
      </c>
      <c r="H210" s="5"/>
      <c r="I210" s="5"/>
      <c r="J210" s="2">
        <v>0.01</v>
      </c>
      <c r="K210" s="2" t="s">
        <v>131</v>
      </c>
      <c r="L210" s="6" t="s">
        <v>132</v>
      </c>
    </row>
    <row r="211" spans="1:12" ht="90" hidden="1">
      <c r="A211" s="2" t="s">
        <v>282</v>
      </c>
      <c r="B211" s="2" t="s">
        <v>17</v>
      </c>
      <c r="C211" s="2" t="s">
        <v>283</v>
      </c>
      <c r="D211" s="4" t="s">
        <v>14</v>
      </c>
      <c r="E211" s="5">
        <f>1/0.21062</f>
        <v>4.7478871902003608</v>
      </c>
      <c r="F211" s="5"/>
      <c r="G211" s="5"/>
      <c r="H211" s="5"/>
      <c r="I211" s="5"/>
      <c r="J211" s="2">
        <v>5.0000000000000001E-3</v>
      </c>
      <c r="K211" s="2" t="s">
        <v>131</v>
      </c>
      <c r="L211" s="6" t="s">
        <v>221</v>
      </c>
    </row>
    <row r="212" spans="1:12" ht="45" hidden="1">
      <c r="A212" s="18" t="s">
        <v>284</v>
      </c>
      <c r="B212" s="4" t="s">
        <v>103</v>
      </c>
      <c r="C212" s="2" t="s">
        <v>285</v>
      </c>
      <c r="D212" s="4" t="s">
        <v>14</v>
      </c>
      <c r="E212" s="5">
        <v>1.9581999999999999</v>
      </c>
      <c r="F212" s="5">
        <v>0.71750000000000003</v>
      </c>
      <c r="G212" s="5">
        <v>5.3444000000000003</v>
      </c>
      <c r="H212" s="5"/>
      <c r="I212" s="5"/>
      <c r="J212" s="2" t="s">
        <v>18</v>
      </c>
      <c r="K212" s="2" t="s">
        <v>104</v>
      </c>
      <c r="L212" s="9" t="s">
        <v>105</v>
      </c>
    </row>
    <row r="213" spans="1:12" ht="45" hidden="1">
      <c r="A213" s="18"/>
      <c r="B213" s="18" t="s">
        <v>17</v>
      </c>
      <c r="C213" s="2" t="s">
        <v>286</v>
      </c>
      <c r="D213" s="4" t="s">
        <v>14</v>
      </c>
      <c r="E213" s="5">
        <v>0.251</v>
      </c>
      <c r="F213" s="5"/>
      <c r="G213" s="5"/>
      <c r="H213" s="5"/>
      <c r="I213" s="5"/>
      <c r="J213" s="2">
        <v>0.05</v>
      </c>
      <c r="K213" s="2" t="s">
        <v>131</v>
      </c>
      <c r="L213" s="6" t="s">
        <v>221</v>
      </c>
    </row>
    <row r="214" spans="1:12" ht="45" hidden="1">
      <c r="A214" s="9" t="s">
        <v>280</v>
      </c>
      <c r="B214" s="18" t="s">
        <v>13</v>
      </c>
      <c r="C214" s="9" t="s">
        <v>280</v>
      </c>
      <c r="D214" s="18" t="s">
        <v>14</v>
      </c>
      <c r="E214" s="19">
        <f>EXP(-0.51)</f>
        <v>0.6004955788122659</v>
      </c>
      <c r="F214" s="19">
        <f>EXP(-2.136)</f>
        <v>0.11812640488885146</v>
      </c>
      <c r="G214" s="19">
        <f>EXP(1.053)</f>
        <v>2.8662369437164648</v>
      </c>
      <c r="H214" s="19"/>
      <c r="I214" s="19"/>
      <c r="J214" s="9">
        <v>0.50600000000000001</v>
      </c>
      <c r="K214" s="9" t="s">
        <v>27</v>
      </c>
      <c r="L214" s="9" t="s">
        <v>28</v>
      </c>
    </row>
    <row r="215" spans="1:12" ht="105" hidden="1">
      <c r="A215" s="4" t="s">
        <v>287</v>
      </c>
      <c r="B215" s="4" t="s">
        <v>17</v>
      </c>
      <c r="C215" s="2" t="s">
        <v>288</v>
      </c>
      <c r="D215" s="4" t="s">
        <v>14</v>
      </c>
      <c r="E215" s="5">
        <v>0.76</v>
      </c>
      <c r="F215" s="5"/>
      <c r="G215" s="5"/>
      <c r="H215" s="5">
        <v>7.1999999999999995E-2</v>
      </c>
      <c r="I215" s="5"/>
      <c r="J215" s="2">
        <v>0.01</v>
      </c>
      <c r="K215" s="8" t="s">
        <v>19</v>
      </c>
      <c r="L215" s="6" t="s">
        <v>20</v>
      </c>
    </row>
    <row r="216" spans="1:12" ht="45" hidden="1">
      <c r="A216" s="4" t="s">
        <v>287</v>
      </c>
      <c r="B216" s="4" t="s">
        <v>17</v>
      </c>
      <c r="C216" s="2" t="s">
        <v>288</v>
      </c>
      <c r="D216" s="4" t="s">
        <v>34</v>
      </c>
      <c r="E216" s="5">
        <v>-2.7E-2</v>
      </c>
      <c r="F216" s="5">
        <f>E216-1.96*H216</f>
        <v>-4.4639999999999999E-2</v>
      </c>
      <c r="G216" s="5">
        <f>E216+1.96*H216</f>
        <v>-9.3600000000000003E-3</v>
      </c>
      <c r="H216" s="5">
        <v>8.9999999999999993E-3</v>
      </c>
      <c r="I216" s="5"/>
      <c r="J216" s="2">
        <v>0.01</v>
      </c>
      <c r="K216" s="2" t="s">
        <v>94</v>
      </c>
      <c r="L216" s="6" t="s">
        <v>20</v>
      </c>
    </row>
    <row r="217" spans="1:12" ht="45" hidden="1">
      <c r="A217" s="4" t="s">
        <v>287</v>
      </c>
      <c r="B217" s="4" t="s">
        <v>17</v>
      </c>
      <c r="C217" s="2" t="s">
        <v>288</v>
      </c>
      <c r="D217" s="4" t="s">
        <v>34</v>
      </c>
      <c r="E217" s="5">
        <v>-7.0000000000000001E-3</v>
      </c>
      <c r="F217" s="5">
        <f t="shared" ref="F217:F219" si="24">E217-1.96*H217</f>
        <v>-1.6799999999999999E-2</v>
      </c>
      <c r="G217" s="5">
        <f t="shared" ref="G217:G219" si="25">E217+1.96*H217</f>
        <v>2.7999999999999995E-3</v>
      </c>
      <c r="H217" s="5">
        <v>5.0000000000000001E-3</v>
      </c>
      <c r="I217" s="5"/>
      <c r="J217" s="2" t="s">
        <v>18</v>
      </c>
      <c r="K217" s="2" t="s">
        <v>124</v>
      </c>
      <c r="L217" s="6" t="s">
        <v>20</v>
      </c>
    </row>
    <row r="218" spans="1:12" ht="45" hidden="1">
      <c r="A218" s="4" t="s">
        <v>287</v>
      </c>
      <c r="B218" s="4" t="s">
        <v>17</v>
      </c>
      <c r="C218" s="2" t="s">
        <v>288</v>
      </c>
      <c r="D218" s="4" t="s">
        <v>34</v>
      </c>
      <c r="E218" s="5">
        <v>-1.9E-2</v>
      </c>
      <c r="F218" s="5">
        <f t="shared" si="24"/>
        <v>-3.2719999999999999E-2</v>
      </c>
      <c r="G218" s="5">
        <f t="shared" si="25"/>
        <v>-5.28E-3</v>
      </c>
      <c r="H218" s="5">
        <v>7.0000000000000001E-3</v>
      </c>
      <c r="I218" s="5"/>
      <c r="J218" s="2">
        <v>0.05</v>
      </c>
      <c r="K218" s="2" t="s">
        <v>86</v>
      </c>
      <c r="L218" s="6" t="s">
        <v>20</v>
      </c>
    </row>
    <row r="219" spans="1:12" ht="45" hidden="1">
      <c r="A219" s="4" t="s">
        <v>287</v>
      </c>
      <c r="B219" s="4" t="s">
        <v>17</v>
      </c>
      <c r="C219" s="2" t="s">
        <v>288</v>
      </c>
      <c r="D219" s="4" t="s">
        <v>34</v>
      </c>
      <c r="E219" s="5">
        <v>1.4999999999999999E-2</v>
      </c>
      <c r="F219" s="5">
        <f t="shared" si="24"/>
        <v>5.1999999999999998E-3</v>
      </c>
      <c r="G219" s="5">
        <f t="shared" si="25"/>
        <v>2.4799999999999999E-2</v>
      </c>
      <c r="H219" s="5">
        <v>5.0000000000000001E-3</v>
      </c>
      <c r="I219" s="5"/>
      <c r="J219" s="2">
        <v>0.01</v>
      </c>
      <c r="K219" s="2" t="s">
        <v>21</v>
      </c>
      <c r="L219" s="6" t="s">
        <v>20</v>
      </c>
    </row>
    <row r="220" spans="1:12" ht="30" hidden="1">
      <c r="A220" s="4" t="s">
        <v>287</v>
      </c>
      <c r="B220" s="4" t="s">
        <v>13</v>
      </c>
      <c r="C220" s="9" t="s">
        <v>289</v>
      </c>
      <c r="D220" s="4" t="s">
        <v>14</v>
      </c>
      <c r="E220" s="74">
        <f>EXP(-5.482)</f>
        <v>4.1609993716113722E-3</v>
      </c>
      <c r="F220" s="5">
        <f>EXP(-8.912)</f>
        <v>1.3476204020448085E-4</v>
      </c>
      <c r="G220" s="5">
        <f>EXP(-2.053)</f>
        <v>0.12834927760523412</v>
      </c>
      <c r="H220" s="5"/>
      <c r="I220" s="5"/>
      <c r="J220" s="9">
        <v>1E-3</v>
      </c>
      <c r="K220" s="9" t="s">
        <v>27</v>
      </c>
      <c r="L220" s="9" t="s">
        <v>28</v>
      </c>
    </row>
    <row r="221" spans="1:12" ht="45" hidden="1">
      <c r="A221" s="4" t="s">
        <v>287</v>
      </c>
      <c r="B221" s="3" t="s">
        <v>30</v>
      </c>
      <c r="C221" s="2" t="s">
        <v>290</v>
      </c>
      <c r="D221" s="4" t="s">
        <v>14</v>
      </c>
      <c r="E221" s="5">
        <f>1/8.47</f>
        <v>0.11806375442739078</v>
      </c>
      <c r="F221" s="5">
        <f>1/22.1</f>
        <v>4.5248868778280542E-2</v>
      </c>
      <c r="G221" s="5">
        <f>1/3.25</f>
        <v>0.30769230769230771</v>
      </c>
      <c r="H221" s="5"/>
      <c r="I221" s="5"/>
      <c r="J221" s="2">
        <v>1E-3</v>
      </c>
      <c r="K221" s="2" t="s">
        <v>27</v>
      </c>
      <c r="L221" s="6" t="s">
        <v>140</v>
      </c>
    </row>
    <row r="222" spans="1:12" ht="75" hidden="1">
      <c r="A222" s="4" t="s">
        <v>287</v>
      </c>
      <c r="B222" s="4" t="s">
        <v>81</v>
      </c>
      <c r="C222" s="2" t="s">
        <v>291</v>
      </c>
      <c r="D222" s="4" t="s">
        <v>23</v>
      </c>
      <c r="E222" s="5">
        <f>1/EXP(1.78)</f>
        <v>0.16863814726859552</v>
      </c>
      <c r="F222" s="5">
        <f>1/EXP(2.81)</f>
        <v>6.0204992392373549E-2</v>
      </c>
      <c r="G222" s="5">
        <f>1/EXP(0.74)</f>
        <v>0.47711391552103444</v>
      </c>
      <c r="H222" s="5"/>
      <c r="I222" s="5"/>
      <c r="J222" s="2" t="s">
        <v>292</v>
      </c>
      <c r="K222" s="2" t="s">
        <v>82</v>
      </c>
      <c r="L222" s="6" t="s">
        <v>83</v>
      </c>
    </row>
    <row r="223" spans="1:12" ht="45" hidden="1">
      <c r="A223" s="4" t="s">
        <v>287</v>
      </c>
      <c r="B223" s="3" t="s">
        <v>30</v>
      </c>
      <c r="C223" s="2" t="s">
        <v>293</v>
      </c>
      <c r="D223" s="4" t="s">
        <v>14</v>
      </c>
      <c r="E223" s="5">
        <f>1/4.703</f>
        <v>0.21263023601956196</v>
      </c>
      <c r="F223" s="5"/>
      <c r="G223" s="5"/>
      <c r="H223" s="5"/>
      <c r="I223" s="5"/>
      <c r="J223" s="2">
        <v>0.01</v>
      </c>
      <c r="K223" s="2" t="s">
        <v>294</v>
      </c>
      <c r="L223" s="6" t="s">
        <v>181</v>
      </c>
    </row>
    <row r="224" spans="1:12" ht="45" hidden="1">
      <c r="A224" s="4" t="s">
        <v>287</v>
      </c>
      <c r="B224" s="3" t="s">
        <v>30</v>
      </c>
      <c r="C224" s="2" t="s">
        <v>295</v>
      </c>
      <c r="D224" s="4" t="s">
        <v>14</v>
      </c>
      <c r="E224" s="5">
        <f>1/3.802</f>
        <v>0.26301946344029459</v>
      </c>
      <c r="F224" s="5"/>
      <c r="G224" s="5"/>
      <c r="H224" s="5"/>
      <c r="I224" s="5"/>
      <c r="J224" s="2">
        <v>0.01</v>
      </c>
      <c r="K224" s="2" t="s">
        <v>294</v>
      </c>
      <c r="L224" s="6" t="s">
        <v>181</v>
      </c>
    </row>
    <row r="225" spans="1:12" ht="45" hidden="1">
      <c r="A225" s="2" t="s">
        <v>296</v>
      </c>
      <c r="B225" s="3" t="s">
        <v>30</v>
      </c>
      <c r="C225" s="2" t="s">
        <v>296</v>
      </c>
      <c r="D225" s="4" t="s">
        <v>14</v>
      </c>
      <c r="E225" s="5">
        <v>4.7270000000000003</v>
      </c>
      <c r="F225" s="5"/>
      <c r="G225" s="5"/>
      <c r="H225" s="5"/>
      <c r="I225" s="5"/>
      <c r="J225" s="2">
        <v>0.01</v>
      </c>
      <c r="K225" s="2" t="s">
        <v>294</v>
      </c>
      <c r="L225" s="6" t="s">
        <v>181</v>
      </c>
    </row>
    <row r="226" spans="1:12" ht="45" hidden="1">
      <c r="A226" s="4" t="s">
        <v>297</v>
      </c>
      <c r="B226" s="4" t="s">
        <v>13</v>
      </c>
      <c r="C226" s="6" t="s">
        <v>298</v>
      </c>
      <c r="D226" s="4" t="s">
        <v>23</v>
      </c>
      <c r="E226" s="5">
        <f>1/0.9332</f>
        <v>1.0715816545220747</v>
      </c>
      <c r="F226" s="5">
        <f>1/0.991</f>
        <v>1.0090817356205852</v>
      </c>
      <c r="G226" s="5">
        <f>1/0.8789</f>
        <v>1.1377858686995108</v>
      </c>
      <c r="H226" s="5"/>
      <c r="I226" s="5"/>
      <c r="J226" s="2" t="s">
        <v>18</v>
      </c>
      <c r="K226" s="2" t="s">
        <v>21</v>
      </c>
      <c r="L226" s="6" t="s">
        <v>22</v>
      </c>
    </row>
    <row r="227" spans="1:12" ht="45" hidden="1">
      <c r="A227" s="4" t="s">
        <v>297</v>
      </c>
      <c r="B227" s="18" t="s">
        <v>49</v>
      </c>
      <c r="C227" s="6" t="s">
        <v>298</v>
      </c>
      <c r="D227" s="4" t="s">
        <v>23</v>
      </c>
      <c r="E227" s="5">
        <f>1/1.0001</f>
        <v>0.99990000999900008</v>
      </c>
      <c r="F227" s="5">
        <f>1/1.0006</f>
        <v>0.99940035978412955</v>
      </c>
      <c r="G227" s="5">
        <f>1/0.9997</f>
        <v>1.000300090027008</v>
      </c>
      <c r="H227" s="5"/>
      <c r="I227" s="5"/>
      <c r="J227" s="2">
        <v>0.54700000000000004</v>
      </c>
      <c r="K227" s="2" t="s">
        <v>21</v>
      </c>
      <c r="L227" s="6" t="s">
        <v>51</v>
      </c>
    </row>
    <row r="228" spans="1:12" ht="45" hidden="1">
      <c r="A228" s="4" t="s">
        <v>297</v>
      </c>
      <c r="B228" s="3" t="s">
        <v>30</v>
      </c>
      <c r="C228" s="6" t="s">
        <v>299</v>
      </c>
      <c r="D228" s="4" t="s">
        <v>14</v>
      </c>
      <c r="E228" s="5">
        <v>1.2749999999999999</v>
      </c>
      <c r="F228" s="5"/>
      <c r="G228" s="5"/>
      <c r="H228" s="5"/>
      <c r="I228" s="5"/>
      <c r="J228" s="2">
        <v>0.1</v>
      </c>
      <c r="K228" s="2" t="s">
        <v>300</v>
      </c>
      <c r="L228" s="6" t="s">
        <v>181</v>
      </c>
    </row>
    <row r="229" spans="1:12" ht="75" hidden="1">
      <c r="A229" s="4" t="s">
        <v>297</v>
      </c>
      <c r="B229" s="3" t="s">
        <v>30</v>
      </c>
      <c r="C229" s="6" t="s">
        <v>301</v>
      </c>
      <c r="D229" s="4" t="s">
        <v>14</v>
      </c>
      <c r="E229" s="5">
        <v>0.98099999999999998</v>
      </c>
      <c r="F229" s="5">
        <v>0.96199999999999997</v>
      </c>
      <c r="G229" s="5">
        <v>1</v>
      </c>
      <c r="H229" s="5"/>
      <c r="I229" s="5"/>
      <c r="J229" s="2">
        <v>4.5999999999999999E-2</v>
      </c>
      <c r="K229" s="2" t="s">
        <v>163</v>
      </c>
      <c r="L229" s="6" t="s">
        <v>164</v>
      </c>
    </row>
    <row r="230" spans="1:12" ht="45" hidden="1">
      <c r="A230" s="2" t="s">
        <v>302</v>
      </c>
      <c r="B230" s="2" t="s">
        <v>13</v>
      </c>
      <c r="C230" s="2" t="s">
        <v>302</v>
      </c>
      <c r="D230" s="4" t="s">
        <v>14</v>
      </c>
      <c r="E230" s="5">
        <v>2.1869999999999998</v>
      </c>
      <c r="F230" s="5">
        <v>0.96299999999999997</v>
      </c>
      <c r="G230" s="5">
        <v>4.9660000000000002</v>
      </c>
      <c r="H230" s="5"/>
      <c r="I230" s="5"/>
      <c r="J230" s="2" t="s">
        <v>18</v>
      </c>
      <c r="K230" s="2" t="s">
        <v>21</v>
      </c>
      <c r="L230" s="6" t="s">
        <v>111</v>
      </c>
    </row>
    <row r="231" spans="1:12" ht="45" hidden="1">
      <c r="A231" s="2" t="s">
        <v>303</v>
      </c>
      <c r="B231" s="2" t="s">
        <v>13</v>
      </c>
      <c r="C231" s="2" t="s">
        <v>303</v>
      </c>
      <c r="D231" s="4" t="s">
        <v>14</v>
      </c>
      <c r="E231" s="5">
        <v>1.024</v>
      </c>
      <c r="F231" s="5">
        <v>0.92800000000000005</v>
      </c>
      <c r="G231" s="5">
        <v>1.1299999999999999</v>
      </c>
      <c r="H231" s="5"/>
      <c r="I231" s="5"/>
      <c r="J231" s="2" t="s">
        <v>18</v>
      </c>
      <c r="K231" s="2" t="s">
        <v>21</v>
      </c>
      <c r="L231" s="6" t="s">
        <v>22</v>
      </c>
    </row>
    <row r="232" spans="1:12" ht="45" hidden="1">
      <c r="A232" s="2" t="s">
        <v>304</v>
      </c>
      <c r="B232" s="2" t="s">
        <v>49</v>
      </c>
      <c r="C232" s="2" t="s">
        <v>303</v>
      </c>
      <c r="D232" s="4" t="s">
        <v>23</v>
      </c>
      <c r="E232" s="5">
        <f>1/0.553</f>
        <v>1.8083182640144664</v>
      </c>
      <c r="F232" s="5">
        <f>1/0.9067</f>
        <v>1.1029006286533585</v>
      </c>
      <c r="G232" s="5">
        <f>1/0.3373</f>
        <v>2.9647198339756895</v>
      </c>
      <c r="H232" s="5"/>
      <c r="I232" s="5"/>
      <c r="J232" s="2">
        <v>1.9E-2</v>
      </c>
      <c r="K232" s="2" t="s">
        <v>21</v>
      </c>
      <c r="L232" s="6" t="s">
        <v>51</v>
      </c>
    </row>
    <row r="233" spans="1:12" ht="45" hidden="1">
      <c r="A233" s="2" t="s">
        <v>304</v>
      </c>
      <c r="B233" s="2" t="s">
        <v>13</v>
      </c>
      <c r="C233" s="2" t="s">
        <v>304</v>
      </c>
      <c r="D233" s="4" t="s">
        <v>14</v>
      </c>
      <c r="E233" s="5">
        <v>1.121</v>
      </c>
      <c r="F233" s="5">
        <v>0.99099999999999999</v>
      </c>
      <c r="G233" s="5">
        <v>1.268</v>
      </c>
      <c r="H233" s="5"/>
      <c r="I233" s="5"/>
      <c r="J233" s="2">
        <v>0.1</v>
      </c>
      <c r="K233" s="2" t="s">
        <v>21</v>
      </c>
      <c r="L233" s="6" t="s">
        <v>22</v>
      </c>
    </row>
    <row r="234" spans="1:12" ht="45" hidden="1">
      <c r="A234" s="2" t="s">
        <v>304</v>
      </c>
      <c r="B234" s="2" t="s">
        <v>49</v>
      </c>
      <c r="C234" s="2" t="s">
        <v>304</v>
      </c>
      <c r="D234" s="4" t="s">
        <v>23</v>
      </c>
      <c r="E234" s="5">
        <f>1/1.0181</f>
        <v>0.98222178567920637</v>
      </c>
      <c r="F234" s="5">
        <f>1/1.0936</f>
        <v>0.91441111923921004</v>
      </c>
      <c r="G234" s="5">
        <f>1/0.9478</f>
        <v>1.0550749103186325</v>
      </c>
      <c r="H234" s="5"/>
      <c r="I234" s="5"/>
      <c r="J234" s="2">
        <v>0.624</v>
      </c>
      <c r="K234" s="2" t="s">
        <v>21</v>
      </c>
      <c r="L234" s="6" t="s">
        <v>51</v>
      </c>
    </row>
    <row r="235" spans="1:12" ht="45" hidden="1">
      <c r="A235" s="2" t="s">
        <v>305</v>
      </c>
      <c r="B235" s="2" t="s">
        <v>13</v>
      </c>
      <c r="C235" s="2" t="s">
        <v>305</v>
      </c>
      <c r="D235" s="4" t="s">
        <v>14</v>
      </c>
      <c r="E235" s="5">
        <v>1.5091000000000001</v>
      </c>
      <c r="F235" s="5">
        <v>0.81489999999999996</v>
      </c>
      <c r="G235" s="5">
        <v>2.7947000000000002</v>
      </c>
      <c r="H235" s="5"/>
      <c r="I235" s="5"/>
      <c r="J235" s="2">
        <v>0.19059999999999999</v>
      </c>
      <c r="K235" s="2" t="s">
        <v>306</v>
      </c>
      <c r="L235" s="6" t="s">
        <v>16</v>
      </c>
    </row>
    <row r="236" spans="1:12" ht="75" hidden="1">
      <c r="A236" s="18"/>
      <c r="B236" s="18" t="s">
        <v>17</v>
      </c>
      <c r="C236" s="2" t="s">
        <v>307</v>
      </c>
      <c r="D236" s="18" t="s">
        <v>14</v>
      </c>
      <c r="E236" s="19">
        <f>1/1.242</f>
        <v>0.80515297906602257</v>
      </c>
      <c r="F236" s="19">
        <f>1/6.407</f>
        <v>0.15607928827844544</v>
      </c>
      <c r="G236" s="19">
        <f>1/0.241</f>
        <v>4.1493775933609962</v>
      </c>
      <c r="H236" s="19"/>
      <c r="I236" s="19"/>
      <c r="J236" s="2" t="s">
        <v>18</v>
      </c>
      <c r="K236" s="2" t="s">
        <v>27</v>
      </c>
      <c r="L236" s="6" t="s">
        <v>278</v>
      </c>
    </row>
    <row r="237" spans="1:12" ht="45" hidden="1">
      <c r="A237" s="2" t="s">
        <v>308</v>
      </c>
      <c r="B237" s="2" t="s">
        <v>36</v>
      </c>
      <c r="C237" s="2" t="s">
        <v>308</v>
      </c>
      <c r="D237" s="4" t="s">
        <v>14</v>
      </c>
      <c r="E237" s="5">
        <v>0.30599999999999999</v>
      </c>
      <c r="F237" s="5">
        <v>5.0999999999999997E-2</v>
      </c>
      <c r="G237" s="5">
        <v>1.827</v>
      </c>
      <c r="H237" s="5"/>
      <c r="I237" s="5"/>
      <c r="J237" s="2" t="s">
        <v>18</v>
      </c>
      <c r="K237" s="2" t="s">
        <v>38</v>
      </c>
      <c r="L237" s="6" t="s">
        <v>39</v>
      </c>
    </row>
    <row r="238" spans="1:12" ht="30" hidden="1">
      <c r="A238" s="2" t="s">
        <v>309</v>
      </c>
      <c r="B238" s="2" t="s">
        <v>255</v>
      </c>
      <c r="C238" s="2" t="s">
        <v>309</v>
      </c>
      <c r="D238" s="4" t="s">
        <v>14</v>
      </c>
      <c r="E238" s="5">
        <v>1.3169999999999999</v>
      </c>
      <c r="F238" s="5">
        <v>0.59599999999999997</v>
      </c>
      <c r="G238" s="5">
        <v>2.91</v>
      </c>
      <c r="H238" s="5"/>
      <c r="I238" s="5"/>
      <c r="J238" s="2" t="s">
        <v>18</v>
      </c>
      <c r="K238" s="2" t="s">
        <v>38</v>
      </c>
      <c r="L238" s="6" t="s">
        <v>257</v>
      </c>
    </row>
    <row r="239" spans="1:12" ht="60" hidden="1">
      <c r="A239" s="9" t="s">
        <v>310</v>
      </c>
      <c r="B239" s="9" t="s">
        <v>81</v>
      </c>
      <c r="C239" s="9" t="s">
        <v>310</v>
      </c>
      <c r="D239" s="4" t="s">
        <v>23</v>
      </c>
      <c r="E239" s="5">
        <f>1/EXP(0.12)</f>
        <v>0.88692043671715748</v>
      </c>
      <c r="F239" s="5">
        <f>1/EXP(0.63)</f>
        <v>0.53259180100689718</v>
      </c>
      <c r="G239" s="5">
        <f>1/EXP(-0.39)</f>
        <v>1.4769807938826427</v>
      </c>
      <c r="H239" s="5"/>
      <c r="I239" s="5"/>
      <c r="J239" s="9">
        <v>0.65</v>
      </c>
      <c r="K239" s="9" t="s">
        <v>21</v>
      </c>
      <c r="L239" s="12" t="s">
        <v>178</v>
      </c>
    </row>
    <row r="240" spans="1:12" ht="45" hidden="1">
      <c r="A240" s="9" t="s">
        <v>311</v>
      </c>
      <c r="B240" s="9" t="s">
        <v>40</v>
      </c>
      <c r="C240" s="2" t="s">
        <v>312</v>
      </c>
      <c r="D240" s="4" t="s">
        <v>14</v>
      </c>
      <c r="E240" s="5">
        <f>1/2.14</f>
        <v>0.46728971962616822</v>
      </c>
      <c r="F240" s="5">
        <f>1/4.83</f>
        <v>0.20703933747412007</v>
      </c>
      <c r="G240" s="5">
        <f>1/0.95</f>
        <v>1.0526315789473684</v>
      </c>
      <c r="H240" s="5"/>
      <c r="I240" s="5"/>
      <c r="J240" s="2">
        <v>7.0000000000000007E-2</v>
      </c>
      <c r="K240" s="2" t="s">
        <v>27</v>
      </c>
      <c r="L240" s="6" t="s">
        <v>42</v>
      </c>
    </row>
    <row r="241" spans="1:12" ht="105" hidden="1">
      <c r="A241" s="9" t="s">
        <v>311</v>
      </c>
      <c r="B241" s="38" t="s">
        <v>17</v>
      </c>
      <c r="C241" s="2" t="s">
        <v>312</v>
      </c>
      <c r="D241" s="4" t="s">
        <v>14</v>
      </c>
      <c r="E241" s="5">
        <v>1.097</v>
      </c>
      <c r="F241" s="5"/>
      <c r="G241" s="5"/>
      <c r="H241" s="5">
        <v>0.59299999999999997</v>
      </c>
      <c r="I241" s="5"/>
      <c r="J241" s="2" t="s">
        <v>18</v>
      </c>
      <c r="K241" s="8" t="s">
        <v>19</v>
      </c>
      <c r="L241" s="6" t="s">
        <v>20</v>
      </c>
    </row>
    <row r="242" spans="1:12" ht="45" hidden="1">
      <c r="A242" s="9" t="s">
        <v>311</v>
      </c>
      <c r="B242" s="38" t="s">
        <v>17</v>
      </c>
      <c r="C242" s="2" t="s">
        <v>312</v>
      </c>
      <c r="D242" s="4" t="s">
        <v>34</v>
      </c>
      <c r="E242" s="5">
        <v>1.7999999999999999E-2</v>
      </c>
      <c r="F242" s="5">
        <f>E242-1.96*H242</f>
        <v>-5.0600000000000006E-2</v>
      </c>
      <c r="G242" s="5">
        <f>E242+1.96*H242</f>
        <v>8.660000000000001E-2</v>
      </c>
      <c r="H242" s="5">
        <v>3.5000000000000003E-2</v>
      </c>
      <c r="I242" s="5"/>
      <c r="J242" s="2" t="s">
        <v>18</v>
      </c>
      <c r="K242" s="2" t="s">
        <v>94</v>
      </c>
      <c r="L242" s="6" t="s">
        <v>20</v>
      </c>
    </row>
    <row r="243" spans="1:12" ht="45" hidden="1">
      <c r="A243" s="9" t="s">
        <v>311</v>
      </c>
      <c r="B243" s="38" t="s">
        <v>17</v>
      </c>
      <c r="C243" s="2" t="s">
        <v>312</v>
      </c>
      <c r="D243" s="4" t="s">
        <v>34</v>
      </c>
      <c r="E243" s="5">
        <v>7.0000000000000001E-3</v>
      </c>
      <c r="F243" s="5">
        <f t="shared" ref="F243:F245" si="26">E243-1.96*H243</f>
        <v>-2.044E-2</v>
      </c>
      <c r="G243" s="5">
        <f t="shared" ref="G243:G245" si="27">E243+1.96*H243</f>
        <v>3.4439999999999998E-2</v>
      </c>
      <c r="H243" s="5">
        <v>1.4E-2</v>
      </c>
      <c r="I243" s="5"/>
      <c r="J243" s="2" t="s">
        <v>18</v>
      </c>
      <c r="K243" s="2" t="s">
        <v>124</v>
      </c>
      <c r="L243" s="6" t="s">
        <v>20</v>
      </c>
    </row>
    <row r="244" spans="1:12" ht="45" hidden="1">
      <c r="A244" s="9" t="s">
        <v>311</v>
      </c>
      <c r="B244" s="38" t="s">
        <v>17</v>
      </c>
      <c r="C244" s="2" t="s">
        <v>312</v>
      </c>
      <c r="D244" s="4" t="s">
        <v>34</v>
      </c>
      <c r="E244" s="5">
        <v>1.7999999999999999E-2</v>
      </c>
      <c r="F244" s="5">
        <f t="shared" si="26"/>
        <v>-5.0600000000000006E-2</v>
      </c>
      <c r="G244" s="5">
        <f t="shared" si="27"/>
        <v>8.660000000000001E-2</v>
      </c>
      <c r="H244" s="5">
        <v>3.5000000000000003E-2</v>
      </c>
      <c r="I244" s="5"/>
      <c r="J244" s="2" t="s">
        <v>18</v>
      </c>
      <c r="K244" s="2" t="s">
        <v>86</v>
      </c>
      <c r="L244" s="6" t="s">
        <v>20</v>
      </c>
    </row>
    <row r="245" spans="1:12" ht="45" hidden="1">
      <c r="A245" s="9" t="s">
        <v>311</v>
      </c>
      <c r="B245" s="38" t="s">
        <v>17</v>
      </c>
      <c r="C245" s="2" t="s">
        <v>312</v>
      </c>
      <c r="D245" s="4" t="s">
        <v>34</v>
      </c>
      <c r="E245" s="5">
        <v>1.4999999999999999E-2</v>
      </c>
      <c r="F245" s="5">
        <f t="shared" si="26"/>
        <v>-4.1840000000000002E-2</v>
      </c>
      <c r="G245" s="5">
        <f t="shared" si="27"/>
        <v>7.1840000000000001E-2</v>
      </c>
      <c r="H245" s="5">
        <v>2.9000000000000001E-2</v>
      </c>
      <c r="I245" s="5"/>
      <c r="J245" s="2" t="s">
        <v>18</v>
      </c>
      <c r="K245" s="2" t="s">
        <v>21</v>
      </c>
      <c r="L245" s="6" t="s">
        <v>20</v>
      </c>
    </row>
    <row r="246" spans="1:12" ht="45" hidden="1">
      <c r="A246" s="9" t="s">
        <v>311</v>
      </c>
      <c r="B246" s="2" t="s">
        <v>13</v>
      </c>
      <c r="C246" s="2" t="s">
        <v>312</v>
      </c>
      <c r="D246" s="4" t="s">
        <v>14</v>
      </c>
      <c r="E246" s="5">
        <v>1.4379999999999999</v>
      </c>
      <c r="F246" s="5">
        <v>0.58299999999999996</v>
      </c>
      <c r="G246" s="5">
        <v>3.5489999999999999</v>
      </c>
      <c r="H246" s="5"/>
      <c r="I246" s="5"/>
      <c r="J246" s="2" t="s">
        <v>18</v>
      </c>
      <c r="K246" s="2" t="s">
        <v>21</v>
      </c>
      <c r="L246" s="6" t="s">
        <v>111</v>
      </c>
    </row>
    <row r="247" spans="1:12" ht="45" hidden="1">
      <c r="A247" s="9" t="s">
        <v>311</v>
      </c>
      <c r="B247" s="9" t="s">
        <v>13</v>
      </c>
      <c r="C247" s="2" t="s">
        <v>313</v>
      </c>
      <c r="D247" s="4" t="s">
        <v>14</v>
      </c>
      <c r="E247" s="5">
        <f>1/EXP(-0.514)</f>
        <v>1.671965699836113</v>
      </c>
      <c r="F247" s="5">
        <f>1/EXP(1.053)</f>
        <v>0.34888950901015336</v>
      </c>
      <c r="G247" s="5">
        <f>1/EXP(-2.136)</f>
        <v>8.4655077833015309</v>
      </c>
      <c r="H247" s="5"/>
      <c r="I247" s="5"/>
      <c r="J247" s="9">
        <v>0.50600000000000001</v>
      </c>
      <c r="K247" s="9" t="s">
        <v>27</v>
      </c>
      <c r="L247" s="9" t="s">
        <v>28</v>
      </c>
    </row>
    <row r="248" spans="1:12" ht="105" hidden="1">
      <c r="A248" s="9" t="s">
        <v>311</v>
      </c>
      <c r="B248" s="33" t="s">
        <v>30</v>
      </c>
      <c r="C248" s="9" t="s">
        <v>311</v>
      </c>
      <c r="D248" s="4" t="s">
        <v>14</v>
      </c>
      <c r="E248" s="5">
        <v>0.83</v>
      </c>
      <c r="F248" s="5">
        <v>0.34</v>
      </c>
      <c r="G248" s="5">
        <v>2.0099999999999998</v>
      </c>
      <c r="H248" s="5"/>
      <c r="I248" s="5"/>
      <c r="J248" s="56" t="s">
        <v>18</v>
      </c>
      <c r="K248" s="9" t="s">
        <v>45</v>
      </c>
      <c r="L248" s="6" t="s">
        <v>46</v>
      </c>
    </row>
    <row r="249" spans="1:12" ht="60" hidden="1">
      <c r="A249" s="9" t="s">
        <v>311</v>
      </c>
      <c r="B249" s="9" t="s">
        <v>81</v>
      </c>
      <c r="C249" s="9" t="s">
        <v>311</v>
      </c>
      <c r="D249" s="4" t="s">
        <v>23</v>
      </c>
      <c r="E249" s="5">
        <f>1/EXP(-2.54)</f>
        <v>12.679670970833877</v>
      </c>
      <c r="F249" s="5">
        <f>1/EXP(-1.24)</f>
        <v>3.4556134647626759</v>
      </c>
      <c r="G249" s="5">
        <f>1/EXP(-3.84)</f>
        <v>46.5254744397892</v>
      </c>
      <c r="H249" s="5"/>
      <c r="I249" s="5"/>
      <c r="J249" s="56">
        <v>1E-3</v>
      </c>
      <c r="K249" s="56" t="s">
        <v>82</v>
      </c>
      <c r="L249" s="6" t="s">
        <v>83</v>
      </c>
    </row>
    <row r="250" spans="1:12" ht="75" hidden="1">
      <c r="A250" s="9" t="s">
        <v>311</v>
      </c>
      <c r="B250" s="33" t="s">
        <v>30</v>
      </c>
      <c r="C250" s="2" t="s">
        <v>314</v>
      </c>
      <c r="D250" s="4" t="s">
        <v>14</v>
      </c>
      <c r="E250" s="5">
        <f>1/(1/10.8)</f>
        <v>10.8</v>
      </c>
      <c r="F250" s="5">
        <v>3.2</v>
      </c>
      <c r="G250" s="5">
        <v>36.299999999999997</v>
      </c>
      <c r="H250" s="5"/>
      <c r="I250" s="5"/>
      <c r="J250" s="2">
        <v>1E-3</v>
      </c>
      <c r="K250" s="2" t="s">
        <v>27</v>
      </c>
      <c r="L250" s="6" t="s">
        <v>140</v>
      </c>
    </row>
    <row r="251" spans="1:12" ht="45" hidden="1">
      <c r="A251" s="9" t="s">
        <v>315</v>
      </c>
      <c r="B251" s="21" t="s">
        <v>13</v>
      </c>
      <c r="C251" s="9" t="s">
        <v>316</v>
      </c>
      <c r="D251" s="4" t="s">
        <v>14</v>
      </c>
      <c r="E251" s="5">
        <f>1/EXP(-0.897)</f>
        <v>2.4522353589775614</v>
      </c>
      <c r="F251" s="5">
        <f>1/EXP(1.534)</f>
        <v>0.21567125462467562</v>
      </c>
      <c r="G251" s="5">
        <f>1/EXP(-3.327)</f>
        <v>27.854652275036155</v>
      </c>
      <c r="H251" s="5"/>
      <c r="I251" s="5"/>
      <c r="J251" s="9">
        <v>0.75800000000000001</v>
      </c>
      <c r="K251" s="9" t="s">
        <v>27</v>
      </c>
      <c r="L251" s="9" t="s">
        <v>28</v>
      </c>
    </row>
    <row r="252" spans="1:12" ht="105" hidden="1">
      <c r="A252" s="2" t="s">
        <v>284</v>
      </c>
      <c r="B252" s="75" t="s">
        <v>17</v>
      </c>
      <c r="C252" s="2" t="s">
        <v>317</v>
      </c>
      <c r="D252" s="4" t="s">
        <v>14</v>
      </c>
      <c r="E252" s="5">
        <f>1/1.211</f>
        <v>0.82576383154417832</v>
      </c>
      <c r="F252" s="5"/>
      <c r="G252" s="5"/>
      <c r="H252" s="5">
        <v>0.74299999999999999</v>
      </c>
      <c r="I252" s="53"/>
      <c r="J252" s="2" t="s">
        <v>18</v>
      </c>
      <c r="K252" s="8" t="s">
        <v>19</v>
      </c>
      <c r="L252" s="6" t="s">
        <v>20</v>
      </c>
    </row>
    <row r="253" spans="1:12" ht="45" hidden="1">
      <c r="A253" s="4" t="s">
        <v>287</v>
      </c>
      <c r="B253" s="75" t="s">
        <v>17</v>
      </c>
      <c r="C253" s="2" t="s">
        <v>288</v>
      </c>
      <c r="D253" s="4" t="s">
        <v>34</v>
      </c>
      <c r="E253" s="5">
        <v>-3.6999999999999998E-2</v>
      </c>
      <c r="F253" s="5">
        <f>E253-1.96*H253</f>
        <v>-5.8560000000000001E-2</v>
      </c>
      <c r="G253" s="5">
        <f>E253+1.96*H253</f>
        <v>-1.5439999999999999E-2</v>
      </c>
      <c r="H253" s="5">
        <v>1.0999999999999999E-2</v>
      </c>
      <c r="I253" s="5"/>
      <c r="J253" s="2">
        <v>0.01</v>
      </c>
      <c r="K253" s="2" t="s">
        <v>175</v>
      </c>
      <c r="L253" s="6" t="s">
        <v>20</v>
      </c>
    </row>
    <row r="254" spans="1:12" ht="45" hidden="1">
      <c r="A254" s="9" t="s">
        <v>311</v>
      </c>
      <c r="B254" s="75" t="s">
        <v>17</v>
      </c>
      <c r="C254" s="2" t="s">
        <v>312</v>
      </c>
      <c r="D254" s="4" t="s">
        <v>34</v>
      </c>
      <c r="E254" s="5">
        <v>3.6999999999999998E-2</v>
      </c>
      <c r="F254" s="5">
        <f>E254-1.96*H254</f>
        <v>-0.10020000000000001</v>
      </c>
      <c r="G254" s="5">
        <f>E254+1.96*H254</f>
        <v>0.17420000000000002</v>
      </c>
      <c r="H254" s="5">
        <v>7.0000000000000007E-2</v>
      </c>
      <c r="I254" s="5"/>
      <c r="J254" s="2" t="s">
        <v>18</v>
      </c>
      <c r="K254" s="2" t="s">
        <v>175</v>
      </c>
      <c r="L254" s="6" t="s">
        <v>20</v>
      </c>
    </row>
    <row r="255" spans="1:12" ht="75" hidden="1">
      <c r="A255" s="21" t="s">
        <v>284</v>
      </c>
      <c r="B255" s="21" t="s">
        <v>13</v>
      </c>
      <c r="C255" s="9" t="s">
        <v>318</v>
      </c>
      <c r="D255" s="4" t="s">
        <v>14</v>
      </c>
      <c r="E255" s="5">
        <f>1/EXP(-2.038)</f>
        <v>7.6752433514506153</v>
      </c>
      <c r="F255" s="5">
        <f>1/EXP(0.855)</f>
        <v>0.42528319108227408</v>
      </c>
      <c r="G255" s="5">
        <f>1/EXP(-4.932)</f>
        <v>138.65654830826361</v>
      </c>
      <c r="H255" s="5"/>
      <c r="I255" s="5"/>
      <c r="J255" s="9">
        <v>0.16700000000000001</v>
      </c>
      <c r="K255" s="9" t="s">
        <v>27</v>
      </c>
      <c r="L255" s="9" t="s">
        <v>28</v>
      </c>
    </row>
    <row r="256" spans="1:12" ht="90" hidden="1">
      <c r="A256" s="76" t="s">
        <v>319</v>
      </c>
      <c r="B256" s="76" t="s">
        <v>207</v>
      </c>
      <c r="C256" s="76" t="s">
        <v>320</v>
      </c>
      <c r="D256" s="77" t="s">
        <v>14</v>
      </c>
      <c r="E256" s="77">
        <v>1.04</v>
      </c>
      <c r="F256" s="77">
        <v>0.92</v>
      </c>
      <c r="G256" s="77">
        <v>1.19</v>
      </c>
      <c r="H256" s="77"/>
      <c r="I256" s="77"/>
      <c r="J256" s="77">
        <v>0.54</v>
      </c>
      <c r="K256" s="77" t="s">
        <v>208</v>
      </c>
      <c r="L256" s="76" t="s">
        <v>209</v>
      </c>
    </row>
    <row r="257" spans="1:12" ht="45" hidden="1">
      <c r="A257" s="78" t="s">
        <v>321</v>
      </c>
      <c r="B257" s="78" t="s">
        <v>40</v>
      </c>
      <c r="C257" s="79" t="s">
        <v>322</v>
      </c>
      <c r="D257" s="79" t="s">
        <v>14</v>
      </c>
      <c r="E257" s="79">
        <v>8.1810782533677934E-2</v>
      </c>
      <c r="F257" s="79">
        <v>1.9196621621929661E-2</v>
      </c>
      <c r="G257" s="79">
        <v>0.3692465618335542</v>
      </c>
      <c r="H257" s="79"/>
      <c r="I257" s="79"/>
      <c r="J257" s="79">
        <v>0.01</v>
      </c>
      <c r="K257" s="79" t="s">
        <v>27</v>
      </c>
      <c r="L257" s="80" t="s">
        <v>42</v>
      </c>
    </row>
    <row r="258" spans="1:12" ht="45" hidden="1">
      <c r="A258" s="78" t="s">
        <v>323</v>
      </c>
      <c r="B258" s="78" t="s">
        <v>36</v>
      </c>
      <c r="C258" s="78" t="s">
        <v>324</v>
      </c>
      <c r="D258" s="79" t="s">
        <v>14</v>
      </c>
      <c r="E258" s="81">
        <v>1.2505425878521919</v>
      </c>
      <c r="F258" s="81">
        <v>0.76776787488869302</v>
      </c>
      <c r="G258" s="81">
        <v>2.0452000883526895</v>
      </c>
      <c r="H258" s="81"/>
      <c r="I258" s="81"/>
      <c r="J258" s="78" t="s">
        <v>18</v>
      </c>
      <c r="K258" s="78" t="s">
        <v>38</v>
      </c>
      <c r="L258" s="82" t="s">
        <v>39</v>
      </c>
    </row>
    <row r="259" spans="1:12" ht="60" hidden="1">
      <c r="A259" s="78" t="s">
        <v>323</v>
      </c>
      <c r="B259" s="78" t="s">
        <v>81</v>
      </c>
      <c r="C259" s="78" t="s">
        <v>325</v>
      </c>
      <c r="D259" s="79" t="s">
        <v>23</v>
      </c>
      <c r="E259" s="83">
        <v>0.9598371565524596</v>
      </c>
      <c r="F259" s="81">
        <v>0.98958862748700605</v>
      </c>
      <c r="G259" s="81">
        <v>1.0247211737756814</v>
      </c>
      <c r="H259" s="81"/>
      <c r="I259" s="81"/>
      <c r="J259" s="78">
        <v>0.217</v>
      </c>
      <c r="K259" s="78" t="s">
        <v>82</v>
      </c>
      <c r="L259" s="82" t="s">
        <v>83</v>
      </c>
    </row>
    <row r="260" spans="1:12" ht="45" hidden="1">
      <c r="A260" s="78" t="s">
        <v>323</v>
      </c>
      <c r="B260" s="78" t="s">
        <v>13</v>
      </c>
      <c r="C260" s="78" t="s">
        <v>326</v>
      </c>
      <c r="D260" s="79" t="s">
        <v>14</v>
      </c>
      <c r="E260" s="81">
        <v>1.7480076535403569E-28</v>
      </c>
      <c r="F260" s="81">
        <v>4.1928967082826029E-8</v>
      </c>
      <c r="G260" s="81">
        <v>69.439230694151561</v>
      </c>
      <c r="H260" s="81"/>
      <c r="I260" s="81"/>
      <c r="J260" s="78">
        <v>0.26550000000000001</v>
      </c>
      <c r="K260" s="78" t="s">
        <v>15</v>
      </c>
      <c r="L260" s="82" t="s">
        <v>16</v>
      </c>
    </row>
    <row r="261" spans="1:12" ht="45" hidden="1">
      <c r="A261" s="78" t="s">
        <v>323</v>
      </c>
      <c r="B261" s="82" t="s">
        <v>49</v>
      </c>
      <c r="C261" s="78" t="s">
        <v>326</v>
      </c>
      <c r="D261" s="79" t="s">
        <v>23</v>
      </c>
      <c r="E261" s="81">
        <v>0.97321429285223304</v>
      </c>
      <c r="F261" s="81">
        <v>0.94254160769309958</v>
      </c>
      <c r="G261" s="81">
        <v>1.0050180753705484</v>
      </c>
      <c r="H261" s="81"/>
      <c r="I261" s="81"/>
      <c r="J261" s="78">
        <v>9.8000000000000004E-2</v>
      </c>
      <c r="K261" s="78" t="s">
        <v>21</v>
      </c>
      <c r="L261" s="82" t="s">
        <v>51</v>
      </c>
    </row>
    <row r="262" spans="1:12" ht="45" hidden="1">
      <c r="A262" s="78" t="s">
        <v>321</v>
      </c>
      <c r="B262" s="78" t="s">
        <v>17</v>
      </c>
      <c r="C262" s="80" t="s">
        <v>327</v>
      </c>
      <c r="D262" s="79" t="s">
        <v>14</v>
      </c>
      <c r="E262" s="81">
        <v>1.2170000000000001</v>
      </c>
      <c r="F262" s="81">
        <v>0.27800000000000002</v>
      </c>
      <c r="G262" s="81">
        <v>5.3330000000000002</v>
      </c>
      <c r="H262" s="81"/>
      <c r="I262" s="81"/>
      <c r="J262" s="78" t="s">
        <v>18</v>
      </c>
      <c r="K262" s="78" t="s">
        <v>27</v>
      </c>
      <c r="L262" s="82" t="s">
        <v>278</v>
      </c>
    </row>
    <row r="263" spans="1:12" ht="45" hidden="1">
      <c r="A263" s="78" t="s">
        <v>323</v>
      </c>
      <c r="B263" s="78" t="s">
        <v>13</v>
      </c>
      <c r="C263" s="78" t="s">
        <v>328</v>
      </c>
      <c r="D263" s="79" t="s">
        <v>14</v>
      </c>
      <c r="E263" s="81">
        <v>0.94373731046589404</v>
      </c>
      <c r="F263" s="81">
        <v>0.90895025552575426</v>
      </c>
      <c r="G263" s="81">
        <v>0.9803273905978459</v>
      </c>
      <c r="H263" s="81"/>
      <c r="I263" s="81"/>
      <c r="J263" s="78">
        <v>0.05</v>
      </c>
      <c r="K263" s="78" t="s">
        <v>21</v>
      </c>
      <c r="L263" s="82" t="s">
        <v>111</v>
      </c>
    </row>
    <row r="264" spans="1:12" ht="45" hidden="1">
      <c r="A264" s="80"/>
      <c r="B264" s="80" t="s">
        <v>17</v>
      </c>
      <c r="C264" s="78" t="s">
        <v>329</v>
      </c>
      <c r="D264" s="79" t="s">
        <v>14</v>
      </c>
      <c r="E264" s="81">
        <f>EXP(0.418)</f>
        <v>1.5189206744022399</v>
      </c>
      <c r="F264" s="81">
        <f>1/EXP(0.418+1.96*1.392)</f>
        <v>4.3010113210490031E-2</v>
      </c>
      <c r="G264" s="81">
        <f>1/EXP(0.418-1.96*1.392)</f>
        <v>10.077648986768752</v>
      </c>
      <c r="H264" s="81"/>
      <c r="I264" s="81"/>
      <c r="J264" s="78" t="s">
        <v>18</v>
      </c>
      <c r="K264" s="78" t="s">
        <v>96</v>
      </c>
      <c r="L264" s="82" t="s">
        <v>236</v>
      </c>
    </row>
    <row r="265" spans="1:12" ht="30" hidden="1">
      <c r="A265" s="78" t="s">
        <v>323</v>
      </c>
      <c r="B265" s="78" t="s">
        <v>255</v>
      </c>
      <c r="C265" s="78" t="s">
        <v>330</v>
      </c>
      <c r="D265" s="79" t="s">
        <v>14</v>
      </c>
      <c r="E265" s="81">
        <v>1.5521486313025369E-4</v>
      </c>
      <c r="F265" s="81">
        <v>1.6871927924929105E-8</v>
      </c>
      <c r="G265" s="81">
        <v>1.4520231320461561</v>
      </c>
      <c r="H265" s="81"/>
      <c r="I265" s="81"/>
      <c r="J265" s="78" t="s">
        <v>18</v>
      </c>
      <c r="K265" s="78" t="s">
        <v>38</v>
      </c>
      <c r="L265" s="82" t="s">
        <v>257</v>
      </c>
    </row>
    <row r="266" spans="1:12" ht="45" hidden="1">
      <c r="A266" s="84" t="s">
        <v>331</v>
      </c>
      <c r="B266" s="84" t="s">
        <v>17</v>
      </c>
      <c r="C266" s="85" t="s">
        <v>332</v>
      </c>
      <c r="D266" s="79" t="s">
        <v>14</v>
      </c>
      <c r="E266" s="81">
        <v>4.5999999999999996</v>
      </c>
      <c r="F266" s="81">
        <v>1.63</v>
      </c>
      <c r="G266" s="81">
        <v>12.99</v>
      </c>
      <c r="H266" s="81"/>
      <c r="I266" s="81"/>
      <c r="J266" s="85">
        <v>4.0000000000000001E-3</v>
      </c>
      <c r="K266" s="85" t="s">
        <v>131</v>
      </c>
      <c r="L266" s="85" t="s">
        <v>132</v>
      </c>
    </row>
    <row r="267" spans="1:12" ht="45" hidden="1">
      <c r="A267" s="86" t="s">
        <v>331</v>
      </c>
      <c r="B267" s="78" t="s">
        <v>217</v>
      </c>
      <c r="C267" s="85" t="s">
        <v>333</v>
      </c>
      <c r="D267" s="79" t="s">
        <v>14</v>
      </c>
      <c r="E267" s="81">
        <v>3.7323</v>
      </c>
      <c r="F267" s="81">
        <v>1.4890000000000001</v>
      </c>
      <c r="G267" s="81">
        <v>9.86</v>
      </c>
      <c r="H267" s="81"/>
      <c r="I267" s="81"/>
      <c r="J267" s="85">
        <v>4.7999999999999996E-3</v>
      </c>
      <c r="K267" s="85" t="s">
        <v>131</v>
      </c>
      <c r="L267" s="85" t="s">
        <v>219</v>
      </c>
    </row>
    <row r="268" spans="1:12" ht="45" hidden="1">
      <c r="A268" s="87" t="s">
        <v>334</v>
      </c>
      <c r="B268" s="78" t="s">
        <v>255</v>
      </c>
      <c r="C268" s="78" t="s">
        <v>335</v>
      </c>
      <c r="D268" s="79" t="s">
        <v>14</v>
      </c>
      <c r="E268" s="81">
        <v>152.58199999999999</v>
      </c>
      <c r="F268" s="81">
        <v>15.023</v>
      </c>
      <c r="G268" s="81">
        <v>999.99900000000002</v>
      </c>
      <c r="H268" s="81"/>
      <c r="I268" s="81"/>
      <c r="J268" s="78">
        <v>0.05</v>
      </c>
      <c r="K268" s="78" t="s">
        <v>38</v>
      </c>
      <c r="L268" s="82" t="s">
        <v>257</v>
      </c>
    </row>
    <row r="269" spans="1:12" ht="45" hidden="1">
      <c r="A269" s="87" t="s">
        <v>336</v>
      </c>
      <c r="B269" s="78" t="s">
        <v>217</v>
      </c>
      <c r="C269" s="78" t="s">
        <v>336</v>
      </c>
      <c r="D269" s="79" t="s">
        <v>14</v>
      </c>
      <c r="E269" s="81">
        <v>3.03</v>
      </c>
      <c r="F269" s="81">
        <v>1.3173999999999999</v>
      </c>
      <c r="G269" s="81">
        <v>7.4058999999999999</v>
      </c>
      <c r="H269" s="81"/>
      <c r="I269" s="81"/>
      <c r="J269" s="78">
        <v>8.6999999999999994E-3</v>
      </c>
      <c r="K269" s="78" t="s">
        <v>131</v>
      </c>
      <c r="L269" s="82" t="s">
        <v>219</v>
      </c>
    </row>
    <row r="270" spans="1:12" ht="30" hidden="1">
      <c r="A270" s="87" t="s">
        <v>334</v>
      </c>
      <c r="B270" s="78" t="s">
        <v>17</v>
      </c>
      <c r="C270" s="78" t="s">
        <v>337</v>
      </c>
      <c r="D270" s="79" t="s">
        <v>14</v>
      </c>
      <c r="E270" s="81">
        <v>10.938000000000001</v>
      </c>
      <c r="F270" s="81">
        <v>1.5249999999999999</v>
      </c>
      <c r="G270" s="81">
        <v>78.460999999999999</v>
      </c>
      <c r="H270" s="81"/>
      <c r="I270" s="81"/>
      <c r="J270" s="78">
        <v>0.05</v>
      </c>
      <c r="K270" s="78" t="s">
        <v>27</v>
      </c>
      <c r="L270" s="82" t="s">
        <v>278</v>
      </c>
    </row>
    <row r="271" spans="1:12" ht="45" hidden="1">
      <c r="A271" s="87" t="s">
        <v>334</v>
      </c>
      <c r="B271" s="78" t="s">
        <v>13</v>
      </c>
      <c r="C271" s="78" t="s">
        <v>338</v>
      </c>
      <c r="D271" s="79" t="s">
        <v>14</v>
      </c>
      <c r="E271" s="81">
        <v>8.91</v>
      </c>
      <c r="F271" s="81">
        <v>2.84</v>
      </c>
      <c r="G271" s="81">
        <v>27.89</v>
      </c>
      <c r="H271" s="81"/>
      <c r="I271" s="81"/>
      <c r="J271" s="78">
        <v>1E-3</v>
      </c>
      <c r="K271" s="78" t="s">
        <v>86</v>
      </c>
      <c r="L271" s="82" t="s">
        <v>87</v>
      </c>
    </row>
    <row r="272" spans="1:12" ht="45" hidden="1">
      <c r="A272" s="88" t="s">
        <v>339</v>
      </c>
      <c r="B272" s="80" t="s">
        <v>17</v>
      </c>
      <c r="C272" s="78" t="s">
        <v>340</v>
      </c>
      <c r="D272" s="79" t="s">
        <v>14</v>
      </c>
      <c r="E272" s="81">
        <f>1/0.187739</f>
        <v>5.3265437655468499</v>
      </c>
      <c r="F272" s="81"/>
      <c r="G272" s="81"/>
      <c r="H272" s="81"/>
      <c r="I272" s="81"/>
      <c r="J272" s="78">
        <v>5.0000000000000001E-3</v>
      </c>
      <c r="K272" s="78" t="s">
        <v>131</v>
      </c>
      <c r="L272" s="82" t="s">
        <v>221</v>
      </c>
    </row>
    <row r="273" spans="1:12" ht="45" hidden="1">
      <c r="A273" s="88" t="s">
        <v>339</v>
      </c>
      <c r="B273" s="80" t="s">
        <v>40</v>
      </c>
      <c r="C273" s="78" t="s">
        <v>341</v>
      </c>
      <c r="D273" s="79" t="s">
        <v>34</v>
      </c>
      <c r="E273" s="81">
        <v>55.64</v>
      </c>
      <c r="F273" s="81">
        <v>38.950000000000003</v>
      </c>
      <c r="G273" s="81">
        <v>72.33</v>
      </c>
      <c r="H273" s="81"/>
      <c r="I273" s="81"/>
      <c r="J273" s="78">
        <v>1E-3</v>
      </c>
      <c r="K273" s="78" t="s">
        <v>21</v>
      </c>
      <c r="L273" s="82" t="s">
        <v>129</v>
      </c>
    </row>
    <row r="274" spans="1:12" ht="45" hidden="1">
      <c r="A274" s="88" t="s">
        <v>339</v>
      </c>
      <c r="B274" s="80" t="s">
        <v>40</v>
      </c>
      <c r="C274" s="78" t="s">
        <v>341</v>
      </c>
      <c r="D274" s="79" t="s">
        <v>34</v>
      </c>
      <c r="E274" s="81">
        <v>13.56</v>
      </c>
      <c r="F274" s="81">
        <v>-46.97</v>
      </c>
      <c r="G274" s="81">
        <v>74.09</v>
      </c>
      <c r="H274" s="81"/>
      <c r="I274" s="81"/>
      <c r="J274" s="78">
        <v>0.65300000000000002</v>
      </c>
      <c r="K274" s="78" t="s">
        <v>130</v>
      </c>
      <c r="L274" s="82" t="s">
        <v>129</v>
      </c>
    </row>
    <row r="275" spans="1:12" ht="105" hidden="1">
      <c r="A275" s="88" t="s">
        <v>339</v>
      </c>
      <c r="B275" s="80" t="s">
        <v>13</v>
      </c>
      <c r="C275" s="78" t="s">
        <v>342</v>
      </c>
      <c r="D275" s="80" t="s">
        <v>14</v>
      </c>
      <c r="E275" s="89">
        <v>1</v>
      </c>
      <c r="F275" s="89">
        <v>1</v>
      </c>
      <c r="G275" s="89">
        <v>1</v>
      </c>
      <c r="H275" s="89"/>
      <c r="I275" s="89"/>
      <c r="J275" s="78">
        <v>0.73650000000000004</v>
      </c>
      <c r="K275" s="78" t="s">
        <v>15</v>
      </c>
      <c r="L275" s="82" t="s">
        <v>16</v>
      </c>
    </row>
    <row r="276" spans="1:12" ht="90" hidden="1">
      <c r="A276" s="88" t="s">
        <v>339</v>
      </c>
      <c r="B276" s="80" t="s">
        <v>17</v>
      </c>
      <c r="C276" s="78" t="s">
        <v>343</v>
      </c>
      <c r="D276" s="80" t="s">
        <v>14</v>
      </c>
      <c r="E276" s="89">
        <f>1/0.022</f>
        <v>45.45454545454546</v>
      </c>
      <c r="F276" s="89">
        <f>1/0.113</f>
        <v>8.8495575221238933</v>
      </c>
      <c r="G276" s="89">
        <f>1/0.004</f>
        <v>250</v>
      </c>
      <c r="H276" s="89"/>
      <c r="I276" s="89"/>
      <c r="J276" s="78">
        <v>0.05</v>
      </c>
      <c r="K276" s="78" t="s">
        <v>27</v>
      </c>
      <c r="L276" s="82" t="s">
        <v>278</v>
      </c>
    </row>
    <row r="277" spans="1:12" ht="60" hidden="1">
      <c r="A277" s="88"/>
      <c r="B277" s="80" t="s">
        <v>13</v>
      </c>
      <c r="C277" s="78" t="s">
        <v>344</v>
      </c>
      <c r="D277" s="80" t="s">
        <v>14</v>
      </c>
      <c r="E277" s="89">
        <v>10.3</v>
      </c>
      <c r="F277" s="89">
        <v>4.6100000000000003</v>
      </c>
      <c r="G277" s="89">
        <v>23.05</v>
      </c>
      <c r="H277" s="89"/>
      <c r="I277" s="89"/>
      <c r="J277" s="78">
        <v>1E-3</v>
      </c>
      <c r="K277" s="78" t="s">
        <v>86</v>
      </c>
      <c r="L277" s="82" t="s">
        <v>87</v>
      </c>
    </row>
    <row r="278" spans="1:12" ht="105" hidden="1">
      <c r="A278" s="88" t="s">
        <v>345</v>
      </c>
      <c r="B278" s="80" t="s">
        <v>17</v>
      </c>
      <c r="C278" s="78" t="s">
        <v>346</v>
      </c>
      <c r="D278" s="80" t="s">
        <v>14</v>
      </c>
      <c r="E278" s="89">
        <v>0.84499999999999997</v>
      </c>
      <c r="F278" s="89"/>
      <c r="G278" s="89"/>
      <c r="H278" s="89">
        <v>0.104</v>
      </c>
      <c r="I278" s="89"/>
      <c r="J278" s="78" t="s">
        <v>18</v>
      </c>
      <c r="K278" s="78" t="s">
        <v>19</v>
      </c>
      <c r="L278" s="82" t="s">
        <v>20</v>
      </c>
    </row>
    <row r="279" spans="1:12" ht="45" hidden="1">
      <c r="A279" s="88" t="s">
        <v>345</v>
      </c>
      <c r="B279" s="80" t="s">
        <v>17</v>
      </c>
      <c r="C279" s="78" t="s">
        <v>346</v>
      </c>
      <c r="D279" s="80" t="s">
        <v>34</v>
      </c>
      <c r="E279" s="89">
        <v>-1.7000000000000001E-2</v>
      </c>
      <c r="F279" s="89">
        <f>E279-1.96*H279</f>
        <v>-4.052E-2</v>
      </c>
      <c r="G279" s="89">
        <f>E279+1.96*H279</f>
        <v>6.519999999999998E-3</v>
      </c>
      <c r="H279" s="89">
        <v>1.2E-2</v>
      </c>
      <c r="I279" s="89"/>
      <c r="J279" s="78" t="s">
        <v>18</v>
      </c>
      <c r="K279" s="78" t="s">
        <v>175</v>
      </c>
      <c r="L279" s="82" t="s">
        <v>20</v>
      </c>
    </row>
    <row r="280" spans="1:12" ht="45" hidden="1">
      <c r="A280" s="88" t="s">
        <v>345</v>
      </c>
      <c r="B280" s="80" t="s">
        <v>17</v>
      </c>
      <c r="C280" s="78" t="s">
        <v>346</v>
      </c>
      <c r="D280" s="80" t="s">
        <v>34</v>
      </c>
      <c r="E280" s="89">
        <v>-2.3E-2</v>
      </c>
      <c r="F280" s="89">
        <f>E280-1.96*H280</f>
        <v>-5.6320000000000002E-2</v>
      </c>
      <c r="G280" s="89">
        <f>E280+1.96*H280</f>
        <v>1.0320000000000003E-2</v>
      </c>
      <c r="H280" s="89">
        <v>1.7000000000000001E-2</v>
      </c>
      <c r="I280" s="89"/>
      <c r="J280" s="78" t="s">
        <v>18</v>
      </c>
      <c r="K280" s="78" t="s">
        <v>94</v>
      </c>
      <c r="L280" s="82" t="s">
        <v>20</v>
      </c>
    </row>
    <row r="281" spans="1:12" ht="45" hidden="1">
      <c r="A281" s="88" t="s">
        <v>345</v>
      </c>
      <c r="B281" s="80" t="s">
        <v>17</v>
      </c>
      <c r="C281" s="78" t="s">
        <v>346</v>
      </c>
      <c r="D281" s="80" t="s">
        <v>34</v>
      </c>
      <c r="E281" s="89">
        <v>-1.0999999999999999E-2</v>
      </c>
      <c r="F281" s="89">
        <f>E281-1.96*H281</f>
        <v>-2.6679999999999999E-2</v>
      </c>
      <c r="G281" s="89">
        <f>E281+1.96*H281</f>
        <v>4.6800000000000001E-3</v>
      </c>
      <c r="H281" s="89">
        <v>8.0000000000000002E-3</v>
      </c>
      <c r="I281" s="89"/>
      <c r="J281" s="78" t="s">
        <v>18</v>
      </c>
      <c r="K281" s="78" t="s">
        <v>86</v>
      </c>
      <c r="L281" s="82" t="s">
        <v>20</v>
      </c>
    </row>
    <row r="282" spans="1:12" ht="45" hidden="1">
      <c r="A282" s="88" t="s">
        <v>345</v>
      </c>
      <c r="B282" s="80" t="s">
        <v>17</v>
      </c>
      <c r="C282" s="78" t="s">
        <v>346</v>
      </c>
      <c r="D282" s="80" t="s">
        <v>34</v>
      </c>
      <c r="E282" s="89">
        <v>-8.9999999999999993E-3</v>
      </c>
      <c r="F282" s="89">
        <f>E282-1.96*H282</f>
        <v>-2.2719999999999997E-2</v>
      </c>
      <c r="G282" s="89">
        <f>E282+1.96*H282</f>
        <v>4.7200000000000002E-3</v>
      </c>
      <c r="H282" s="89">
        <v>7.0000000000000001E-3</v>
      </c>
      <c r="I282" s="89"/>
      <c r="J282" s="78" t="s">
        <v>18</v>
      </c>
      <c r="K282" s="78" t="s">
        <v>21</v>
      </c>
      <c r="L282" s="82" t="s">
        <v>20</v>
      </c>
    </row>
    <row r="283" spans="1:12" ht="180" hidden="1">
      <c r="A283" s="88" t="s">
        <v>345</v>
      </c>
      <c r="B283" s="80" t="s">
        <v>13</v>
      </c>
      <c r="C283" s="78" t="s">
        <v>346</v>
      </c>
      <c r="D283" s="80" t="s">
        <v>23</v>
      </c>
      <c r="E283" s="89">
        <v>0.747</v>
      </c>
      <c r="F283" s="89"/>
      <c r="G283" s="89"/>
      <c r="H283" s="89">
        <v>0.106</v>
      </c>
      <c r="I283" s="89"/>
      <c r="J283" s="78">
        <v>0.05</v>
      </c>
      <c r="K283" s="78" t="s">
        <v>126</v>
      </c>
      <c r="L283" s="82" t="s">
        <v>25</v>
      </c>
    </row>
    <row r="284" spans="1:12" ht="45" hidden="1">
      <c r="A284" s="88" t="s">
        <v>345</v>
      </c>
      <c r="B284" s="80" t="s">
        <v>17</v>
      </c>
      <c r="C284" s="78" t="s">
        <v>346</v>
      </c>
      <c r="D284" s="80" t="s">
        <v>14</v>
      </c>
      <c r="E284" s="89">
        <v>4.2999999999999997E-2</v>
      </c>
      <c r="F284" s="89">
        <v>6.0000000000000001E-3</v>
      </c>
      <c r="G284" s="89">
        <v>0.32600000000000001</v>
      </c>
      <c r="H284" s="89"/>
      <c r="I284" s="89"/>
      <c r="J284" s="85">
        <v>1E-4</v>
      </c>
      <c r="K284" s="85" t="s">
        <v>27</v>
      </c>
      <c r="L284" s="82" t="s">
        <v>278</v>
      </c>
    </row>
    <row r="285" spans="1:12" ht="45" hidden="1">
      <c r="A285" s="88" t="s">
        <v>345</v>
      </c>
      <c r="B285" s="90" t="s">
        <v>30</v>
      </c>
      <c r="C285" s="78" t="s">
        <v>346</v>
      </c>
      <c r="D285" s="80" t="s">
        <v>14</v>
      </c>
      <c r="E285" s="89">
        <f>1/4.35</f>
        <v>0.22988505747126439</v>
      </c>
      <c r="F285" s="89">
        <f>1/10.4</f>
        <v>9.6153846153846145E-2</v>
      </c>
      <c r="G285" s="89">
        <f>1/1.82</f>
        <v>0.54945054945054939</v>
      </c>
      <c r="H285" s="89"/>
      <c r="I285" s="89"/>
      <c r="J285" s="78">
        <v>1E-3</v>
      </c>
      <c r="K285" s="78" t="s">
        <v>27</v>
      </c>
      <c r="L285" s="82" t="s">
        <v>140</v>
      </c>
    </row>
    <row r="286" spans="1:12" ht="60" hidden="1">
      <c r="A286" s="80"/>
      <c r="B286" s="80" t="s">
        <v>36</v>
      </c>
      <c r="C286" s="78" t="s">
        <v>347</v>
      </c>
      <c r="D286" s="80" t="s">
        <v>14</v>
      </c>
      <c r="E286" s="89">
        <v>0.92100000000000004</v>
      </c>
      <c r="F286" s="89">
        <v>0.22600000000000001</v>
      </c>
      <c r="G286" s="89">
        <v>3.7530000000000001</v>
      </c>
      <c r="H286" s="89"/>
      <c r="I286" s="89"/>
      <c r="J286" s="78" t="s">
        <v>18</v>
      </c>
      <c r="K286" s="78" t="s">
        <v>38</v>
      </c>
      <c r="L286" s="82" t="s">
        <v>39</v>
      </c>
    </row>
    <row r="287" spans="1:12" ht="60" hidden="1">
      <c r="A287" s="80" t="s">
        <v>345</v>
      </c>
      <c r="B287" s="80" t="s">
        <v>36</v>
      </c>
      <c r="C287" s="78" t="s">
        <v>348</v>
      </c>
      <c r="D287" s="80" t="s">
        <v>14</v>
      </c>
      <c r="E287" s="89">
        <v>2E-3</v>
      </c>
      <c r="F287" s="89">
        <v>0</v>
      </c>
      <c r="G287" s="89">
        <v>0.23200000000000001</v>
      </c>
      <c r="H287" s="89"/>
      <c r="I287" s="89"/>
      <c r="J287" s="78">
        <v>0.05</v>
      </c>
      <c r="K287" s="78" t="s">
        <v>38</v>
      </c>
      <c r="L287" s="82" t="s">
        <v>39</v>
      </c>
    </row>
    <row r="288" spans="1:12" ht="60" hidden="1">
      <c r="A288" s="91" t="s">
        <v>349</v>
      </c>
      <c r="B288" s="85" t="s">
        <v>40</v>
      </c>
      <c r="C288" s="78" t="s">
        <v>350</v>
      </c>
      <c r="D288" s="80" t="s">
        <v>14</v>
      </c>
      <c r="E288" s="89">
        <v>2.72</v>
      </c>
      <c r="F288" s="89">
        <v>1.35</v>
      </c>
      <c r="G288" s="89">
        <v>5.47</v>
      </c>
      <c r="H288" s="89"/>
      <c r="I288" s="89"/>
      <c r="J288" s="78">
        <v>0.01</v>
      </c>
      <c r="K288" s="78" t="s">
        <v>27</v>
      </c>
      <c r="L288" s="82" t="s">
        <v>42</v>
      </c>
    </row>
    <row r="289" spans="1:12" ht="45" hidden="1">
      <c r="A289" s="88" t="s">
        <v>345</v>
      </c>
      <c r="B289" s="80" t="s">
        <v>13</v>
      </c>
      <c r="C289" s="85" t="s">
        <v>351</v>
      </c>
      <c r="D289" s="80" t="s">
        <v>14</v>
      </c>
      <c r="E289" s="89">
        <f>EXP(-4.074)</f>
        <v>1.7009215390586124E-2</v>
      </c>
      <c r="F289" s="89">
        <f>EXP(-6.357)</f>
        <v>1.7345626019309209E-3</v>
      </c>
      <c r="G289" s="89">
        <f>EXP(-1.791)</f>
        <v>0.16679329294963877</v>
      </c>
      <c r="H289" s="89"/>
      <c r="I289" s="89"/>
      <c r="J289" s="85">
        <v>1E-3</v>
      </c>
      <c r="K289" s="85" t="s">
        <v>27</v>
      </c>
      <c r="L289" s="85" t="s">
        <v>28</v>
      </c>
    </row>
    <row r="290" spans="1:12" ht="60" hidden="1">
      <c r="A290" s="88" t="s">
        <v>352</v>
      </c>
      <c r="B290" s="80" t="s">
        <v>106</v>
      </c>
      <c r="C290" s="78" t="s">
        <v>353</v>
      </c>
      <c r="D290" s="80" t="s">
        <v>14</v>
      </c>
      <c r="E290" s="89">
        <v>0.92</v>
      </c>
      <c r="F290" s="89">
        <v>0.86</v>
      </c>
      <c r="G290" s="89">
        <v>0.98</v>
      </c>
      <c r="H290" s="89"/>
      <c r="I290" s="89"/>
      <c r="J290" s="78">
        <v>0.05</v>
      </c>
      <c r="K290" s="78" t="s">
        <v>116</v>
      </c>
      <c r="L290" s="82" t="s">
        <v>117</v>
      </c>
    </row>
    <row r="291" spans="1:12" ht="45" hidden="1">
      <c r="A291" s="88" t="s">
        <v>352</v>
      </c>
      <c r="B291" s="80" t="s">
        <v>13</v>
      </c>
      <c r="C291" s="78" t="s">
        <v>354</v>
      </c>
      <c r="D291" s="80" t="s">
        <v>14</v>
      </c>
      <c r="E291" s="89">
        <v>0.57831620571290665</v>
      </c>
      <c r="F291" s="89">
        <v>0.45160639220168441</v>
      </c>
      <c r="G291" s="89">
        <v>0.74522306586649889</v>
      </c>
      <c r="H291" s="89"/>
      <c r="I291" s="89"/>
      <c r="J291" s="78">
        <v>0.05</v>
      </c>
      <c r="K291" s="78" t="s">
        <v>21</v>
      </c>
      <c r="L291" s="82" t="s">
        <v>22</v>
      </c>
    </row>
    <row r="292" spans="1:12" ht="60" hidden="1">
      <c r="A292" s="88" t="s">
        <v>352</v>
      </c>
      <c r="B292" s="80" t="s">
        <v>81</v>
      </c>
      <c r="C292" s="78" t="s">
        <v>354</v>
      </c>
      <c r="D292" s="80" t="s">
        <v>23</v>
      </c>
      <c r="E292" s="89">
        <v>0.54288651076985728</v>
      </c>
      <c r="F292" s="89">
        <v>0.74460938763584983</v>
      </c>
      <c r="G292" s="89">
        <v>0.39860148792467459</v>
      </c>
      <c r="H292" s="89"/>
      <c r="I292" s="89"/>
      <c r="J292" s="78">
        <v>8.9999999999999993E-3</v>
      </c>
      <c r="K292" s="78" t="s">
        <v>21</v>
      </c>
      <c r="L292" s="82" t="s">
        <v>178</v>
      </c>
    </row>
    <row r="293" spans="1:12" ht="30" hidden="1">
      <c r="A293" s="88" t="s">
        <v>352</v>
      </c>
      <c r="B293" s="92" t="s">
        <v>36</v>
      </c>
      <c r="C293" s="93" t="s">
        <v>354</v>
      </c>
      <c r="D293" s="92" t="s">
        <v>14</v>
      </c>
      <c r="E293" s="94">
        <v>0.26857377964112084</v>
      </c>
      <c r="F293" s="94">
        <v>9.2484859470932226E-2</v>
      </c>
      <c r="G293" s="94">
        <v>0.78116814380504063</v>
      </c>
      <c r="H293" s="94"/>
      <c r="I293" s="94"/>
      <c r="J293" s="93">
        <v>0.05</v>
      </c>
      <c r="K293" s="93" t="s">
        <v>38</v>
      </c>
      <c r="L293" s="93" t="s">
        <v>39</v>
      </c>
    </row>
    <row r="294" spans="1:12" ht="30" hidden="1">
      <c r="A294" s="80" t="s">
        <v>352</v>
      </c>
      <c r="B294" s="78" t="s">
        <v>17</v>
      </c>
      <c r="C294" s="85" t="s">
        <v>354</v>
      </c>
      <c r="D294" s="80" t="s">
        <v>14</v>
      </c>
      <c r="E294" s="89">
        <v>0.49754917651623493</v>
      </c>
      <c r="F294" s="89">
        <v>0.35341555273278064</v>
      </c>
      <c r="G294" s="89">
        <v>0.7004648808963283</v>
      </c>
      <c r="H294" s="89"/>
      <c r="I294" s="89"/>
      <c r="J294" s="85">
        <v>0.05</v>
      </c>
      <c r="K294" s="85" t="s">
        <v>275</v>
      </c>
      <c r="L294" s="95" t="s">
        <v>276</v>
      </c>
    </row>
    <row r="295" spans="1:12" ht="45" hidden="1">
      <c r="A295" s="80" t="s">
        <v>355</v>
      </c>
      <c r="B295" s="80" t="s">
        <v>17</v>
      </c>
      <c r="C295" s="78" t="s">
        <v>356</v>
      </c>
      <c r="D295" s="80" t="s">
        <v>14</v>
      </c>
      <c r="E295" s="89">
        <f>1/EXP(-2.387)</f>
        <v>10.880802522861678</v>
      </c>
      <c r="F295" s="89">
        <f>1/EXP(-2.387+1.96*0.475)</f>
        <v>4.2887700920237108</v>
      </c>
      <c r="G295" s="89">
        <f>1/EXP(-2.387-1.96*0.475)</f>
        <v>27.605085141238799</v>
      </c>
      <c r="H295" s="89"/>
      <c r="I295" s="89"/>
      <c r="J295" s="78">
        <v>0.01</v>
      </c>
      <c r="K295" s="78" t="s">
        <v>21</v>
      </c>
      <c r="L295" s="82" t="s">
        <v>236</v>
      </c>
    </row>
    <row r="296" spans="1:12" ht="45" hidden="1">
      <c r="A296" s="80"/>
      <c r="B296" s="80" t="s">
        <v>17</v>
      </c>
      <c r="C296" s="78" t="s">
        <v>357</v>
      </c>
      <c r="D296" s="80" t="s">
        <v>14</v>
      </c>
      <c r="E296" s="89">
        <f>EXP(-0.36)</f>
        <v>0.69767632607103103</v>
      </c>
      <c r="F296" s="89">
        <f>1/EXP(-0.36+1.96*0.421)</f>
        <v>0.62803461161251106</v>
      </c>
      <c r="G296" s="89">
        <f>1/EXP(-0.36-1.96*0.421)</f>
        <v>3.2712101732244108</v>
      </c>
      <c r="H296" s="89"/>
      <c r="I296" s="89"/>
      <c r="J296" s="78" t="s">
        <v>18</v>
      </c>
      <c r="K296" s="78" t="s">
        <v>21</v>
      </c>
      <c r="L296" s="82" t="s">
        <v>236</v>
      </c>
    </row>
    <row r="297" spans="1:12" ht="45" hidden="1">
      <c r="A297" s="80" t="s">
        <v>352</v>
      </c>
      <c r="B297" s="80" t="s">
        <v>261</v>
      </c>
      <c r="C297" s="78" t="s">
        <v>358</v>
      </c>
      <c r="D297" s="80" t="s">
        <v>14</v>
      </c>
      <c r="E297" s="89">
        <v>0.91781177493518451</v>
      </c>
      <c r="F297" s="89">
        <v>0.86879226403792686</v>
      </c>
      <c r="G297" s="89">
        <v>0.96959709366484437</v>
      </c>
      <c r="H297" s="89">
        <f>EXP(-0.098-1.96*0.032)</f>
        <v>0.85153046626082518</v>
      </c>
      <c r="I297" s="89">
        <f>EXP(-0.098+1.96*0.032)</f>
        <v>0.96533508458921413</v>
      </c>
      <c r="J297" s="78">
        <v>0.05</v>
      </c>
      <c r="K297" s="78" t="s">
        <v>98</v>
      </c>
      <c r="L297" s="82" t="s">
        <v>262</v>
      </c>
    </row>
    <row r="298" spans="1:12" ht="45" hidden="1">
      <c r="A298" s="80" t="s">
        <v>352</v>
      </c>
      <c r="B298" s="80" t="s">
        <v>13</v>
      </c>
      <c r="C298" s="78" t="s">
        <v>359</v>
      </c>
      <c r="D298" s="80" t="s">
        <v>14</v>
      </c>
      <c r="E298" s="89">
        <v>0.76032346121958216</v>
      </c>
      <c r="F298" s="89">
        <v>0.69029839562948758</v>
      </c>
      <c r="G298" s="89">
        <v>0.83833868456148652</v>
      </c>
      <c r="H298" s="89"/>
      <c r="I298" s="89"/>
      <c r="J298" s="78">
        <v>0.05</v>
      </c>
      <c r="K298" s="78" t="s">
        <v>21</v>
      </c>
      <c r="L298" s="82" t="s">
        <v>111</v>
      </c>
    </row>
    <row r="299" spans="1:12" ht="45" hidden="1">
      <c r="A299" s="80" t="s">
        <v>355</v>
      </c>
      <c r="B299" s="80" t="s">
        <v>13</v>
      </c>
      <c r="C299" s="78" t="s">
        <v>360</v>
      </c>
      <c r="D299" s="80" t="s">
        <v>14</v>
      </c>
      <c r="E299" s="89">
        <v>3.08</v>
      </c>
      <c r="F299" s="89">
        <v>1.64</v>
      </c>
      <c r="G299" s="89">
        <v>5.77</v>
      </c>
      <c r="H299" s="89"/>
      <c r="I299" s="89"/>
      <c r="J299" s="78">
        <v>1E-3</v>
      </c>
      <c r="K299" s="78" t="s">
        <v>86</v>
      </c>
      <c r="L299" s="82" t="s">
        <v>87</v>
      </c>
    </row>
    <row r="300" spans="1:12" ht="60" hidden="1">
      <c r="A300" s="80" t="s">
        <v>352</v>
      </c>
      <c r="B300" s="80" t="s">
        <v>106</v>
      </c>
      <c r="C300" s="78" t="s">
        <v>361</v>
      </c>
      <c r="D300" s="80" t="s">
        <v>14</v>
      </c>
      <c r="E300" s="89">
        <v>0.53242242647065829</v>
      </c>
      <c r="F300" s="89">
        <v>0.37407603907430448</v>
      </c>
      <c r="G300" s="89">
        <v>0.75779683967568012</v>
      </c>
      <c r="H300" s="89"/>
      <c r="I300" s="89"/>
      <c r="J300" s="78">
        <v>0.01</v>
      </c>
      <c r="K300" s="78" t="s">
        <v>98</v>
      </c>
      <c r="L300" s="82" t="s">
        <v>108</v>
      </c>
    </row>
    <row r="301" spans="1:12" ht="45" hidden="1">
      <c r="A301" s="80" t="s">
        <v>352</v>
      </c>
      <c r="B301" s="96" t="s">
        <v>30</v>
      </c>
      <c r="C301" s="78" t="s">
        <v>362</v>
      </c>
      <c r="D301" s="80" t="s">
        <v>34</v>
      </c>
      <c r="E301" s="89">
        <v>-0.79173049090909098</v>
      </c>
      <c r="F301" s="89">
        <v>-1.3195508181818185</v>
      </c>
      <c r="G301" s="89">
        <v>-0.52782032727272732</v>
      </c>
      <c r="H301" s="89"/>
      <c r="I301" s="89"/>
      <c r="J301" s="78">
        <v>1E-3</v>
      </c>
      <c r="K301" s="78" t="s">
        <v>27</v>
      </c>
      <c r="L301" s="82" t="s">
        <v>35</v>
      </c>
    </row>
    <row r="302" spans="1:12" ht="45" hidden="1">
      <c r="A302" s="80" t="s">
        <v>352</v>
      </c>
      <c r="B302" s="80" t="s">
        <v>40</v>
      </c>
      <c r="C302" s="78" t="s">
        <v>361</v>
      </c>
      <c r="D302" s="80" t="s">
        <v>14</v>
      </c>
      <c r="E302" s="89">
        <v>2.3815688838167565E-3</v>
      </c>
      <c r="F302" s="89">
        <v>1.4335852035122831E-4</v>
      </c>
      <c r="G302" s="89">
        <v>3.4643468648915557E-2</v>
      </c>
      <c r="H302" s="89"/>
      <c r="I302" s="89"/>
      <c r="J302" s="78">
        <v>0.01</v>
      </c>
      <c r="K302" s="78" t="s">
        <v>27</v>
      </c>
      <c r="L302" s="82" t="s">
        <v>42</v>
      </c>
    </row>
    <row r="303" spans="1:12" ht="45" hidden="1">
      <c r="A303" s="80" t="s">
        <v>363</v>
      </c>
      <c r="B303" s="80" t="s">
        <v>13</v>
      </c>
      <c r="C303" s="78" t="s">
        <v>364</v>
      </c>
      <c r="D303" s="80" t="s">
        <v>14</v>
      </c>
      <c r="E303" s="89">
        <v>0.47</v>
      </c>
      <c r="F303" s="89">
        <v>0.24</v>
      </c>
      <c r="G303" s="89">
        <v>0.91</v>
      </c>
      <c r="H303" s="89"/>
      <c r="I303" s="89"/>
      <c r="J303" s="78">
        <v>1E-3</v>
      </c>
      <c r="K303" s="78" t="s">
        <v>86</v>
      </c>
      <c r="L303" s="82" t="s">
        <v>87</v>
      </c>
    </row>
    <row r="304" spans="1:12" ht="45" hidden="1">
      <c r="A304" s="80" t="s">
        <v>363</v>
      </c>
      <c r="B304" s="97" t="s">
        <v>13</v>
      </c>
      <c r="C304" s="85" t="s">
        <v>365</v>
      </c>
      <c r="D304" s="80" t="s">
        <v>14</v>
      </c>
      <c r="E304" s="89">
        <f>EXP(-1.281)</f>
        <v>0.27775940212506323</v>
      </c>
      <c r="F304" s="89">
        <f>EXP(-4.695)</f>
        <v>9.1408673678900973E-3</v>
      </c>
      <c r="G304" s="89">
        <f>EXP(2.133)</f>
        <v>8.4401493166704196</v>
      </c>
      <c r="H304" s="89"/>
      <c r="I304" s="89"/>
      <c r="J304" s="85">
        <v>0.46200000000000002</v>
      </c>
      <c r="K304" s="85" t="s">
        <v>27</v>
      </c>
      <c r="L304" s="85" t="s">
        <v>28</v>
      </c>
    </row>
    <row r="305" spans="1:12" ht="45" hidden="1">
      <c r="A305" s="88" t="s">
        <v>363</v>
      </c>
      <c r="B305" s="97" t="s">
        <v>13</v>
      </c>
      <c r="C305" s="98" t="s">
        <v>365</v>
      </c>
      <c r="D305" s="76" t="s">
        <v>14</v>
      </c>
      <c r="E305" s="99">
        <v>0.29599999999999999</v>
      </c>
      <c r="F305" s="99">
        <v>0.09</v>
      </c>
      <c r="G305" s="99">
        <v>0.97599999999999998</v>
      </c>
      <c r="H305" s="99"/>
      <c r="I305" s="99"/>
      <c r="J305" s="98">
        <v>0.05</v>
      </c>
      <c r="K305" s="98" t="s">
        <v>27</v>
      </c>
      <c r="L305" s="98" t="s">
        <v>366</v>
      </c>
    </row>
    <row r="306" spans="1:12" ht="45" hidden="1">
      <c r="A306" s="91" t="s">
        <v>367</v>
      </c>
      <c r="B306" s="97" t="s">
        <v>103</v>
      </c>
      <c r="C306" s="78" t="s">
        <v>368</v>
      </c>
      <c r="D306" s="80" t="s">
        <v>14</v>
      </c>
      <c r="E306" s="89">
        <v>2.5792999999999999</v>
      </c>
      <c r="F306" s="89">
        <v>1.2170000000000001</v>
      </c>
      <c r="G306" s="89">
        <v>5.4667000000000003</v>
      </c>
      <c r="H306" s="89"/>
      <c r="I306" s="89"/>
      <c r="J306" s="78">
        <v>0.01</v>
      </c>
      <c r="K306" s="78" t="s">
        <v>369</v>
      </c>
      <c r="L306" s="82" t="s">
        <v>105</v>
      </c>
    </row>
    <row r="307" spans="1:12" ht="60" hidden="1">
      <c r="A307" s="55" t="s">
        <v>370</v>
      </c>
      <c r="B307" s="97" t="s">
        <v>81</v>
      </c>
      <c r="C307" s="9" t="s">
        <v>370</v>
      </c>
      <c r="D307" s="4" t="s">
        <v>371</v>
      </c>
      <c r="E307" s="5">
        <f>0.5/0.96</f>
        <v>0.52083333333333337</v>
      </c>
      <c r="F307" s="5"/>
      <c r="G307" s="5"/>
      <c r="H307" s="5"/>
      <c r="I307" s="5"/>
      <c r="J307" s="9">
        <v>0.01</v>
      </c>
      <c r="K307" s="9" t="s">
        <v>372</v>
      </c>
      <c r="L307" s="9" t="s">
        <v>373</v>
      </c>
    </row>
    <row r="308" spans="1:12" ht="60" hidden="1">
      <c r="A308" s="55" t="s">
        <v>370</v>
      </c>
      <c r="B308" s="97" t="s">
        <v>81</v>
      </c>
      <c r="C308" s="9" t="s">
        <v>370</v>
      </c>
      <c r="D308" s="4" t="s">
        <v>371</v>
      </c>
      <c r="E308" s="5">
        <f>0.29/0.79</f>
        <v>0.36708860759493667</v>
      </c>
      <c r="F308" s="5"/>
      <c r="G308" s="5"/>
      <c r="H308" s="5"/>
      <c r="I308" s="5"/>
      <c r="J308" s="9">
        <v>0.01</v>
      </c>
      <c r="K308" s="9" t="s">
        <v>86</v>
      </c>
      <c r="L308" s="9" t="s">
        <v>373</v>
      </c>
    </row>
    <row r="309" spans="1:12" ht="45" hidden="1">
      <c r="A309" s="55" t="s">
        <v>374</v>
      </c>
      <c r="B309" s="100" t="s">
        <v>49</v>
      </c>
      <c r="C309" s="9" t="s">
        <v>374</v>
      </c>
      <c r="D309" s="4" t="s">
        <v>23</v>
      </c>
      <c r="E309" s="5">
        <f>1/EXP(1.896)</f>
        <v>0.15016809184547467</v>
      </c>
      <c r="F309" s="5">
        <f>1/EXP(3.827)</f>
        <v>2.1774842267775037E-2</v>
      </c>
      <c r="G309" s="5">
        <f>1/EXP(-0.767)</f>
        <v>2.1532966642600391</v>
      </c>
      <c r="H309" s="5"/>
      <c r="I309" s="5"/>
      <c r="J309" s="9">
        <v>5.3999999999999999E-2</v>
      </c>
      <c r="K309" s="9" t="s">
        <v>21</v>
      </c>
      <c r="L309" s="9" t="s">
        <v>51</v>
      </c>
    </row>
    <row r="310" spans="1:12" ht="75" hidden="1">
      <c r="A310" s="55" t="s">
        <v>367</v>
      </c>
      <c r="B310" s="101" t="s">
        <v>13</v>
      </c>
      <c r="C310" s="9" t="s">
        <v>375</v>
      </c>
      <c r="D310" s="4" t="s">
        <v>14</v>
      </c>
      <c r="E310" s="5">
        <v>6.0019999999999998</v>
      </c>
      <c r="F310" s="5">
        <v>1.3740000000000001</v>
      </c>
      <c r="G310" s="5">
        <v>26.222999999999999</v>
      </c>
      <c r="H310" s="5"/>
      <c r="I310" s="5"/>
      <c r="J310" s="9">
        <v>0.05</v>
      </c>
      <c r="K310" s="9" t="s">
        <v>21</v>
      </c>
      <c r="L310" s="9" t="s">
        <v>111</v>
      </c>
    </row>
    <row r="311" spans="1:12" ht="60" hidden="1">
      <c r="A311" s="55" t="s">
        <v>376</v>
      </c>
      <c r="B311" s="97" t="s">
        <v>81</v>
      </c>
      <c r="C311" s="9" t="s">
        <v>376</v>
      </c>
      <c r="D311" s="4" t="s">
        <v>371</v>
      </c>
      <c r="E311" s="5">
        <f>0.97/0.69</f>
        <v>1.4057971014492754</v>
      </c>
      <c r="F311" s="5"/>
      <c r="G311" s="5"/>
      <c r="H311" s="5"/>
      <c r="I311" s="5"/>
      <c r="J311" s="9">
        <v>0.01</v>
      </c>
      <c r="K311" s="9" t="s">
        <v>124</v>
      </c>
      <c r="L311" s="9" t="s">
        <v>373</v>
      </c>
    </row>
    <row r="312" spans="1:12" ht="60" hidden="1">
      <c r="A312" s="55" t="s">
        <v>376</v>
      </c>
      <c r="B312" s="97" t="s">
        <v>81</v>
      </c>
      <c r="C312" s="9" t="s">
        <v>376</v>
      </c>
      <c r="D312" s="4" t="s">
        <v>371</v>
      </c>
      <c r="E312" s="5">
        <f>1/0.66</f>
        <v>1.5151515151515151</v>
      </c>
      <c r="F312" s="5"/>
      <c r="G312" s="5"/>
      <c r="H312" s="5"/>
      <c r="I312" s="5"/>
      <c r="J312" s="9">
        <v>0.01</v>
      </c>
      <c r="K312" s="9" t="s">
        <v>96</v>
      </c>
      <c r="L312" s="9" t="s">
        <v>373</v>
      </c>
    </row>
    <row r="313" spans="1:12" ht="60" hidden="1">
      <c r="A313" s="55" t="s">
        <v>376</v>
      </c>
      <c r="B313" s="97" t="s">
        <v>81</v>
      </c>
      <c r="C313" s="9" t="s">
        <v>376</v>
      </c>
      <c r="D313" s="4" t="s">
        <v>371</v>
      </c>
      <c r="E313" s="5">
        <f>0.76/0.5</f>
        <v>1.52</v>
      </c>
      <c r="F313" s="5"/>
      <c r="G313" s="5"/>
      <c r="H313" s="5"/>
      <c r="I313" s="5"/>
      <c r="J313" s="9">
        <v>0.01</v>
      </c>
      <c r="K313" s="9" t="s">
        <v>372</v>
      </c>
      <c r="L313" s="9" t="s">
        <v>373</v>
      </c>
    </row>
    <row r="314" spans="1:12" ht="45" hidden="1">
      <c r="A314" s="54" t="s">
        <v>326</v>
      </c>
      <c r="B314" s="96" t="s">
        <v>30</v>
      </c>
      <c r="C314" s="2" t="s">
        <v>377</v>
      </c>
      <c r="D314" s="4" t="s">
        <v>34</v>
      </c>
      <c r="E314" s="5">
        <v>-1.3195508181818184E-2</v>
      </c>
      <c r="F314" s="5">
        <v>-1.3195508181818184E-2</v>
      </c>
      <c r="G314" s="5">
        <v>0</v>
      </c>
      <c r="H314" s="5"/>
      <c r="I314" s="5"/>
      <c r="J314" s="2">
        <v>0.02</v>
      </c>
      <c r="K314" s="2" t="s">
        <v>27</v>
      </c>
      <c r="L314" s="6" t="s">
        <v>35</v>
      </c>
    </row>
    <row r="315" spans="1:12" ht="45" hidden="1">
      <c r="A315" s="102" t="s">
        <v>321</v>
      </c>
      <c r="B315" s="21" t="s">
        <v>30</v>
      </c>
      <c r="C315" s="31" t="s">
        <v>378</v>
      </c>
      <c r="D315" s="71" t="s">
        <v>14</v>
      </c>
      <c r="E315" s="103">
        <f>1/4.17</f>
        <v>0.23980815347721823</v>
      </c>
      <c r="F315" s="103">
        <f>1/11.1</f>
        <v>9.00900900900901E-2</v>
      </c>
      <c r="G315" s="103">
        <f>1/1.56</f>
        <v>0.64102564102564097</v>
      </c>
      <c r="H315" s="103"/>
      <c r="I315" s="103"/>
      <c r="J315" s="31">
        <v>5.0000000000000001E-3</v>
      </c>
      <c r="K315" s="31" t="s">
        <v>27</v>
      </c>
      <c r="L315" s="11" t="s">
        <v>140</v>
      </c>
    </row>
    <row r="316" spans="1:12" ht="45" hidden="1">
      <c r="A316" s="102" t="s">
        <v>321</v>
      </c>
      <c r="B316" s="21" t="s">
        <v>30</v>
      </c>
      <c r="C316" s="31" t="s">
        <v>378</v>
      </c>
      <c r="D316" s="71" t="s">
        <v>14</v>
      </c>
      <c r="E316" s="103">
        <v>0.47</v>
      </c>
      <c r="F316" s="103">
        <v>0.24</v>
      </c>
      <c r="G316" s="103">
        <v>0.93</v>
      </c>
      <c r="H316" s="103"/>
      <c r="I316" s="103"/>
      <c r="J316" s="31">
        <v>0.03</v>
      </c>
      <c r="K316" s="31" t="s">
        <v>27</v>
      </c>
      <c r="L316" s="11" t="s">
        <v>31</v>
      </c>
    </row>
    <row r="317" spans="1:12" ht="45" hidden="1">
      <c r="A317" s="102" t="s">
        <v>321</v>
      </c>
      <c r="B317" s="31" t="s">
        <v>13</v>
      </c>
      <c r="C317" s="104" t="s">
        <v>379</v>
      </c>
      <c r="D317" s="71" t="s">
        <v>14</v>
      </c>
      <c r="E317" s="103">
        <f>EXP(-0.216)</f>
        <v>0.80573530187347964</v>
      </c>
      <c r="F317" s="103">
        <f>EXP(-3.015)</f>
        <v>4.9045835487016728E-2</v>
      </c>
      <c r="G317" s="103">
        <f>EXP(2.583)</f>
        <v>13.236789020690741</v>
      </c>
      <c r="H317" s="105"/>
      <c r="I317" s="103"/>
      <c r="J317" s="104">
        <v>0.88</v>
      </c>
      <c r="K317" s="104" t="s">
        <v>27</v>
      </c>
      <c r="L317" s="104" t="s">
        <v>28</v>
      </c>
    </row>
    <row r="318" spans="1:12" ht="45" hidden="1">
      <c r="A318" s="106" t="s">
        <v>380</v>
      </c>
      <c r="B318" s="104" t="s">
        <v>13</v>
      </c>
      <c r="C318" s="104" t="s">
        <v>380</v>
      </c>
      <c r="D318" s="71" t="s">
        <v>14</v>
      </c>
      <c r="E318" s="103">
        <f>EXP(1.289)</f>
        <v>3.6291555849850208</v>
      </c>
      <c r="F318" s="103">
        <f>EXP(-1.304)</f>
        <v>0.27144384321211973</v>
      </c>
      <c r="G318" s="103">
        <f>EXP(3.882)</f>
        <v>48.521160414515933</v>
      </c>
      <c r="H318" s="103"/>
      <c r="I318" s="103"/>
      <c r="J318" s="104">
        <v>0.33</v>
      </c>
      <c r="K318" s="104" t="s">
        <v>27</v>
      </c>
      <c r="L318" s="104" t="s">
        <v>28</v>
      </c>
    </row>
    <row r="319" spans="1:12" ht="45" hidden="1">
      <c r="A319" s="102" t="s">
        <v>381</v>
      </c>
      <c r="B319" s="31" t="s">
        <v>207</v>
      </c>
      <c r="C319" s="31" t="s">
        <v>381</v>
      </c>
      <c r="D319" s="71" t="s">
        <v>14</v>
      </c>
      <c r="E319" s="103">
        <v>3.49</v>
      </c>
      <c r="F319" s="103">
        <v>1.56</v>
      </c>
      <c r="G319" s="103">
        <v>7.82</v>
      </c>
      <c r="H319" s="103"/>
      <c r="I319" s="103"/>
      <c r="J319" s="31">
        <v>3.0000000000000001E-3</v>
      </c>
      <c r="K319" s="31" t="s">
        <v>208</v>
      </c>
      <c r="L319" s="11" t="s">
        <v>209</v>
      </c>
    </row>
    <row r="320" spans="1:12" ht="60" hidden="1">
      <c r="A320" s="102" t="s">
        <v>382</v>
      </c>
      <c r="B320" s="31" t="s">
        <v>13</v>
      </c>
      <c r="C320" s="31" t="s">
        <v>382</v>
      </c>
      <c r="D320" s="71" t="s">
        <v>14</v>
      </c>
      <c r="E320" s="103">
        <v>0.443</v>
      </c>
      <c r="F320" s="103">
        <v>0.155</v>
      </c>
      <c r="G320" s="103">
        <v>1.2709999999999999</v>
      </c>
      <c r="H320" s="103"/>
      <c r="I320" s="103"/>
      <c r="J320" s="31" t="s">
        <v>18</v>
      </c>
      <c r="K320" s="31" t="s">
        <v>21</v>
      </c>
      <c r="L320" s="11" t="s">
        <v>22</v>
      </c>
    </row>
    <row r="321" spans="1:12" ht="60" hidden="1">
      <c r="A321" s="102" t="s">
        <v>382</v>
      </c>
      <c r="B321" s="31" t="s">
        <v>13</v>
      </c>
      <c r="C321" s="31" t="s">
        <v>382</v>
      </c>
      <c r="D321" s="71" t="s">
        <v>14</v>
      </c>
      <c r="E321" s="103">
        <v>4.1150000000000002</v>
      </c>
      <c r="F321" s="103">
        <v>0.84770000000000001</v>
      </c>
      <c r="G321" s="103">
        <v>9.98</v>
      </c>
      <c r="H321" s="103"/>
      <c r="I321" s="103"/>
      <c r="J321" s="31">
        <v>7.9299999999999995E-2</v>
      </c>
      <c r="K321" s="31" t="s">
        <v>271</v>
      </c>
      <c r="L321" s="11" t="s">
        <v>16</v>
      </c>
    </row>
    <row r="322" spans="1:12" ht="60" hidden="1">
      <c r="A322" s="102" t="s">
        <v>383</v>
      </c>
      <c r="B322" s="31" t="s">
        <v>81</v>
      </c>
      <c r="C322" s="31" t="s">
        <v>383</v>
      </c>
      <c r="D322" s="71" t="s">
        <v>23</v>
      </c>
      <c r="E322" s="103">
        <f>1/EXP(-0.000000016)</f>
        <v>1.0000000160000002</v>
      </c>
      <c r="F322" s="103">
        <f>1/EXP(-0.0000014)</f>
        <v>1.00000140000098</v>
      </c>
      <c r="G322" s="103">
        <f>1/EXP(-0.0000014)</f>
        <v>1.00000140000098</v>
      </c>
      <c r="H322" s="103"/>
      <c r="I322" s="103"/>
      <c r="J322" s="31">
        <v>0.98199999999999998</v>
      </c>
      <c r="K322" s="31" t="s">
        <v>82</v>
      </c>
      <c r="L322" s="11" t="s">
        <v>83</v>
      </c>
    </row>
    <row r="323" spans="1:12" ht="60" hidden="1">
      <c r="A323" s="106" t="s">
        <v>349</v>
      </c>
      <c r="B323" s="104" t="s">
        <v>40</v>
      </c>
      <c r="C323" s="31" t="s">
        <v>350</v>
      </c>
      <c r="D323" s="71" t="s">
        <v>34</v>
      </c>
      <c r="E323" s="103">
        <v>0.02</v>
      </c>
      <c r="F323" s="103">
        <v>-0.08</v>
      </c>
      <c r="G323" s="103">
        <v>0.12</v>
      </c>
      <c r="H323" s="71"/>
      <c r="I323" s="71"/>
      <c r="J323" s="31">
        <v>0.72</v>
      </c>
      <c r="K323" s="71" t="s">
        <v>27</v>
      </c>
      <c r="L323" s="21" t="s">
        <v>35</v>
      </c>
    </row>
  </sheetData>
  <autoFilter ref="A1:L323" xr:uid="{5A80D3B8-7C15-451C-BF0B-31C0DB84694D}">
    <filterColumn colId="0">
      <filters>
        <filter val="High Quality of Evidence"/>
      </filters>
    </filterColumn>
    <filterColumn colId="3">
      <filters>
        <filter val="OR"/>
        <filter val="RRR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nikos takatzoglou</dc:creator>
  <cp:keywords/>
  <dc:description/>
  <cp:lastModifiedBy/>
  <cp:revision/>
  <dcterms:created xsi:type="dcterms:W3CDTF">2025-01-14T17:47:39Z</dcterms:created>
  <dcterms:modified xsi:type="dcterms:W3CDTF">2025-07-13T15:22:03Z</dcterms:modified>
  <cp:category/>
  <cp:contentStatus/>
</cp:coreProperties>
</file>